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07B5117-18CA-47F7-B18C-F5188D91C396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Enrollment &amp; Tuition Summary " sheetId="23" r:id="rId1"/>
    <sheet name="Student Fee Schedule" sheetId="22" r:id="rId2"/>
    <sheet name="Student Financial Aid" sheetId="27" r:id="rId3"/>
    <sheet name="Cash Fund Revenue Summary" sheetId="26" r:id="rId4"/>
  </sheets>
  <definedNames>
    <definedName name="_xlnm.Print_Area" localSheetId="3">'Cash Fund Revenue Summary'!$A$1:$U$45</definedName>
    <definedName name="_xlnm.Print_Area" localSheetId="1">'Student Fee Schedule'!$A$1:$AK$50</definedName>
    <definedName name="_xlnm.Print_Area" localSheetId="2">'Student Financial Aid'!$A$1:$CC$159</definedName>
    <definedName name="_xlnm.Print_Titles" localSheetId="2">'Student Financial Aid'!$A:$A,'Student Financial Aid'!$2:$6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7" l="1"/>
  <c r="D11" i="27" s="1"/>
  <c r="K11" i="27"/>
  <c r="M11" i="27"/>
  <c r="N11" i="27" s="1"/>
  <c r="U11" i="27"/>
  <c r="W11" i="27"/>
  <c r="X11" i="27" s="1"/>
  <c r="AE11" i="27"/>
  <c r="AG11" i="27"/>
  <c r="AH11" i="27" s="1"/>
  <c r="AO11" i="27"/>
  <c r="AQ11" i="27"/>
  <c r="AR11" i="27"/>
  <c r="AY11" i="27"/>
  <c r="BA11" i="27"/>
  <c r="BB11" i="27" s="1"/>
  <c r="BI11" i="27"/>
  <c r="BK11" i="27"/>
  <c r="BL11" i="27" s="1"/>
  <c r="BS11" i="27"/>
  <c r="BU11" i="27"/>
  <c r="CC11" i="27"/>
  <c r="C12" i="27"/>
  <c r="D12" i="27" s="1"/>
  <c r="K12" i="27"/>
  <c r="M12" i="27"/>
  <c r="N12" i="27" s="1"/>
  <c r="U12" i="27"/>
  <c r="W12" i="27"/>
  <c r="X12" i="27" s="1"/>
  <c r="AE12" i="27"/>
  <c r="AG12" i="27"/>
  <c r="AH12" i="27" s="1"/>
  <c r="AO12" i="27"/>
  <c r="AQ12" i="27"/>
  <c r="AR12" i="27" s="1"/>
  <c r="AY12" i="27"/>
  <c r="BA12" i="27"/>
  <c r="BB12" i="27" s="1"/>
  <c r="BI12" i="27"/>
  <c r="BK12" i="27"/>
  <c r="BL12" i="27"/>
  <c r="BS12" i="27"/>
  <c r="BU12" i="27"/>
  <c r="BV12" i="27" s="1"/>
  <c r="CC12" i="27"/>
  <c r="C13" i="27"/>
  <c r="D13" i="27" s="1"/>
  <c r="K13" i="27"/>
  <c r="M13" i="27"/>
  <c r="N13" i="27" s="1"/>
  <c r="U13" i="27"/>
  <c r="W13" i="27"/>
  <c r="X13" i="27" s="1"/>
  <c r="AE13" i="27"/>
  <c r="AG13" i="27"/>
  <c r="AH13" i="27" s="1"/>
  <c r="AO13" i="27"/>
  <c r="AQ13" i="27"/>
  <c r="AR13" i="27" s="1"/>
  <c r="AY13" i="27"/>
  <c r="BA13" i="27"/>
  <c r="BB13" i="27" s="1"/>
  <c r="BI13" i="27"/>
  <c r="BK13" i="27"/>
  <c r="BL13" i="27" s="1"/>
  <c r="BS13" i="27"/>
  <c r="BU13" i="27"/>
  <c r="BV13" i="27" s="1"/>
  <c r="CC13" i="27"/>
  <c r="C14" i="27"/>
  <c r="D14" i="27" s="1"/>
  <c r="K14" i="27"/>
  <c r="M14" i="27"/>
  <c r="N14" i="27" s="1"/>
  <c r="U14" i="27"/>
  <c r="W14" i="27"/>
  <c r="X14" i="27" s="1"/>
  <c r="AE14" i="27"/>
  <c r="AG14" i="27"/>
  <c r="AH14" i="27" s="1"/>
  <c r="AO14" i="27"/>
  <c r="AQ14" i="27"/>
  <c r="AR14" i="27" s="1"/>
  <c r="AY14" i="27"/>
  <c r="BA14" i="27"/>
  <c r="BB14" i="27" s="1"/>
  <c r="BI14" i="27"/>
  <c r="BK14" i="27"/>
  <c r="BL14" i="27" s="1"/>
  <c r="BS14" i="27"/>
  <c r="BU14" i="27"/>
  <c r="BV14" i="27" s="1"/>
  <c r="CC14" i="27"/>
  <c r="C15" i="27"/>
  <c r="D15" i="27" s="1"/>
  <c r="K15" i="27"/>
  <c r="M15" i="27"/>
  <c r="N15" i="27" s="1"/>
  <c r="U15" i="27"/>
  <c r="W15" i="27"/>
  <c r="X15" i="27" s="1"/>
  <c r="AE15" i="27"/>
  <c r="AG15" i="27"/>
  <c r="AH15" i="27" s="1"/>
  <c r="AO15" i="27"/>
  <c r="AQ15" i="27"/>
  <c r="AR15" i="27"/>
  <c r="AY15" i="27"/>
  <c r="BA15" i="27"/>
  <c r="BB15" i="27" s="1"/>
  <c r="BI15" i="27"/>
  <c r="BK15" i="27"/>
  <c r="BL15" i="27" s="1"/>
  <c r="BS15" i="27"/>
  <c r="BU15" i="27"/>
  <c r="BV15" i="27" s="1"/>
  <c r="CC15" i="27"/>
  <c r="C16" i="27"/>
  <c r="D16" i="27" s="1"/>
  <c r="K16" i="27"/>
  <c r="M16" i="27"/>
  <c r="N16" i="27" s="1"/>
  <c r="U16" i="27"/>
  <c r="W16" i="27"/>
  <c r="X16" i="27" s="1"/>
  <c r="AE16" i="27"/>
  <c r="AG16" i="27"/>
  <c r="AH16" i="27" s="1"/>
  <c r="AO16" i="27"/>
  <c r="AQ16" i="27"/>
  <c r="AR16" i="27"/>
  <c r="AY16" i="27"/>
  <c r="BA16" i="27"/>
  <c r="BB16" i="27" s="1"/>
  <c r="BI16" i="27"/>
  <c r="BK16" i="27"/>
  <c r="BL16" i="27" s="1"/>
  <c r="BS16" i="27"/>
  <c r="BU16" i="27"/>
  <c r="BV16" i="27" s="1"/>
  <c r="CC16" i="27"/>
  <c r="C17" i="27"/>
  <c r="D17" i="27" s="1"/>
  <c r="K17" i="27"/>
  <c r="M17" i="27"/>
  <c r="N17" i="27" s="1"/>
  <c r="U17" i="27"/>
  <c r="W17" i="27"/>
  <c r="X17" i="27" s="1"/>
  <c r="AE17" i="27"/>
  <c r="AG17" i="27"/>
  <c r="AH17" i="27" s="1"/>
  <c r="AO17" i="27"/>
  <c r="AQ17" i="27"/>
  <c r="AR17" i="27" s="1"/>
  <c r="AY17" i="27"/>
  <c r="BA17" i="27"/>
  <c r="BB17" i="27" s="1"/>
  <c r="BI17" i="27"/>
  <c r="BK17" i="27"/>
  <c r="BL17" i="27"/>
  <c r="BS17" i="27"/>
  <c r="BU17" i="27"/>
  <c r="BV17" i="27" s="1"/>
  <c r="CB17" i="27"/>
  <c r="CC17" i="27" s="1"/>
  <c r="C18" i="27"/>
  <c r="D18" i="27" s="1"/>
  <c r="K18" i="27"/>
  <c r="M18" i="27"/>
  <c r="N18" i="27" s="1"/>
  <c r="U18" i="27"/>
  <c r="W18" i="27"/>
  <c r="X18" i="27" s="1"/>
  <c r="AE18" i="27"/>
  <c r="AG18" i="27"/>
  <c r="AH18" i="27" s="1"/>
  <c r="AO18" i="27"/>
  <c r="AQ18" i="27"/>
  <c r="AY18" i="27"/>
  <c r="BA18" i="27"/>
  <c r="BB18" i="27" s="1"/>
  <c r="BI18" i="27"/>
  <c r="BK18" i="27"/>
  <c r="BL18" i="27" s="1"/>
  <c r="BS18" i="27"/>
  <c r="BU18" i="27"/>
  <c r="BV18" i="27" s="1"/>
  <c r="CC18" i="27"/>
  <c r="C19" i="27"/>
  <c r="D19" i="27" s="1"/>
  <c r="K19" i="27"/>
  <c r="M19" i="27"/>
  <c r="N19" i="27" s="1"/>
  <c r="U19" i="27"/>
  <c r="W19" i="27"/>
  <c r="X19" i="27" s="1"/>
  <c r="AE19" i="27"/>
  <c r="AG19" i="27"/>
  <c r="AH19" i="27"/>
  <c r="AO19" i="27"/>
  <c r="AQ19" i="27"/>
  <c r="AR19" i="27" s="1"/>
  <c r="AY19" i="27"/>
  <c r="BA19" i="27"/>
  <c r="BB19" i="27" s="1"/>
  <c r="BI19" i="27"/>
  <c r="BK19" i="27"/>
  <c r="BL19" i="27" s="1"/>
  <c r="BS19" i="27"/>
  <c r="BU19" i="27"/>
  <c r="BV19" i="27" s="1"/>
  <c r="CC19" i="27"/>
  <c r="C20" i="27"/>
  <c r="D20" i="27" s="1"/>
  <c r="K20" i="27"/>
  <c r="M20" i="27"/>
  <c r="N20" i="27"/>
  <c r="U20" i="27"/>
  <c r="W20" i="27"/>
  <c r="X20" i="27" s="1"/>
  <c r="AE20" i="27"/>
  <c r="AG20" i="27"/>
  <c r="AH20" i="27" s="1"/>
  <c r="AO20" i="27"/>
  <c r="AQ20" i="27"/>
  <c r="AR20" i="27" s="1"/>
  <c r="AY20" i="27"/>
  <c r="BA20" i="27"/>
  <c r="BB20" i="27" s="1"/>
  <c r="BI20" i="27"/>
  <c r="BK20" i="27"/>
  <c r="BL20" i="27" s="1"/>
  <c r="BS20" i="27"/>
  <c r="BU20" i="27"/>
  <c r="BV20" i="27"/>
  <c r="CC20" i="27"/>
  <c r="C21" i="27"/>
  <c r="D21" i="27" s="1"/>
  <c r="K21" i="27"/>
  <c r="M21" i="27"/>
  <c r="N21" i="27" s="1"/>
  <c r="U21" i="27"/>
  <c r="W21" i="27"/>
  <c r="X21" i="27" s="1"/>
  <c r="AE21" i="27"/>
  <c r="AG21" i="27"/>
  <c r="AH21" i="27"/>
  <c r="AO21" i="27"/>
  <c r="AQ21" i="27"/>
  <c r="AR21" i="27" s="1"/>
  <c r="AY21" i="27"/>
  <c r="BA21" i="27"/>
  <c r="BB21" i="27" s="1"/>
  <c r="BI21" i="27"/>
  <c r="BK21" i="27"/>
  <c r="BL21" i="27" s="1"/>
  <c r="BS21" i="27"/>
  <c r="BU21" i="27"/>
  <c r="BV21" i="27" s="1"/>
  <c r="CC21" i="27"/>
  <c r="C22" i="27"/>
  <c r="D22" i="27" s="1"/>
  <c r="K22" i="27"/>
  <c r="M22" i="27"/>
  <c r="N22" i="27" s="1"/>
  <c r="U22" i="27"/>
  <c r="W22" i="27"/>
  <c r="X22" i="27" s="1"/>
  <c r="AE22" i="27"/>
  <c r="AG22" i="27"/>
  <c r="AH22" i="27" s="1"/>
  <c r="AO22" i="27"/>
  <c r="AQ22" i="27"/>
  <c r="AR22" i="27" s="1"/>
  <c r="AY22" i="27"/>
  <c r="BA22" i="27"/>
  <c r="BB22" i="27" s="1"/>
  <c r="BI22" i="27"/>
  <c r="BK22" i="27"/>
  <c r="BL22" i="27" s="1"/>
  <c r="BS22" i="27"/>
  <c r="BU22" i="27"/>
  <c r="BV22" i="27" s="1"/>
  <c r="CC22" i="27"/>
  <c r="C23" i="27"/>
  <c r="D23" i="27" s="1"/>
  <c r="K23" i="27"/>
  <c r="M23" i="27"/>
  <c r="N23" i="27" s="1"/>
  <c r="U23" i="27"/>
  <c r="W23" i="27"/>
  <c r="X23" i="27" s="1"/>
  <c r="AE23" i="27"/>
  <c r="AG23" i="27"/>
  <c r="AH23" i="27"/>
  <c r="AO23" i="27"/>
  <c r="AQ23" i="27"/>
  <c r="AR23" i="27" s="1"/>
  <c r="AY23" i="27"/>
  <c r="BA23" i="27"/>
  <c r="BB23" i="27" s="1"/>
  <c r="BI23" i="27"/>
  <c r="BK23" i="27"/>
  <c r="BL23" i="27" s="1"/>
  <c r="BS23" i="27"/>
  <c r="BU23" i="27"/>
  <c r="BV23" i="27" s="1"/>
  <c r="CC23" i="27"/>
  <c r="C24" i="27"/>
  <c r="D24" i="27" s="1"/>
  <c r="K24" i="27"/>
  <c r="M24" i="27"/>
  <c r="N24" i="27" s="1"/>
  <c r="U24" i="27"/>
  <c r="W24" i="27"/>
  <c r="X24" i="27" s="1"/>
  <c r="AE24" i="27"/>
  <c r="AG24" i="27"/>
  <c r="AH24" i="27" s="1"/>
  <c r="AO24" i="27"/>
  <c r="AQ24" i="27"/>
  <c r="AR24" i="27" s="1"/>
  <c r="AY24" i="27"/>
  <c r="BA24" i="27"/>
  <c r="BB24" i="27" s="1"/>
  <c r="BI24" i="27"/>
  <c r="BK24" i="27"/>
  <c r="BL24" i="27" s="1"/>
  <c r="BS24" i="27"/>
  <c r="BU24" i="27"/>
  <c r="BV24" i="27" s="1"/>
  <c r="CC24" i="27"/>
  <c r="C25" i="27"/>
  <c r="D25" i="27" s="1"/>
  <c r="K25" i="27"/>
  <c r="M25" i="27"/>
  <c r="N25" i="27" s="1"/>
  <c r="U25" i="27"/>
  <c r="W25" i="27"/>
  <c r="X25" i="27" s="1"/>
  <c r="AE25" i="27"/>
  <c r="AG25" i="27"/>
  <c r="AH25" i="27" s="1"/>
  <c r="AO25" i="27"/>
  <c r="AQ25" i="27"/>
  <c r="AR25" i="27" s="1"/>
  <c r="AY25" i="27"/>
  <c r="BA25" i="27"/>
  <c r="BB25" i="27" s="1"/>
  <c r="BI25" i="27"/>
  <c r="BK25" i="27"/>
  <c r="BL25" i="27" s="1"/>
  <c r="BS25" i="27"/>
  <c r="BU25" i="27"/>
  <c r="BV25" i="27" s="1"/>
  <c r="CC25" i="27"/>
  <c r="C26" i="27"/>
  <c r="D26" i="27" s="1"/>
  <c r="K26" i="27"/>
  <c r="M26" i="27"/>
  <c r="N26" i="27" s="1"/>
  <c r="U26" i="27"/>
  <c r="W26" i="27"/>
  <c r="X26" i="27" s="1"/>
  <c r="AE26" i="27"/>
  <c r="AG26" i="27"/>
  <c r="AH26" i="27" s="1"/>
  <c r="AO26" i="27"/>
  <c r="AQ26" i="27"/>
  <c r="AR26" i="27" s="1"/>
  <c r="AY26" i="27"/>
  <c r="BA26" i="27"/>
  <c r="BB26" i="27" s="1"/>
  <c r="BI26" i="27"/>
  <c r="BI34" i="27" s="1"/>
  <c r="BK26" i="27"/>
  <c r="BL26" i="27" s="1"/>
  <c r="BS26" i="27"/>
  <c r="BU26" i="27"/>
  <c r="BV26" i="27" s="1"/>
  <c r="CC26" i="27"/>
  <c r="C27" i="27"/>
  <c r="D27" i="27" s="1"/>
  <c r="K27" i="27"/>
  <c r="M27" i="27"/>
  <c r="N27" i="27" s="1"/>
  <c r="U27" i="27"/>
  <c r="W27" i="27"/>
  <c r="X27" i="27" s="1"/>
  <c r="AE27" i="27"/>
  <c r="AG27" i="27"/>
  <c r="AH27" i="27" s="1"/>
  <c r="AO27" i="27"/>
  <c r="AQ27" i="27"/>
  <c r="AR27" i="27" s="1"/>
  <c r="AY27" i="27"/>
  <c r="BA27" i="27"/>
  <c r="BB27" i="27" s="1"/>
  <c r="BI27" i="27"/>
  <c r="BK27" i="27"/>
  <c r="BL27" i="27" s="1"/>
  <c r="BS27" i="27"/>
  <c r="BU27" i="27"/>
  <c r="BV27" i="27" s="1"/>
  <c r="CC27" i="27"/>
  <c r="C28" i="27"/>
  <c r="D28" i="27" s="1"/>
  <c r="K28" i="27"/>
  <c r="M28" i="27"/>
  <c r="N28" i="27" s="1"/>
  <c r="U28" i="27"/>
  <c r="W28" i="27"/>
  <c r="X28" i="27" s="1"/>
  <c r="AE28" i="27"/>
  <c r="AG28" i="27"/>
  <c r="AH28" i="27" s="1"/>
  <c r="AO28" i="27"/>
  <c r="AQ28" i="27"/>
  <c r="AR28" i="27" s="1"/>
  <c r="AY28" i="27"/>
  <c r="BA28" i="27"/>
  <c r="BB28" i="27" s="1"/>
  <c r="BI28" i="27"/>
  <c r="BK28" i="27"/>
  <c r="BL28" i="27" s="1"/>
  <c r="BS28" i="27"/>
  <c r="BU28" i="27"/>
  <c r="BV28" i="27" s="1"/>
  <c r="CC28" i="27"/>
  <c r="C29" i="27"/>
  <c r="D29" i="27" s="1"/>
  <c r="K29" i="27"/>
  <c r="M29" i="27"/>
  <c r="N29" i="27" s="1"/>
  <c r="U29" i="27"/>
  <c r="W29" i="27"/>
  <c r="X29" i="27" s="1"/>
  <c r="AE29" i="27"/>
  <c r="AG29" i="27"/>
  <c r="AH29" i="27"/>
  <c r="AO29" i="27"/>
  <c r="AQ29" i="27"/>
  <c r="AR29" i="27" s="1"/>
  <c r="AY29" i="27"/>
  <c r="BA29" i="27"/>
  <c r="BB29" i="27" s="1"/>
  <c r="BI29" i="27"/>
  <c r="BK29" i="27"/>
  <c r="BL29" i="27" s="1"/>
  <c r="BS29" i="27"/>
  <c r="BU29" i="27"/>
  <c r="BV29" i="27" s="1"/>
  <c r="CC29" i="27"/>
  <c r="C30" i="27"/>
  <c r="D30" i="27" s="1"/>
  <c r="K30" i="27"/>
  <c r="M30" i="27"/>
  <c r="N30" i="27" s="1"/>
  <c r="U30" i="27"/>
  <c r="W30" i="27"/>
  <c r="X30" i="27" s="1"/>
  <c r="AE30" i="27"/>
  <c r="AG30" i="27"/>
  <c r="AH30" i="27" s="1"/>
  <c r="AO30" i="27"/>
  <c r="AQ30" i="27"/>
  <c r="AR30" i="27" s="1"/>
  <c r="AY30" i="27"/>
  <c r="BA30" i="27"/>
  <c r="BB30" i="27" s="1"/>
  <c r="BI30" i="27"/>
  <c r="BK30" i="27"/>
  <c r="BL30" i="27" s="1"/>
  <c r="BS30" i="27"/>
  <c r="BU30" i="27"/>
  <c r="BV30" i="27" s="1"/>
  <c r="CC30" i="27"/>
  <c r="C31" i="27"/>
  <c r="D31" i="27" s="1"/>
  <c r="K31" i="27"/>
  <c r="M31" i="27"/>
  <c r="N31" i="27"/>
  <c r="U31" i="27"/>
  <c r="W31" i="27"/>
  <c r="X31" i="27" s="1"/>
  <c r="AE31" i="27"/>
  <c r="AG31" i="27"/>
  <c r="AH31" i="27"/>
  <c r="AO31" i="27"/>
  <c r="AQ31" i="27"/>
  <c r="AR31" i="27" s="1"/>
  <c r="AY31" i="27"/>
  <c r="BA31" i="27"/>
  <c r="BB31" i="27" s="1"/>
  <c r="BI31" i="27"/>
  <c r="BK31" i="27"/>
  <c r="BL31" i="27" s="1"/>
  <c r="BS31" i="27"/>
  <c r="BU31" i="27"/>
  <c r="BV31" i="27" s="1"/>
  <c r="CC31" i="27"/>
  <c r="C32" i="27"/>
  <c r="D32" i="27" s="1"/>
  <c r="K32" i="27"/>
  <c r="M32" i="27"/>
  <c r="N32" i="27" s="1"/>
  <c r="U32" i="27"/>
  <c r="W32" i="27"/>
  <c r="X32" i="27" s="1"/>
  <c r="AE32" i="27"/>
  <c r="AG32" i="27"/>
  <c r="AH32" i="27" s="1"/>
  <c r="AO32" i="27"/>
  <c r="AQ32" i="27"/>
  <c r="AR32" i="27" s="1"/>
  <c r="AY32" i="27"/>
  <c r="BA32" i="27"/>
  <c r="BB32" i="27" s="1"/>
  <c r="BI32" i="27"/>
  <c r="BK32" i="27"/>
  <c r="BL32" i="27" s="1"/>
  <c r="BS32" i="27"/>
  <c r="BU32" i="27"/>
  <c r="BV32" i="27"/>
  <c r="CC32" i="27"/>
  <c r="B34" i="27"/>
  <c r="B88" i="27" s="1"/>
  <c r="E34" i="27"/>
  <c r="F34" i="27"/>
  <c r="G34" i="27"/>
  <c r="H34" i="27"/>
  <c r="I34" i="27"/>
  <c r="J34" i="27"/>
  <c r="L34" i="27"/>
  <c r="O34" i="27"/>
  <c r="P34" i="27"/>
  <c r="Q34" i="27"/>
  <c r="R34" i="27"/>
  <c r="S34" i="27"/>
  <c r="T34" i="27"/>
  <c r="V34" i="27"/>
  <c r="Y34" i="27"/>
  <c r="Z34" i="27"/>
  <c r="Z88" i="27" s="1"/>
  <c r="AA34" i="27"/>
  <c r="AB34" i="27"/>
  <c r="AC34" i="27"/>
  <c r="AD34" i="27"/>
  <c r="AF34" i="27"/>
  <c r="AI34" i="27"/>
  <c r="AJ34" i="27"/>
  <c r="AK34" i="27"/>
  <c r="AL34" i="27"/>
  <c r="AM34" i="27"/>
  <c r="AN34" i="27"/>
  <c r="AP34" i="27"/>
  <c r="AS34" i="27"/>
  <c r="AT34" i="27"/>
  <c r="AU34" i="27"/>
  <c r="AV34" i="27"/>
  <c r="AW34" i="27"/>
  <c r="AX34" i="27"/>
  <c r="AZ34" i="27"/>
  <c r="BC34" i="27"/>
  <c r="BD34" i="27"/>
  <c r="BE34" i="27"/>
  <c r="BF34" i="27"/>
  <c r="BG34" i="27"/>
  <c r="BH34" i="27"/>
  <c r="BJ34" i="27"/>
  <c r="BM34" i="27"/>
  <c r="BN34" i="27"/>
  <c r="BO34" i="27"/>
  <c r="BP34" i="27"/>
  <c r="BQ34" i="27"/>
  <c r="BR34" i="27"/>
  <c r="BT34" i="27"/>
  <c r="BW34" i="27"/>
  <c r="BX34" i="27"/>
  <c r="BY34" i="27"/>
  <c r="BZ34" i="27"/>
  <c r="CA34" i="27"/>
  <c r="C37" i="27"/>
  <c r="D37" i="27" s="1"/>
  <c r="K37" i="27"/>
  <c r="M37" i="27"/>
  <c r="N37" i="27"/>
  <c r="U37" i="27"/>
  <c r="W37" i="27"/>
  <c r="X37" i="27" s="1"/>
  <c r="AE37" i="27"/>
  <c r="AG37" i="27"/>
  <c r="AH37" i="27"/>
  <c r="AO37" i="27"/>
  <c r="AQ37" i="27"/>
  <c r="AR37" i="27" s="1"/>
  <c r="AY37" i="27"/>
  <c r="BA37" i="27"/>
  <c r="BB37" i="27" s="1"/>
  <c r="BI37" i="27"/>
  <c r="BK37" i="27"/>
  <c r="BL37" i="27" s="1"/>
  <c r="BS37" i="27"/>
  <c r="BU37" i="27"/>
  <c r="BV37" i="27" s="1"/>
  <c r="CC37" i="27"/>
  <c r="C38" i="27"/>
  <c r="D38" i="27" s="1"/>
  <c r="K38" i="27"/>
  <c r="M38" i="27"/>
  <c r="N38" i="27" s="1"/>
  <c r="U38" i="27"/>
  <c r="W38" i="27"/>
  <c r="X38" i="27" s="1"/>
  <c r="AE38" i="27"/>
  <c r="AG38" i="27"/>
  <c r="AH38" i="27"/>
  <c r="AO38" i="27"/>
  <c r="AQ38" i="27"/>
  <c r="AR38" i="27" s="1"/>
  <c r="AY38" i="27"/>
  <c r="BA38" i="27"/>
  <c r="BB38" i="27" s="1"/>
  <c r="BI38" i="27"/>
  <c r="BK38" i="27"/>
  <c r="BL38" i="27" s="1"/>
  <c r="BS38" i="27"/>
  <c r="BU38" i="27"/>
  <c r="BV38" i="27" s="1"/>
  <c r="CC38" i="27"/>
  <c r="C39" i="27"/>
  <c r="D39" i="27" s="1"/>
  <c r="K39" i="27"/>
  <c r="M39" i="27"/>
  <c r="N39" i="27" s="1"/>
  <c r="U39" i="27"/>
  <c r="U61" i="27" s="1"/>
  <c r="W39" i="27"/>
  <c r="X39" i="27" s="1"/>
  <c r="AE39" i="27"/>
  <c r="AG39" i="27"/>
  <c r="AH39" i="27" s="1"/>
  <c r="AO39" i="27"/>
  <c r="AQ39" i="27"/>
  <c r="AR39" i="27" s="1"/>
  <c r="AY39" i="27"/>
  <c r="BA39" i="27"/>
  <c r="BB39" i="27" s="1"/>
  <c r="BI39" i="27"/>
  <c r="BK39" i="27"/>
  <c r="BL39" i="27" s="1"/>
  <c r="BS39" i="27"/>
  <c r="BU39" i="27"/>
  <c r="BV39" i="27" s="1"/>
  <c r="CC39" i="27"/>
  <c r="C40" i="27"/>
  <c r="D40" i="27" s="1"/>
  <c r="K40" i="27"/>
  <c r="M40" i="27"/>
  <c r="N40" i="27" s="1"/>
  <c r="U40" i="27"/>
  <c r="W40" i="27"/>
  <c r="X40" i="27" s="1"/>
  <c r="AE40" i="27"/>
  <c r="AG40" i="27"/>
  <c r="AH40" i="27"/>
  <c r="AO40" i="27"/>
  <c r="AQ40" i="27"/>
  <c r="AR40" i="27" s="1"/>
  <c r="AX40" i="27"/>
  <c r="AY40" i="27" s="1"/>
  <c r="BA40" i="27"/>
  <c r="BB40" i="27" s="1"/>
  <c r="BI40" i="27"/>
  <c r="BK40" i="27"/>
  <c r="BL40" i="27" s="1"/>
  <c r="BS40" i="27"/>
  <c r="BU40" i="27"/>
  <c r="BV40" i="27" s="1"/>
  <c r="CC40" i="27"/>
  <c r="C41" i="27"/>
  <c r="D41" i="27"/>
  <c r="K41" i="27"/>
  <c r="M41" i="27"/>
  <c r="N41" i="27" s="1"/>
  <c r="U41" i="27"/>
  <c r="W41" i="27"/>
  <c r="X41" i="27" s="1"/>
  <c r="AE41" i="27"/>
  <c r="AG41" i="27"/>
  <c r="AO41" i="27"/>
  <c r="AQ41" i="27"/>
  <c r="AR41" i="27" s="1"/>
  <c r="AX41" i="27"/>
  <c r="AY41" i="27" s="1"/>
  <c r="BA41" i="27"/>
  <c r="BB41" i="27" s="1"/>
  <c r="BI41" i="27"/>
  <c r="BK41" i="27"/>
  <c r="BL41" i="27" s="1"/>
  <c r="BS41" i="27"/>
  <c r="BU41" i="27"/>
  <c r="BV41" i="27"/>
  <c r="CC41" i="27"/>
  <c r="C42" i="27"/>
  <c r="D42" i="27" s="1"/>
  <c r="K42" i="27"/>
  <c r="M42" i="27"/>
  <c r="N42" i="27" s="1"/>
  <c r="U42" i="27"/>
  <c r="W42" i="27"/>
  <c r="X42" i="27" s="1"/>
  <c r="AE42" i="27"/>
  <c r="AG42" i="27"/>
  <c r="AH42" i="27" s="1"/>
  <c r="AO42" i="27"/>
  <c r="AQ42" i="27"/>
  <c r="AR42" i="27" s="1"/>
  <c r="AY42" i="27"/>
  <c r="BA42" i="27"/>
  <c r="BB42" i="27" s="1"/>
  <c r="BI42" i="27"/>
  <c r="BK42" i="27"/>
  <c r="BL42" i="27" s="1"/>
  <c r="BS42" i="27"/>
  <c r="BU42" i="27"/>
  <c r="BV42" i="27" s="1"/>
  <c r="CC42" i="27"/>
  <c r="C43" i="27"/>
  <c r="D43" i="27" s="1"/>
  <c r="K43" i="27"/>
  <c r="M43" i="27"/>
  <c r="N43" i="27" s="1"/>
  <c r="U43" i="27"/>
  <c r="W43" i="27"/>
  <c r="X43" i="27" s="1"/>
  <c r="AE43" i="27"/>
  <c r="AG43" i="27"/>
  <c r="AH43" i="27" s="1"/>
  <c r="AO43" i="27"/>
  <c r="AQ43" i="27"/>
  <c r="AR43" i="27" s="1"/>
  <c r="AY43" i="27"/>
  <c r="BA43" i="27"/>
  <c r="BB43" i="27" s="1"/>
  <c r="BI43" i="27"/>
  <c r="BK43" i="27"/>
  <c r="BL43" i="27" s="1"/>
  <c r="BS43" i="27"/>
  <c r="BU43" i="27"/>
  <c r="BV43" i="27"/>
  <c r="CC43" i="27"/>
  <c r="C44" i="27"/>
  <c r="D44" i="27" s="1"/>
  <c r="K44" i="27"/>
  <c r="M44" i="27"/>
  <c r="N44" i="27"/>
  <c r="U44" i="27"/>
  <c r="W44" i="27"/>
  <c r="X44" i="27" s="1"/>
  <c r="AE44" i="27"/>
  <c r="AG44" i="27"/>
  <c r="AH44" i="27" s="1"/>
  <c r="AO44" i="27"/>
  <c r="AQ44" i="27"/>
  <c r="AR44" i="27" s="1"/>
  <c r="AX44" i="27"/>
  <c r="AY44" i="27" s="1"/>
  <c r="BA44" i="27"/>
  <c r="BB44" i="27" s="1"/>
  <c r="BI44" i="27"/>
  <c r="BK44" i="27"/>
  <c r="BL44" i="27"/>
  <c r="BS44" i="27"/>
  <c r="BU44" i="27"/>
  <c r="BV44" i="27" s="1"/>
  <c r="CC44" i="27"/>
  <c r="C45" i="27"/>
  <c r="D45" i="27" s="1"/>
  <c r="K45" i="27"/>
  <c r="M45" i="27"/>
  <c r="N45" i="27" s="1"/>
  <c r="U45" i="27"/>
  <c r="W45" i="27"/>
  <c r="X45" i="27"/>
  <c r="AE45" i="27"/>
  <c r="AG45" i="27"/>
  <c r="AH45" i="27" s="1"/>
  <c r="AO45" i="27"/>
  <c r="AQ45" i="27"/>
  <c r="AR45" i="27" s="1"/>
  <c r="AY45" i="27"/>
  <c r="BA45" i="27"/>
  <c r="BB45" i="27" s="1"/>
  <c r="BI45" i="27"/>
  <c r="BK45" i="27"/>
  <c r="BL45" i="27" s="1"/>
  <c r="BS45" i="27"/>
  <c r="BU45" i="27"/>
  <c r="BV45" i="27" s="1"/>
  <c r="CC45" i="27"/>
  <c r="C46" i="27"/>
  <c r="D46" i="27" s="1"/>
  <c r="K46" i="27"/>
  <c r="M46" i="27"/>
  <c r="N46" i="27"/>
  <c r="U46" i="27"/>
  <c r="W46" i="27"/>
  <c r="X46" i="27"/>
  <c r="AE46" i="27"/>
  <c r="AG46" i="27"/>
  <c r="AH46" i="27" s="1"/>
  <c r="AO46" i="27"/>
  <c r="AQ46" i="27"/>
  <c r="AR46" i="27" s="1"/>
  <c r="AY46" i="27"/>
  <c r="BA46" i="27"/>
  <c r="BB46" i="27" s="1"/>
  <c r="BI46" i="27"/>
  <c r="BK46" i="27"/>
  <c r="BL46" i="27" s="1"/>
  <c r="BS46" i="27"/>
  <c r="BU46" i="27"/>
  <c r="BV46" i="27" s="1"/>
  <c r="CC46" i="27"/>
  <c r="C47" i="27"/>
  <c r="D47" i="27" s="1"/>
  <c r="K47" i="27"/>
  <c r="M47" i="27"/>
  <c r="N47" i="27"/>
  <c r="U47" i="27"/>
  <c r="W47" i="27"/>
  <c r="X47" i="27"/>
  <c r="AE47" i="27"/>
  <c r="AG47" i="27"/>
  <c r="AH47" i="27" s="1"/>
  <c r="AO47" i="27"/>
  <c r="AQ47" i="27"/>
  <c r="AR47" i="27" s="1"/>
  <c r="AY47" i="27"/>
  <c r="BA47" i="27"/>
  <c r="BB47" i="27" s="1"/>
  <c r="BI47" i="27"/>
  <c r="BK47" i="27"/>
  <c r="BL47" i="27" s="1"/>
  <c r="BS47" i="27"/>
  <c r="BU47" i="27"/>
  <c r="BV47" i="27" s="1"/>
  <c r="CB47" i="27"/>
  <c r="C48" i="27"/>
  <c r="D48" i="27" s="1"/>
  <c r="K48" i="27"/>
  <c r="M48" i="27"/>
  <c r="N48" i="27" s="1"/>
  <c r="U48" i="27"/>
  <c r="W48" i="27"/>
  <c r="AE48" i="27"/>
  <c r="AG48" i="27"/>
  <c r="AH48" i="27"/>
  <c r="AO48" i="27"/>
  <c r="AQ48" i="27"/>
  <c r="AR48" i="27" s="1"/>
  <c r="AY48" i="27"/>
  <c r="BA48" i="27"/>
  <c r="BB48" i="27" s="1"/>
  <c r="BI48" i="27"/>
  <c r="BK48" i="27"/>
  <c r="BL48" i="27"/>
  <c r="BS48" i="27"/>
  <c r="BU48" i="27"/>
  <c r="BV48" i="27" s="1"/>
  <c r="CC48" i="27"/>
  <c r="C49" i="27"/>
  <c r="D49" i="27" s="1"/>
  <c r="K49" i="27"/>
  <c r="M49" i="27"/>
  <c r="N49" i="27" s="1"/>
  <c r="U49" i="27"/>
  <c r="W49" i="27"/>
  <c r="X49" i="27" s="1"/>
  <c r="AE49" i="27"/>
  <c r="AG49" i="27"/>
  <c r="AH49" i="27" s="1"/>
  <c r="AO49" i="27"/>
  <c r="AQ49" i="27"/>
  <c r="AR49" i="27" s="1"/>
  <c r="AY49" i="27"/>
  <c r="BA49" i="27"/>
  <c r="BB49" i="27"/>
  <c r="BI49" i="27"/>
  <c r="BK49" i="27"/>
  <c r="BL49" i="27" s="1"/>
  <c r="BS49" i="27"/>
  <c r="BU49" i="27"/>
  <c r="BV49" i="27" s="1"/>
  <c r="CC49" i="27"/>
  <c r="C50" i="27"/>
  <c r="D50" i="27" s="1"/>
  <c r="K50" i="27"/>
  <c r="M50" i="27"/>
  <c r="N50" i="27" s="1"/>
  <c r="U50" i="27"/>
  <c r="W50" i="27"/>
  <c r="X50" i="27" s="1"/>
  <c r="AE50" i="27"/>
  <c r="AG50" i="27"/>
  <c r="AH50" i="27"/>
  <c r="AO50" i="27"/>
  <c r="AQ50" i="27"/>
  <c r="AR50" i="27" s="1"/>
  <c r="AY50" i="27"/>
  <c r="BA50" i="27"/>
  <c r="BB50" i="27" s="1"/>
  <c r="BI50" i="27"/>
  <c r="BK50" i="27"/>
  <c r="BL50" i="27"/>
  <c r="BS50" i="27"/>
  <c r="BU50" i="27"/>
  <c r="BV50" i="27" s="1"/>
  <c r="CC50" i="27"/>
  <c r="C51" i="27"/>
  <c r="D51" i="27" s="1"/>
  <c r="K51" i="27"/>
  <c r="M51" i="27"/>
  <c r="N51" i="27" s="1"/>
  <c r="U51" i="27"/>
  <c r="W51" i="27"/>
  <c r="X51" i="27" s="1"/>
  <c r="AE51" i="27"/>
  <c r="AG51" i="27"/>
  <c r="AH51" i="27"/>
  <c r="AO51" i="27"/>
  <c r="AQ51" i="27"/>
  <c r="AR51" i="27" s="1"/>
  <c r="AY51" i="27"/>
  <c r="BA51" i="27"/>
  <c r="BB51" i="27"/>
  <c r="BI51" i="27"/>
  <c r="BK51" i="27"/>
  <c r="BL51" i="27"/>
  <c r="BS51" i="27"/>
  <c r="BU51" i="27"/>
  <c r="BV51" i="27" s="1"/>
  <c r="CC51" i="27"/>
  <c r="K52" i="27"/>
  <c r="U52" i="27"/>
  <c r="W52" i="27"/>
  <c r="X52" i="27"/>
  <c r="AE52" i="27"/>
  <c r="AG52" i="27"/>
  <c r="AH52" i="27" s="1"/>
  <c r="AO52" i="27"/>
  <c r="AQ52" i="27"/>
  <c r="AR52" i="27" s="1"/>
  <c r="AY52" i="27"/>
  <c r="BA52" i="27"/>
  <c r="BB52" i="27" s="1"/>
  <c r="BI52" i="27"/>
  <c r="BK52" i="27"/>
  <c r="BL52" i="27" s="1"/>
  <c r="BS52" i="27"/>
  <c r="BU52" i="27"/>
  <c r="BV52" i="27" s="1"/>
  <c r="CB52" i="27"/>
  <c r="CC52" i="27" s="1"/>
  <c r="K53" i="27"/>
  <c r="U53" i="27"/>
  <c r="W53" i="27"/>
  <c r="X53" i="27"/>
  <c r="AE53" i="27"/>
  <c r="AG53" i="27"/>
  <c r="AH53" i="27" s="1"/>
  <c r="AO53" i="27"/>
  <c r="AQ53" i="27"/>
  <c r="AR53" i="27" s="1"/>
  <c r="AY53" i="27"/>
  <c r="BA53" i="27"/>
  <c r="BB53" i="27" s="1"/>
  <c r="BI53" i="27"/>
  <c r="BK53" i="27"/>
  <c r="BL53" i="27" s="1"/>
  <c r="BS53" i="27"/>
  <c r="BU53" i="27"/>
  <c r="CC53" i="27"/>
  <c r="BK54" i="27"/>
  <c r="BL54" i="27"/>
  <c r="BS54" i="27"/>
  <c r="BU54" i="27"/>
  <c r="BV54" i="27" s="1"/>
  <c r="CC54" i="27"/>
  <c r="BK55" i="27"/>
  <c r="BL55" i="27" s="1"/>
  <c r="BS55" i="27"/>
  <c r="BU55" i="27"/>
  <c r="BV55" i="27" s="1"/>
  <c r="CC55" i="27"/>
  <c r="BK56" i="27"/>
  <c r="BL56" i="27" s="1"/>
  <c r="BS56" i="27"/>
  <c r="BU56" i="27"/>
  <c r="BV56" i="27" s="1"/>
  <c r="CC56" i="27"/>
  <c r="BK57" i="27"/>
  <c r="BL57" i="27" s="1"/>
  <c r="BS57" i="27"/>
  <c r="BU57" i="27"/>
  <c r="BV57" i="27" s="1"/>
  <c r="CC57" i="27"/>
  <c r="BK58" i="27"/>
  <c r="BL58" i="27" s="1"/>
  <c r="BS58" i="27"/>
  <c r="BU58" i="27"/>
  <c r="BV58" i="27" s="1"/>
  <c r="CC58" i="27"/>
  <c r="BK59" i="27"/>
  <c r="BL59" i="27" s="1"/>
  <c r="BS59" i="27"/>
  <c r="BU59" i="27"/>
  <c r="BV59" i="27" s="1"/>
  <c r="CC59" i="27"/>
  <c r="B61" i="27"/>
  <c r="E61" i="27"/>
  <c r="F61" i="27"/>
  <c r="G61" i="27"/>
  <c r="H61" i="27"/>
  <c r="I61" i="27"/>
  <c r="J61" i="27"/>
  <c r="L61" i="27"/>
  <c r="O61" i="27"/>
  <c r="P61" i="27"/>
  <c r="Q61" i="27"/>
  <c r="R61" i="27"/>
  <c r="S61" i="27"/>
  <c r="T61" i="27"/>
  <c r="V61" i="27"/>
  <c r="Y61" i="27"/>
  <c r="Z61" i="27"/>
  <c r="AA61" i="27"/>
  <c r="AB61" i="27"/>
  <c r="AC61" i="27"/>
  <c r="AD61" i="27"/>
  <c r="AF61" i="27"/>
  <c r="AI61" i="27"/>
  <c r="AJ61" i="27"/>
  <c r="AK61" i="27"/>
  <c r="AL61" i="27"/>
  <c r="AM61" i="27"/>
  <c r="AN61" i="27"/>
  <c r="AP61" i="27"/>
  <c r="AS61" i="27"/>
  <c r="AT61" i="27"/>
  <c r="AT88" i="27" s="1"/>
  <c r="AU61" i="27"/>
  <c r="AV61" i="27"/>
  <c r="AW61" i="27"/>
  <c r="AZ61" i="27"/>
  <c r="BC61" i="27"/>
  <c r="BD61" i="27"/>
  <c r="BE61" i="27"/>
  <c r="BE88" i="27" s="1"/>
  <c r="BF61" i="27"/>
  <c r="BG61" i="27"/>
  <c r="BH61" i="27"/>
  <c r="BJ61" i="27"/>
  <c r="BM61" i="27"/>
  <c r="BN61" i="27"/>
  <c r="BO61" i="27"/>
  <c r="BP61" i="27"/>
  <c r="BQ61" i="27"/>
  <c r="BR61" i="27"/>
  <c r="BT61" i="27"/>
  <c r="BW61" i="27"/>
  <c r="BX61" i="27"/>
  <c r="BY61" i="27"/>
  <c r="BZ61" i="27"/>
  <c r="CA61" i="27"/>
  <c r="CA88" i="27" s="1"/>
  <c r="C64" i="27"/>
  <c r="D64" i="27"/>
  <c r="K64" i="27"/>
  <c r="M64" i="27"/>
  <c r="U64" i="27"/>
  <c r="W64" i="27"/>
  <c r="X64" i="27" s="1"/>
  <c r="AE64" i="27"/>
  <c r="AG64" i="27"/>
  <c r="AH64" i="27" s="1"/>
  <c r="AO64" i="27"/>
  <c r="AQ64" i="27"/>
  <c r="AR64" i="27" s="1"/>
  <c r="AY64" i="27"/>
  <c r="BA64" i="27"/>
  <c r="BB64" i="27" s="1"/>
  <c r="BI64" i="27"/>
  <c r="BK64" i="27"/>
  <c r="BL64" i="27" s="1"/>
  <c r="BS64" i="27"/>
  <c r="BU64" i="27"/>
  <c r="BV64" i="27" s="1"/>
  <c r="CB64" i="27"/>
  <c r="CC64" i="27" s="1"/>
  <c r="C65" i="27"/>
  <c r="K65" i="27"/>
  <c r="M65" i="27"/>
  <c r="N65" i="27" s="1"/>
  <c r="U65" i="27"/>
  <c r="W65" i="27"/>
  <c r="X65" i="27" s="1"/>
  <c r="AE65" i="27"/>
  <c r="AG65" i="27"/>
  <c r="AH65" i="27" s="1"/>
  <c r="AO65" i="27"/>
  <c r="AQ65" i="27"/>
  <c r="AR65" i="27" s="1"/>
  <c r="AY65" i="27"/>
  <c r="BA65" i="27"/>
  <c r="BB65" i="27" s="1"/>
  <c r="BI65" i="27"/>
  <c r="BK65" i="27"/>
  <c r="BS65" i="27"/>
  <c r="BU65" i="27"/>
  <c r="BV65" i="27" s="1"/>
  <c r="CC65" i="27"/>
  <c r="C66" i="27"/>
  <c r="D66" i="27" s="1"/>
  <c r="K66" i="27"/>
  <c r="M66" i="27"/>
  <c r="N66" i="27" s="1"/>
  <c r="U66" i="27"/>
  <c r="W66" i="27"/>
  <c r="X66" i="27" s="1"/>
  <c r="AE66" i="27"/>
  <c r="AG66" i="27"/>
  <c r="AH66" i="27" s="1"/>
  <c r="AO66" i="27"/>
  <c r="AQ66" i="27"/>
  <c r="AR66" i="27" s="1"/>
  <c r="AY66" i="27"/>
  <c r="BA66" i="27"/>
  <c r="BB66" i="27" s="1"/>
  <c r="BI66" i="27"/>
  <c r="BK66" i="27"/>
  <c r="BL66" i="27" s="1"/>
  <c r="BS66" i="27"/>
  <c r="BU66" i="27"/>
  <c r="BV66" i="27" s="1"/>
  <c r="CC66" i="27"/>
  <c r="C67" i="27"/>
  <c r="D67" i="27" s="1"/>
  <c r="K67" i="27"/>
  <c r="M67" i="27"/>
  <c r="N67" i="27" s="1"/>
  <c r="U67" i="27"/>
  <c r="W67" i="27"/>
  <c r="X67" i="27" s="1"/>
  <c r="AE67" i="27"/>
  <c r="AG67" i="27"/>
  <c r="AH67" i="27" s="1"/>
  <c r="AO67" i="27"/>
  <c r="AQ67" i="27"/>
  <c r="AR67" i="27"/>
  <c r="AY67" i="27"/>
  <c r="BA67" i="27"/>
  <c r="BB67" i="27" s="1"/>
  <c r="BI67" i="27"/>
  <c r="BK67" i="27"/>
  <c r="BL67" i="27" s="1"/>
  <c r="BS67" i="27"/>
  <c r="BU67" i="27"/>
  <c r="BV67" i="27" s="1"/>
  <c r="CB67" i="27"/>
  <c r="CC67" i="27" s="1"/>
  <c r="C68" i="27"/>
  <c r="D68" i="27"/>
  <c r="K68" i="27"/>
  <c r="O68" i="27"/>
  <c r="M68" i="27" s="1"/>
  <c r="N68" i="27" s="1"/>
  <c r="U68" i="27"/>
  <c r="W68" i="27"/>
  <c r="AE68" i="27"/>
  <c r="AG68" i="27"/>
  <c r="AH68" i="27" s="1"/>
  <c r="AO68" i="27"/>
  <c r="AQ68" i="27"/>
  <c r="AR68" i="27" s="1"/>
  <c r="AY68" i="27"/>
  <c r="BA68" i="27"/>
  <c r="BB68" i="27" s="1"/>
  <c r="BI68" i="27"/>
  <c r="BK68" i="27"/>
  <c r="BL68" i="27"/>
  <c r="BS68" i="27"/>
  <c r="BU68" i="27"/>
  <c r="BV68" i="27" s="1"/>
  <c r="CC68" i="27"/>
  <c r="C69" i="27"/>
  <c r="D69" i="27" s="1"/>
  <c r="K69" i="27"/>
  <c r="M69" i="27"/>
  <c r="N69" i="27" s="1"/>
  <c r="U69" i="27"/>
  <c r="W69" i="27"/>
  <c r="X69" i="27" s="1"/>
  <c r="AE69" i="27"/>
  <c r="AG69" i="27"/>
  <c r="AH69" i="27" s="1"/>
  <c r="AO69" i="27"/>
  <c r="AQ69" i="27"/>
  <c r="AR69" i="27" s="1"/>
  <c r="AY69" i="27"/>
  <c r="BA69" i="27"/>
  <c r="BB69" i="27" s="1"/>
  <c r="BI69" i="27"/>
  <c r="BK69" i="27"/>
  <c r="BL69" i="27"/>
  <c r="BS69" i="27"/>
  <c r="BU69" i="27"/>
  <c r="BV69" i="27"/>
  <c r="CB69" i="27"/>
  <c r="CC69" i="27" s="1"/>
  <c r="C70" i="27"/>
  <c r="D70" i="27" s="1"/>
  <c r="K70" i="27"/>
  <c r="M70" i="27"/>
  <c r="N70" i="27" s="1"/>
  <c r="U70" i="27"/>
  <c r="W70" i="27"/>
  <c r="X70" i="27"/>
  <c r="AE70" i="27"/>
  <c r="AG70" i="27"/>
  <c r="AH70" i="27"/>
  <c r="AO70" i="27"/>
  <c r="AQ70" i="27"/>
  <c r="AR70" i="27" s="1"/>
  <c r="AY70" i="27"/>
  <c r="BA70" i="27"/>
  <c r="BI70" i="27"/>
  <c r="BK70" i="27"/>
  <c r="BL70" i="27" s="1"/>
  <c r="BS70" i="27"/>
  <c r="BU70" i="27"/>
  <c r="BV70" i="27" s="1"/>
  <c r="CC70" i="27"/>
  <c r="C71" i="27"/>
  <c r="D71" i="27" s="1"/>
  <c r="K71" i="27"/>
  <c r="M71" i="27"/>
  <c r="N71" i="27" s="1"/>
  <c r="U71" i="27"/>
  <c r="W71" i="27"/>
  <c r="X71" i="27" s="1"/>
  <c r="AE71" i="27"/>
  <c r="AG71" i="27"/>
  <c r="AH71" i="27" s="1"/>
  <c r="AO71" i="27"/>
  <c r="AQ71" i="27"/>
  <c r="AR71" i="27" s="1"/>
  <c r="AY71" i="27"/>
  <c r="BA71" i="27"/>
  <c r="BB71" i="27" s="1"/>
  <c r="BI71" i="27"/>
  <c r="BK71" i="27"/>
  <c r="BL71" i="27" s="1"/>
  <c r="BS71" i="27"/>
  <c r="BU71" i="27"/>
  <c r="BV71" i="27" s="1"/>
  <c r="CC71" i="27"/>
  <c r="C72" i="27"/>
  <c r="D72" i="27" s="1"/>
  <c r="K72" i="27"/>
  <c r="M72" i="27"/>
  <c r="N72" i="27" s="1"/>
  <c r="U72" i="27"/>
  <c r="W72" i="27"/>
  <c r="X72" i="27"/>
  <c r="AE72" i="27"/>
  <c r="AG72" i="27"/>
  <c r="AH72" i="27" s="1"/>
  <c r="AO72" i="27"/>
  <c r="AQ72" i="27"/>
  <c r="AR72" i="27" s="1"/>
  <c r="AY72" i="27"/>
  <c r="BA72" i="27"/>
  <c r="BB72" i="27" s="1"/>
  <c r="BI72" i="27"/>
  <c r="BK72" i="27"/>
  <c r="BL72" i="27" s="1"/>
  <c r="BS72" i="27"/>
  <c r="BU72" i="27"/>
  <c r="BV72" i="27" s="1"/>
  <c r="CB72" i="27"/>
  <c r="CC72" i="27" s="1"/>
  <c r="C73" i="27"/>
  <c r="D73" i="27" s="1"/>
  <c r="K73" i="27"/>
  <c r="M73" i="27"/>
  <c r="N73" i="27" s="1"/>
  <c r="U73" i="27"/>
  <c r="W73" i="27"/>
  <c r="X73" i="27" s="1"/>
  <c r="AE73" i="27"/>
  <c r="AG73" i="27"/>
  <c r="AH73" i="27" s="1"/>
  <c r="AO73" i="27"/>
  <c r="AQ73" i="27"/>
  <c r="AY73" i="27"/>
  <c r="BA73" i="27"/>
  <c r="BB73" i="27" s="1"/>
  <c r="BI73" i="27"/>
  <c r="BK73" i="27"/>
  <c r="BL73" i="27" s="1"/>
  <c r="BS73" i="27"/>
  <c r="BU73" i="27"/>
  <c r="BV73" i="27"/>
  <c r="CB73" i="27"/>
  <c r="CC73" i="27" s="1"/>
  <c r="C74" i="27"/>
  <c r="D74" i="27" s="1"/>
  <c r="K74" i="27"/>
  <c r="M74" i="27"/>
  <c r="N74" i="27" s="1"/>
  <c r="U74" i="27"/>
  <c r="W74" i="27"/>
  <c r="X74" i="27" s="1"/>
  <c r="AE74" i="27"/>
  <c r="AG74" i="27"/>
  <c r="AH74" i="27" s="1"/>
  <c r="AO74" i="27"/>
  <c r="AQ74" i="27"/>
  <c r="AR74" i="27"/>
  <c r="AY74" i="27"/>
  <c r="BA74" i="27"/>
  <c r="BB74" i="27" s="1"/>
  <c r="BI74" i="27"/>
  <c r="BK74" i="27"/>
  <c r="BL74" i="27" s="1"/>
  <c r="BS74" i="27"/>
  <c r="BU74" i="27"/>
  <c r="BV74" i="27" s="1"/>
  <c r="CC74" i="27"/>
  <c r="C75" i="27"/>
  <c r="D75" i="27" s="1"/>
  <c r="K75" i="27"/>
  <c r="M75" i="27"/>
  <c r="N75" i="27" s="1"/>
  <c r="U75" i="27"/>
  <c r="W75" i="27"/>
  <c r="X75" i="27" s="1"/>
  <c r="AE75" i="27"/>
  <c r="AG75" i="27"/>
  <c r="AH75" i="27" s="1"/>
  <c r="AO75" i="27"/>
  <c r="AQ75" i="27"/>
  <c r="AR75" i="27"/>
  <c r="AY75" i="27"/>
  <c r="BA75" i="27"/>
  <c r="BB75" i="27"/>
  <c r="BI75" i="27"/>
  <c r="BK75" i="27"/>
  <c r="BL75" i="27" s="1"/>
  <c r="BS75" i="27"/>
  <c r="BU75" i="27"/>
  <c r="BV75" i="27" s="1"/>
  <c r="CB75" i="27"/>
  <c r="CC75" i="27" s="1"/>
  <c r="C76" i="27"/>
  <c r="D76" i="27"/>
  <c r="K76" i="27"/>
  <c r="M76" i="27"/>
  <c r="N76" i="27"/>
  <c r="U76" i="27"/>
  <c r="W76" i="27"/>
  <c r="X76" i="27" s="1"/>
  <c r="AE76" i="27"/>
  <c r="AG76" i="27"/>
  <c r="AH76" i="27" s="1"/>
  <c r="AO76" i="27"/>
  <c r="AQ76" i="27"/>
  <c r="AR76" i="27" s="1"/>
  <c r="AY76" i="27"/>
  <c r="BA76" i="27"/>
  <c r="BB76" i="27" s="1"/>
  <c r="BI76" i="27"/>
  <c r="BK76" i="27"/>
  <c r="BL76" i="27" s="1"/>
  <c r="BS76" i="27"/>
  <c r="BU76" i="27"/>
  <c r="BV76" i="27" s="1"/>
  <c r="CC76" i="27"/>
  <c r="C77" i="27"/>
  <c r="D77" i="27" s="1"/>
  <c r="K77" i="27"/>
  <c r="M77" i="27"/>
  <c r="N77" i="27" s="1"/>
  <c r="U77" i="27"/>
  <c r="W77" i="27"/>
  <c r="X77" i="27" s="1"/>
  <c r="AE77" i="27"/>
  <c r="AG77" i="27"/>
  <c r="AH77" i="27" s="1"/>
  <c r="AO77" i="27"/>
  <c r="AQ77" i="27"/>
  <c r="AR77" i="27" s="1"/>
  <c r="AY77" i="27"/>
  <c r="BA77" i="27"/>
  <c r="BB77" i="27" s="1"/>
  <c r="BI77" i="27"/>
  <c r="BK77" i="27"/>
  <c r="BL77" i="27" s="1"/>
  <c r="BS77" i="27"/>
  <c r="BU77" i="27"/>
  <c r="BV77" i="27" s="1"/>
  <c r="CC77" i="27"/>
  <c r="BU78" i="27"/>
  <c r="BV78" i="27"/>
  <c r="CC78" i="27"/>
  <c r="BU79" i="27"/>
  <c r="BV79" i="27" s="1"/>
  <c r="CC79" i="27"/>
  <c r="C80" i="27"/>
  <c r="D80" i="27" s="1"/>
  <c r="K80" i="27"/>
  <c r="M80" i="27"/>
  <c r="N80" i="27" s="1"/>
  <c r="U80" i="27"/>
  <c r="W80" i="27"/>
  <c r="X80" i="27" s="1"/>
  <c r="AE80" i="27"/>
  <c r="AG80" i="27"/>
  <c r="AH80" i="27" s="1"/>
  <c r="AO80" i="27"/>
  <c r="AQ80" i="27"/>
  <c r="AR80" i="27" s="1"/>
  <c r="AY80" i="27"/>
  <c r="BA80" i="27"/>
  <c r="BB80" i="27" s="1"/>
  <c r="BI80" i="27"/>
  <c r="BK80" i="27"/>
  <c r="BL80" i="27"/>
  <c r="BS80" i="27"/>
  <c r="BU80" i="27"/>
  <c r="BV80" i="27"/>
  <c r="CC80" i="27"/>
  <c r="C81" i="27"/>
  <c r="D81" i="27" s="1"/>
  <c r="K81" i="27"/>
  <c r="M81" i="27"/>
  <c r="N81" i="27" s="1"/>
  <c r="U81" i="27"/>
  <c r="W81" i="27"/>
  <c r="X81" i="27" s="1"/>
  <c r="AE81" i="27"/>
  <c r="AG81" i="27"/>
  <c r="AH81" i="27" s="1"/>
  <c r="AO81" i="27"/>
  <c r="AQ81" i="27"/>
  <c r="AR81" i="27" s="1"/>
  <c r="AY81" i="27"/>
  <c r="BA81" i="27"/>
  <c r="BB81" i="27" s="1"/>
  <c r="BI81" i="27"/>
  <c r="BK81" i="27"/>
  <c r="BL81" i="27"/>
  <c r="BS81" i="27"/>
  <c r="BU81" i="27"/>
  <c r="BV81" i="27"/>
  <c r="CC81" i="27"/>
  <c r="C82" i="27"/>
  <c r="D82" i="27" s="1"/>
  <c r="K82" i="27"/>
  <c r="M82" i="27"/>
  <c r="N82" i="27" s="1"/>
  <c r="U82" i="27"/>
  <c r="W82" i="27"/>
  <c r="X82" i="27" s="1"/>
  <c r="AE82" i="27"/>
  <c r="AG82" i="27"/>
  <c r="AH82" i="27" s="1"/>
  <c r="AO82" i="27"/>
  <c r="AQ82" i="27"/>
  <c r="AR82" i="27" s="1"/>
  <c r="AY82" i="27"/>
  <c r="BA82" i="27"/>
  <c r="BB82" i="27" s="1"/>
  <c r="BI82" i="27"/>
  <c r="BK82" i="27"/>
  <c r="BL82" i="27" s="1"/>
  <c r="BS82" i="27"/>
  <c r="BU82" i="27"/>
  <c r="BV82" i="27" s="1"/>
  <c r="CC82" i="27"/>
  <c r="C83" i="27"/>
  <c r="D83" i="27" s="1"/>
  <c r="K83" i="27"/>
  <c r="M83" i="27"/>
  <c r="N83" i="27" s="1"/>
  <c r="U83" i="27"/>
  <c r="W83" i="27"/>
  <c r="X83" i="27" s="1"/>
  <c r="AE83" i="27"/>
  <c r="AG83" i="27"/>
  <c r="AH83" i="27" s="1"/>
  <c r="AO83" i="27"/>
  <c r="AQ83" i="27"/>
  <c r="AR83" i="27" s="1"/>
  <c r="AY83" i="27"/>
  <c r="BA83" i="27"/>
  <c r="BB83" i="27" s="1"/>
  <c r="BI83" i="27"/>
  <c r="BK83" i="27"/>
  <c r="BL83" i="27"/>
  <c r="BS83" i="27"/>
  <c r="BU83" i="27"/>
  <c r="BV83" i="27" s="1"/>
  <c r="CC83" i="27"/>
  <c r="C84" i="27"/>
  <c r="D84" i="27" s="1"/>
  <c r="K84" i="27"/>
  <c r="M84" i="27"/>
  <c r="N84" i="27" s="1"/>
  <c r="U84" i="27"/>
  <c r="W84" i="27"/>
  <c r="X84" i="27"/>
  <c r="AE84" i="27"/>
  <c r="AG84" i="27"/>
  <c r="AH84" i="27" s="1"/>
  <c r="AO84" i="27"/>
  <c r="AQ84" i="27"/>
  <c r="AR84" i="27" s="1"/>
  <c r="AY84" i="27"/>
  <c r="BA84" i="27"/>
  <c r="BB84" i="27" s="1"/>
  <c r="BI84" i="27"/>
  <c r="BK84" i="27"/>
  <c r="BL84" i="27" s="1"/>
  <c r="BS84" i="27"/>
  <c r="BU84" i="27"/>
  <c r="BV84" i="27"/>
  <c r="CC84" i="27"/>
  <c r="B86" i="27"/>
  <c r="E86" i="27"/>
  <c r="F86" i="27"/>
  <c r="G86" i="27"/>
  <c r="H86" i="27"/>
  <c r="I86" i="27"/>
  <c r="J86" i="27"/>
  <c r="L86" i="27"/>
  <c r="P86" i="27"/>
  <c r="Q86" i="27"/>
  <c r="R86" i="27"/>
  <c r="S86" i="27"/>
  <c r="T86" i="27"/>
  <c r="V86" i="27"/>
  <c r="Y86" i="27"/>
  <c r="Z86" i="27"/>
  <c r="AA86" i="27"/>
  <c r="AB86" i="27"/>
  <c r="AC86" i="27"/>
  <c r="AD86" i="27"/>
  <c r="AF86" i="27"/>
  <c r="AI86" i="27"/>
  <c r="AJ86" i="27"/>
  <c r="AK86" i="27"/>
  <c r="AL86" i="27"/>
  <c r="AL88" i="27" s="1"/>
  <c r="AM86" i="27"/>
  <c r="AN86" i="27"/>
  <c r="AN88" i="27" s="1"/>
  <c r="AP86" i="27"/>
  <c r="AP88" i="27" s="1"/>
  <c r="AS86" i="27"/>
  <c r="AT86" i="27"/>
  <c r="AU86" i="27"/>
  <c r="AU88" i="27" s="1"/>
  <c r="AU137" i="27" s="1"/>
  <c r="AV86" i="27"/>
  <c r="AW86" i="27"/>
  <c r="AX86" i="27"/>
  <c r="AZ86" i="27"/>
  <c r="BC86" i="27"/>
  <c r="BD86" i="27"/>
  <c r="BE86" i="27"/>
  <c r="BF86" i="27"/>
  <c r="BG86" i="27"/>
  <c r="BH86" i="27"/>
  <c r="BJ86" i="27"/>
  <c r="BM86" i="27"/>
  <c r="BM88" i="27" s="1"/>
  <c r="BN86" i="27"/>
  <c r="BO86" i="27"/>
  <c r="BP86" i="27"/>
  <c r="BQ86" i="27"/>
  <c r="BR86" i="27"/>
  <c r="BR88" i="27" s="1"/>
  <c r="BT86" i="27"/>
  <c r="BT88" i="27" s="1"/>
  <c r="BW86" i="27"/>
  <c r="BX86" i="27"/>
  <c r="BY86" i="27"/>
  <c r="BZ86" i="27"/>
  <c r="CA86" i="27"/>
  <c r="H88" i="27"/>
  <c r="I88" i="27"/>
  <c r="P88" i="27"/>
  <c r="Y88" i="27"/>
  <c r="AD88" i="27"/>
  <c r="AM88" i="27"/>
  <c r="AW88" i="27"/>
  <c r="BD88" i="27"/>
  <c r="BF88" i="27"/>
  <c r="BZ88" i="27"/>
  <c r="C93" i="27"/>
  <c r="D93" i="27"/>
  <c r="K93" i="27"/>
  <c r="M93" i="27"/>
  <c r="N93" i="27"/>
  <c r="U93" i="27"/>
  <c r="W93" i="27"/>
  <c r="X93" i="27" s="1"/>
  <c r="AE93" i="27"/>
  <c r="AG93" i="27"/>
  <c r="AH93" i="27" s="1"/>
  <c r="AO93" i="27"/>
  <c r="AQ93" i="27"/>
  <c r="AY93" i="27"/>
  <c r="BA93" i="27"/>
  <c r="BI93" i="27"/>
  <c r="BK93" i="27"/>
  <c r="BL93" i="27" s="1"/>
  <c r="BS93" i="27"/>
  <c r="BU93" i="27"/>
  <c r="BV93" i="27" s="1"/>
  <c r="CC93" i="27"/>
  <c r="C94" i="27"/>
  <c r="D94" i="27" s="1"/>
  <c r="K94" i="27"/>
  <c r="M94" i="27"/>
  <c r="N94" i="27"/>
  <c r="U94" i="27"/>
  <c r="W94" i="27"/>
  <c r="X94" i="27" s="1"/>
  <c r="AE94" i="27"/>
  <c r="AG94" i="27"/>
  <c r="AH94" i="27" s="1"/>
  <c r="AO94" i="27"/>
  <c r="AQ94" i="27"/>
  <c r="AR94" i="27" s="1"/>
  <c r="AY94" i="27"/>
  <c r="BA94" i="27"/>
  <c r="BB94" i="27" s="1"/>
  <c r="BI94" i="27"/>
  <c r="BK94" i="27"/>
  <c r="BL94" i="27" s="1"/>
  <c r="BS94" i="27"/>
  <c r="BS99" i="27" s="1"/>
  <c r="BU94" i="27"/>
  <c r="BV94" i="27" s="1"/>
  <c r="CC94" i="27"/>
  <c r="C95" i="27"/>
  <c r="D95" i="27" s="1"/>
  <c r="K95" i="27"/>
  <c r="M95" i="27"/>
  <c r="N95" i="27" s="1"/>
  <c r="U95" i="27"/>
  <c r="W95" i="27"/>
  <c r="X95" i="27" s="1"/>
  <c r="AE95" i="27"/>
  <c r="AG95" i="27"/>
  <c r="AH95" i="27" s="1"/>
  <c r="AO95" i="27"/>
  <c r="AQ95" i="27"/>
  <c r="AR95" i="27" s="1"/>
  <c r="AY95" i="27"/>
  <c r="BB95" i="27"/>
  <c r="BI95" i="27"/>
  <c r="BK95" i="27"/>
  <c r="BL95" i="27" s="1"/>
  <c r="BS95" i="27"/>
  <c r="BU95" i="27"/>
  <c r="BV95" i="27" s="1"/>
  <c r="CC95" i="27"/>
  <c r="C96" i="27"/>
  <c r="K96" i="27"/>
  <c r="M96" i="27"/>
  <c r="N96" i="27"/>
  <c r="U96" i="27"/>
  <c r="W96" i="27"/>
  <c r="X96" i="27"/>
  <c r="AE96" i="27"/>
  <c r="AG96" i="27"/>
  <c r="AH96" i="27" s="1"/>
  <c r="AO96" i="27"/>
  <c r="AQ96" i="27"/>
  <c r="AR96" i="27" s="1"/>
  <c r="AY96" i="27"/>
  <c r="BA96" i="27"/>
  <c r="BB96" i="27" s="1"/>
  <c r="BI96" i="27"/>
  <c r="BK96" i="27"/>
  <c r="BL96" i="27" s="1"/>
  <c r="BS96" i="27"/>
  <c r="BU96" i="27"/>
  <c r="BV96" i="27" s="1"/>
  <c r="CC96" i="27"/>
  <c r="C97" i="27"/>
  <c r="D97" i="27" s="1"/>
  <c r="K97" i="27"/>
  <c r="M97" i="27"/>
  <c r="N97" i="27" s="1"/>
  <c r="U97" i="27"/>
  <c r="W97" i="27"/>
  <c r="X97" i="27"/>
  <c r="AE97" i="27"/>
  <c r="AG97" i="27"/>
  <c r="AH97" i="27" s="1"/>
  <c r="AO97" i="27"/>
  <c r="AQ97" i="27"/>
  <c r="AR97" i="27" s="1"/>
  <c r="AY97" i="27"/>
  <c r="BA97" i="27"/>
  <c r="BB97" i="27" s="1"/>
  <c r="BI97" i="27"/>
  <c r="BK97" i="27"/>
  <c r="BL97" i="27" s="1"/>
  <c r="BS97" i="27"/>
  <c r="BU97" i="27"/>
  <c r="BV97" i="27" s="1"/>
  <c r="CC97" i="27"/>
  <c r="B99" i="27"/>
  <c r="E99" i="27"/>
  <c r="F99" i="27"/>
  <c r="G99" i="27"/>
  <c r="H99" i="27"/>
  <c r="I99" i="27"/>
  <c r="J99" i="27"/>
  <c r="L99" i="27"/>
  <c r="N99" i="27" s="1"/>
  <c r="M99" i="27"/>
  <c r="O99" i="27"/>
  <c r="P99" i="27"/>
  <c r="Q99" i="27"/>
  <c r="R99" i="27"/>
  <c r="S99" i="27"/>
  <c r="T99" i="27"/>
  <c r="V99" i="27"/>
  <c r="V114" i="27" s="1"/>
  <c r="Y99" i="27"/>
  <c r="Z99" i="27"/>
  <c r="AA99" i="27"/>
  <c r="AA114" i="27" s="1"/>
  <c r="AB99" i="27"/>
  <c r="AC99" i="27"/>
  <c r="AD99" i="27"/>
  <c r="AF99" i="27"/>
  <c r="AG99" i="27"/>
  <c r="AH99" i="27" s="1"/>
  <c r="AI99" i="27"/>
  <c r="AJ99" i="27"/>
  <c r="AK99" i="27"/>
  <c r="AL99" i="27"/>
  <c r="AM99" i="27"/>
  <c r="AN99" i="27"/>
  <c r="AP99" i="27"/>
  <c r="AS99" i="27"/>
  <c r="AS114" i="27" s="1"/>
  <c r="AT99" i="27"/>
  <c r="AU99" i="27"/>
  <c r="AV99" i="27"/>
  <c r="AW99" i="27"/>
  <c r="AX99" i="27"/>
  <c r="AZ99" i="27"/>
  <c r="BC99" i="27"/>
  <c r="BD99" i="27"/>
  <c r="BD114" i="27" s="1"/>
  <c r="BE99" i="27"/>
  <c r="BF99" i="27"/>
  <c r="BG99" i="27"/>
  <c r="BH99" i="27"/>
  <c r="BJ99" i="27"/>
  <c r="BM99" i="27"/>
  <c r="BN99" i="27"/>
  <c r="BN114" i="27" s="1"/>
  <c r="BO99" i="27"/>
  <c r="BP99" i="27"/>
  <c r="BQ99" i="27"/>
  <c r="BR99" i="27"/>
  <c r="BT99" i="27"/>
  <c r="BW99" i="27"/>
  <c r="BX99" i="27"/>
  <c r="BY99" i="27"/>
  <c r="BY114" i="27" s="1"/>
  <c r="BZ99" i="27"/>
  <c r="CA99" i="27"/>
  <c r="CB99" i="27"/>
  <c r="C102" i="27"/>
  <c r="D102" i="27" s="1"/>
  <c r="K102" i="27"/>
  <c r="M102" i="27"/>
  <c r="N102" i="27" s="1"/>
  <c r="U102" i="27"/>
  <c r="W102" i="27"/>
  <c r="X102" i="27" s="1"/>
  <c r="AE102" i="27"/>
  <c r="AG102" i="27"/>
  <c r="AH102" i="27"/>
  <c r="AO102" i="27"/>
  <c r="AQ102" i="27"/>
  <c r="AR102" i="27"/>
  <c r="AY102" i="27"/>
  <c r="BA102" i="27"/>
  <c r="BB102" i="27" s="1"/>
  <c r="BI102" i="27"/>
  <c r="BK102" i="27"/>
  <c r="BL102" i="27" s="1"/>
  <c r="BS102" i="27"/>
  <c r="BU102" i="27"/>
  <c r="BV102" i="27" s="1"/>
  <c r="CC102" i="27"/>
  <c r="C103" i="27"/>
  <c r="D103" i="27" s="1"/>
  <c r="K103" i="27"/>
  <c r="M103" i="27"/>
  <c r="N103" i="27" s="1"/>
  <c r="U103" i="27"/>
  <c r="W103" i="27"/>
  <c r="X103" i="27" s="1"/>
  <c r="AE103" i="27"/>
  <c r="AG103" i="27"/>
  <c r="AH103" i="27" s="1"/>
  <c r="AO103" i="27"/>
  <c r="AQ103" i="27"/>
  <c r="AR103" i="27"/>
  <c r="AY103" i="27"/>
  <c r="BA103" i="27"/>
  <c r="BB103" i="27" s="1"/>
  <c r="BI103" i="27"/>
  <c r="BK103" i="27"/>
  <c r="BL103" i="27" s="1"/>
  <c r="BS103" i="27"/>
  <c r="BU103" i="27"/>
  <c r="BV103" i="27" s="1"/>
  <c r="CC103" i="27"/>
  <c r="C104" i="27"/>
  <c r="D104" i="27" s="1"/>
  <c r="K104" i="27"/>
  <c r="M104" i="27"/>
  <c r="N104" i="27"/>
  <c r="U104" i="27"/>
  <c r="W104" i="27"/>
  <c r="X104" i="27" s="1"/>
  <c r="AE104" i="27"/>
  <c r="AG104" i="27"/>
  <c r="AH104" i="27" s="1"/>
  <c r="AO104" i="27"/>
  <c r="AO112" i="27" s="1"/>
  <c r="AQ104" i="27"/>
  <c r="AR104" i="27" s="1"/>
  <c r="AY104" i="27"/>
  <c r="BA104" i="27"/>
  <c r="BB104" i="27" s="1"/>
  <c r="BI104" i="27"/>
  <c r="BK104" i="27"/>
  <c r="BL104" i="27" s="1"/>
  <c r="BS104" i="27"/>
  <c r="BU104" i="27"/>
  <c r="BV104" i="27" s="1"/>
  <c r="CC104" i="27"/>
  <c r="C105" i="27"/>
  <c r="D105" i="27" s="1"/>
  <c r="K105" i="27"/>
  <c r="M105" i="27"/>
  <c r="N105" i="27"/>
  <c r="U105" i="27"/>
  <c r="W105" i="27"/>
  <c r="X105" i="27" s="1"/>
  <c r="AE105" i="27"/>
  <c r="AG105" i="27"/>
  <c r="AH105" i="27" s="1"/>
  <c r="AO105" i="27"/>
  <c r="AQ105" i="27"/>
  <c r="AR105" i="27" s="1"/>
  <c r="AY105" i="27"/>
  <c r="BA105" i="27"/>
  <c r="BB105" i="27" s="1"/>
  <c r="BI105" i="27"/>
  <c r="BK105" i="27"/>
  <c r="BL105" i="27" s="1"/>
  <c r="BS105" i="27"/>
  <c r="BU105" i="27"/>
  <c r="BV105" i="27" s="1"/>
  <c r="CC105" i="27"/>
  <c r="C106" i="27"/>
  <c r="D106" i="27" s="1"/>
  <c r="K106" i="27"/>
  <c r="M106" i="27"/>
  <c r="N106" i="27" s="1"/>
  <c r="U106" i="27"/>
  <c r="W106" i="27"/>
  <c r="X106" i="27" s="1"/>
  <c r="AE106" i="27"/>
  <c r="AG106" i="27"/>
  <c r="AH106" i="27" s="1"/>
  <c r="AO106" i="27"/>
  <c r="AQ106" i="27"/>
  <c r="AR106" i="27"/>
  <c r="AY106" i="27"/>
  <c r="BA106" i="27"/>
  <c r="BB106" i="27" s="1"/>
  <c r="BI106" i="27"/>
  <c r="BK106" i="27"/>
  <c r="BL106" i="27" s="1"/>
  <c r="BS106" i="27"/>
  <c r="BU106" i="27"/>
  <c r="BV106" i="27" s="1"/>
  <c r="CC106" i="27"/>
  <c r="C107" i="27"/>
  <c r="D107" i="27" s="1"/>
  <c r="K107" i="27"/>
  <c r="M107" i="27"/>
  <c r="N107" i="27" s="1"/>
  <c r="U107" i="27"/>
  <c r="W107" i="27"/>
  <c r="X107" i="27"/>
  <c r="AE107" i="27"/>
  <c r="AG107" i="27"/>
  <c r="AH107" i="27" s="1"/>
  <c r="AO107" i="27"/>
  <c r="AQ107" i="27"/>
  <c r="AR107" i="27" s="1"/>
  <c r="AY107" i="27"/>
  <c r="BA107" i="27"/>
  <c r="BB107" i="27" s="1"/>
  <c r="BI107" i="27"/>
  <c r="BK107" i="27"/>
  <c r="BL107" i="27" s="1"/>
  <c r="BS107" i="27"/>
  <c r="BU107" i="27"/>
  <c r="BV107" i="27" s="1"/>
  <c r="CC107" i="27"/>
  <c r="C108" i="27"/>
  <c r="D108" i="27" s="1"/>
  <c r="K108" i="27"/>
  <c r="M108" i="27"/>
  <c r="N108" i="27" s="1"/>
  <c r="U108" i="27"/>
  <c r="W108" i="27"/>
  <c r="X108" i="27"/>
  <c r="AE108" i="27"/>
  <c r="AG108" i="27"/>
  <c r="AH108" i="27" s="1"/>
  <c r="AO108" i="27"/>
  <c r="AQ108" i="27"/>
  <c r="AR108" i="27" s="1"/>
  <c r="AY108" i="27"/>
  <c r="BA108" i="27"/>
  <c r="BB108" i="27" s="1"/>
  <c r="BI108" i="27"/>
  <c r="BK108" i="27"/>
  <c r="BL108" i="27" s="1"/>
  <c r="BS108" i="27"/>
  <c r="BU108" i="27"/>
  <c r="BV108" i="27" s="1"/>
  <c r="CC108" i="27"/>
  <c r="C109" i="27"/>
  <c r="D109" i="27" s="1"/>
  <c r="K109" i="27"/>
  <c r="M109" i="27"/>
  <c r="N109" i="27" s="1"/>
  <c r="U109" i="27"/>
  <c r="W109" i="27"/>
  <c r="X109" i="27"/>
  <c r="AE109" i="27"/>
  <c r="AG109" i="27"/>
  <c r="AH109" i="27" s="1"/>
  <c r="AO109" i="27"/>
  <c r="AQ109" i="27"/>
  <c r="AR109" i="27" s="1"/>
  <c r="AY109" i="27"/>
  <c r="AY112" i="27" s="1"/>
  <c r="BA109" i="27"/>
  <c r="BB109" i="27" s="1"/>
  <c r="BI109" i="27"/>
  <c r="BK109" i="27"/>
  <c r="BL109" i="27"/>
  <c r="BS109" i="27"/>
  <c r="BU109" i="27"/>
  <c r="BV109" i="27" s="1"/>
  <c r="CC109" i="27"/>
  <c r="C110" i="27"/>
  <c r="D110" i="27" s="1"/>
  <c r="K110" i="27"/>
  <c r="M110" i="27"/>
  <c r="N110" i="27" s="1"/>
  <c r="U110" i="27"/>
  <c r="W110" i="27"/>
  <c r="X110" i="27"/>
  <c r="AE110" i="27"/>
  <c r="AG110" i="27"/>
  <c r="AH110" i="27" s="1"/>
  <c r="AO110" i="27"/>
  <c r="AQ110" i="27"/>
  <c r="AR110" i="27" s="1"/>
  <c r="AY110" i="27"/>
  <c r="BA110" i="27"/>
  <c r="BB110" i="27"/>
  <c r="BI110" i="27"/>
  <c r="BK110" i="27"/>
  <c r="BL110" i="27"/>
  <c r="BS110" i="27"/>
  <c r="BU110" i="27"/>
  <c r="BV110" i="27" s="1"/>
  <c r="CC110" i="27"/>
  <c r="B112" i="27"/>
  <c r="B114" i="27" s="1"/>
  <c r="E112" i="27"/>
  <c r="E114" i="27" s="1"/>
  <c r="F112" i="27"/>
  <c r="G112" i="27"/>
  <c r="H112" i="27"/>
  <c r="H114" i="27" s="1"/>
  <c r="I112" i="27"/>
  <c r="I114" i="27" s="1"/>
  <c r="J112" i="27"/>
  <c r="L112" i="27"/>
  <c r="O112" i="27"/>
  <c r="O114" i="27" s="1"/>
  <c r="P112" i="27"/>
  <c r="Q112" i="27"/>
  <c r="R112" i="27"/>
  <c r="R114" i="27" s="1"/>
  <c r="S112" i="27"/>
  <c r="S114" i="27" s="1"/>
  <c r="T112" i="27"/>
  <c r="V112" i="27"/>
  <c r="Y112" i="27"/>
  <c r="Y114" i="27" s="1"/>
  <c r="Z112" i="27"/>
  <c r="AA112" i="27"/>
  <c r="AB112" i="27"/>
  <c r="AB114" i="27" s="1"/>
  <c r="AC112" i="27"/>
  <c r="AC114" i="27" s="1"/>
  <c r="AD112" i="27"/>
  <c r="AD114" i="27" s="1"/>
  <c r="AF112" i="27"/>
  <c r="AF114" i="27" s="1"/>
  <c r="AI112" i="27"/>
  <c r="AJ112" i="27"/>
  <c r="AJ114" i="27" s="1"/>
  <c r="AK112" i="27"/>
  <c r="AL112" i="27"/>
  <c r="AL114" i="27" s="1"/>
  <c r="AM112" i="27"/>
  <c r="AN112" i="27"/>
  <c r="AP112" i="27"/>
  <c r="AP114" i="27" s="1"/>
  <c r="AS112" i="27"/>
  <c r="AT112" i="27"/>
  <c r="AT114" i="27" s="1"/>
  <c r="AU112" i="27"/>
  <c r="AV112" i="27"/>
  <c r="AV114" i="27" s="1"/>
  <c r="AW112" i="27"/>
  <c r="AW114" i="27" s="1"/>
  <c r="AX112" i="27"/>
  <c r="AZ112" i="27"/>
  <c r="BC112" i="27"/>
  <c r="BD112" i="27"/>
  <c r="BE112" i="27"/>
  <c r="BF112" i="27"/>
  <c r="BF114" i="27" s="1"/>
  <c r="BG112" i="27"/>
  <c r="BH112" i="27"/>
  <c r="BH114" i="27" s="1"/>
  <c r="BJ112" i="27"/>
  <c r="BJ114" i="27" s="1"/>
  <c r="BM112" i="27"/>
  <c r="BN112" i="27"/>
  <c r="BO112" i="27"/>
  <c r="BO114" i="27" s="1"/>
  <c r="BP112" i="27"/>
  <c r="BP114" i="27" s="1"/>
  <c r="BQ112" i="27"/>
  <c r="BQ114" i="27" s="1"/>
  <c r="BR112" i="27"/>
  <c r="BT112" i="27"/>
  <c r="BW112" i="27"/>
  <c r="BW114" i="27" s="1"/>
  <c r="BX112" i="27"/>
  <c r="BY112" i="27"/>
  <c r="BZ112" i="27"/>
  <c r="BZ114" i="27" s="1"/>
  <c r="BZ137" i="27" s="1"/>
  <c r="CA112" i="27"/>
  <c r="CA114" i="27" s="1"/>
  <c r="CB112" i="27"/>
  <c r="CB114" i="27" s="1"/>
  <c r="F114" i="27"/>
  <c r="J114" i="27"/>
  <c r="P114" i="27"/>
  <c r="Q114" i="27"/>
  <c r="T114" i="27"/>
  <c r="Z114" i="27"/>
  <c r="AI114" i="27"/>
  <c r="AK114" i="27"/>
  <c r="AM114" i="27"/>
  <c r="AN114" i="27"/>
  <c r="AU114" i="27"/>
  <c r="AX114" i="27"/>
  <c r="AZ114" i="27"/>
  <c r="BM114" i="27"/>
  <c r="BR114" i="27"/>
  <c r="BT114" i="27"/>
  <c r="BX114" i="27"/>
  <c r="C117" i="27"/>
  <c r="D117" i="27" s="1"/>
  <c r="K117" i="27"/>
  <c r="M117" i="27"/>
  <c r="N117" i="27" s="1"/>
  <c r="U117" i="27"/>
  <c r="W117" i="27"/>
  <c r="X117" i="27" s="1"/>
  <c r="AE117" i="27"/>
  <c r="AG117" i="27"/>
  <c r="AH117" i="27" s="1"/>
  <c r="AO117" i="27"/>
  <c r="AQ117" i="27"/>
  <c r="AR117" i="27" s="1"/>
  <c r="AY117" i="27"/>
  <c r="BA117" i="27"/>
  <c r="BB117" i="27" s="1"/>
  <c r="BI117" i="27"/>
  <c r="BK117" i="27"/>
  <c r="BL117" i="27" s="1"/>
  <c r="BS117" i="27"/>
  <c r="BU117" i="27"/>
  <c r="BV117" i="27" s="1"/>
  <c r="CC117" i="27"/>
  <c r="C118" i="27"/>
  <c r="D118" i="27" s="1"/>
  <c r="K118" i="27"/>
  <c r="M118" i="27"/>
  <c r="N118" i="27" s="1"/>
  <c r="U118" i="27"/>
  <c r="W118" i="27"/>
  <c r="X118" i="27"/>
  <c r="AE118" i="27"/>
  <c r="AG118" i="27"/>
  <c r="AH118" i="27" s="1"/>
  <c r="AO118" i="27"/>
  <c r="AQ118" i="27"/>
  <c r="AR118" i="27" s="1"/>
  <c r="AY118" i="27"/>
  <c r="BA118" i="27"/>
  <c r="BB118" i="27" s="1"/>
  <c r="BI118" i="27"/>
  <c r="BK118" i="27"/>
  <c r="BL118" i="27" s="1"/>
  <c r="BS118" i="27"/>
  <c r="BU118" i="27"/>
  <c r="BV118" i="27" s="1"/>
  <c r="CC118" i="27"/>
  <c r="C119" i="27"/>
  <c r="D119" i="27" s="1"/>
  <c r="K119" i="27"/>
  <c r="M119" i="27"/>
  <c r="N119" i="27" s="1"/>
  <c r="U119" i="27"/>
  <c r="W119" i="27"/>
  <c r="X119" i="27" s="1"/>
  <c r="AE119" i="27"/>
  <c r="AG119" i="27"/>
  <c r="AH119" i="27" s="1"/>
  <c r="AO119" i="27"/>
  <c r="AQ119" i="27"/>
  <c r="AR119" i="27" s="1"/>
  <c r="AY119" i="27"/>
  <c r="BA119" i="27"/>
  <c r="BB119" i="27" s="1"/>
  <c r="BI119" i="27"/>
  <c r="BK119" i="27"/>
  <c r="BL119" i="27" s="1"/>
  <c r="BS119" i="27"/>
  <c r="BU119" i="27"/>
  <c r="BV119" i="27" s="1"/>
  <c r="CC119" i="27"/>
  <c r="C120" i="27"/>
  <c r="D120" i="27" s="1"/>
  <c r="K120" i="27"/>
  <c r="M120" i="27"/>
  <c r="N120" i="27" s="1"/>
  <c r="U120" i="27"/>
  <c r="W120" i="27"/>
  <c r="X120" i="27" s="1"/>
  <c r="AE120" i="27"/>
  <c r="AG120" i="27"/>
  <c r="AH120" i="27" s="1"/>
  <c r="AO120" i="27"/>
  <c r="AQ120" i="27"/>
  <c r="AR120" i="27" s="1"/>
  <c r="AY120" i="27"/>
  <c r="BA120" i="27"/>
  <c r="BB120" i="27" s="1"/>
  <c r="BI120" i="27"/>
  <c r="BK120" i="27"/>
  <c r="BL120" i="27"/>
  <c r="BS120" i="27"/>
  <c r="BU120" i="27"/>
  <c r="BV120" i="27" s="1"/>
  <c r="CC120" i="27"/>
  <c r="C121" i="27"/>
  <c r="D121" i="27" s="1"/>
  <c r="K121" i="27"/>
  <c r="M121" i="27"/>
  <c r="N121" i="27" s="1"/>
  <c r="U121" i="27"/>
  <c r="W121" i="27"/>
  <c r="X121" i="27" s="1"/>
  <c r="AE121" i="27"/>
  <c r="AG121" i="27"/>
  <c r="AH121" i="27" s="1"/>
  <c r="AO121" i="27"/>
  <c r="AQ121" i="27"/>
  <c r="AR121" i="27" s="1"/>
  <c r="AY121" i="27"/>
  <c r="BA121" i="27"/>
  <c r="BB121" i="27" s="1"/>
  <c r="BI121" i="27"/>
  <c r="BK121" i="27"/>
  <c r="BL121" i="27" s="1"/>
  <c r="BS121" i="27"/>
  <c r="BU121" i="27"/>
  <c r="BV121" i="27" s="1"/>
  <c r="CC121" i="27"/>
  <c r="C122" i="27"/>
  <c r="D122" i="27" s="1"/>
  <c r="K122" i="27"/>
  <c r="M122" i="27"/>
  <c r="N122" i="27" s="1"/>
  <c r="U122" i="27"/>
  <c r="W122" i="27"/>
  <c r="X122" i="27"/>
  <c r="AE122" i="27"/>
  <c r="AG122" i="27"/>
  <c r="AH122" i="27" s="1"/>
  <c r="AO122" i="27"/>
  <c r="AQ122" i="27"/>
  <c r="AR122" i="27" s="1"/>
  <c r="AY122" i="27"/>
  <c r="BA122" i="27"/>
  <c r="BB122" i="27" s="1"/>
  <c r="BI122" i="27"/>
  <c r="BK122" i="27"/>
  <c r="BL122" i="27" s="1"/>
  <c r="BS122" i="27"/>
  <c r="BU122" i="27"/>
  <c r="BV122" i="27" s="1"/>
  <c r="CC122" i="27"/>
  <c r="C123" i="27"/>
  <c r="D123" i="27" s="1"/>
  <c r="K123" i="27"/>
  <c r="M123" i="27"/>
  <c r="N123" i="27" s="1"/>
  <c r="U123" i="27"/>
  <c r="W123" i="27"/>
  <c r="X123" i="27"/>
  <c r="AE123" i="27"/>
  <c r="AG123" i="27"/>
  <c r="AH123" i="27" s="1"/>
  <c r="AO123" i="27"/>
  <c r="AQ123" i="27"/>
  <c r="AR123" i="27" s="1"/>
  <c r="AY123" i="27"/>
  <c r="BA123" i="27"/>
  <c r="BB123" i="27" s="1"/>
  <c r="BI123" i="27"/>
  <c r="BK123" i="27"/>
  <c r="BL123" i="27" s="1"/>
  <c r="BS123" i="27"/>
  <c r="BU123" i="27"/>
  <c r="BV123" i="27" s="1"/>
  <c r="CC123" i="27"/>
  <c r="C124" i="27"/>
  <c r="D124" i="27" s="1"/>
  <c r="K124" i="27"/>
  <c r="M124" i="27"/>
  <c r="N124" i="27" s="1"/>
  <c r="U124" i="27"/>
  <c r="W124" i="27"/>
  <c r="X124" i="27" s="1"/>
  <c r="AE124" i="27"/>
  <c r="AG124" i="27"/>
  <c r="AH124" i="27" s="1"/>
  <c r="AO124" i="27"/>
  <c r="AQ124" i="27"/>
  <c r="AR124" i="27" s="1"/>
  <c r="AY124" i="27"/>
  <c r="BA124" i="27"/>
  <c r="BB124" i="27" s="1"/>
  <c r="BI124" i="27"/>
  <c r="BK124" i="27"/>
  <c r="BL124" i="27" s="1"/>
  <c r="BS124" i="27"/>
  <c r="BU124" i="27"/>
  <c r="BV124" i="27" s="1"/>
  <c r="CC124" i="27"/>
  <c r="C125" i="27"/>
  <c r="D125" i="27" s="1"/>
  <c r="K125" i="27"/>
  <c r="M125" i="27"/>
  <c r="N125" i="27" s="1"/>
  <c r="U125" i="27"/>
  <c r="W125" i="27"/>
  <c r="X125" i="27" s="1"/>
  <c r="AE125" i="27"/>
  <c r="AG125" i="27"/>
  <c r="AH125" i="27" s="1"/>
  <c r="AO125" i="27"/>
  <c r="AQ125" i="27"/>
  <c r="AR125" i="27" s="1"/>
  <c r="AY125" i="27"/>
  <c r="BI125" i="27"/>
  <c r="BK125" i="27"/>
  <c r="BL125" i="27" s="1"/>
  <c r="BS125" i="27"/>
  <c r="BU125" i="27"/>
  <c r="BV125" i="27" s="1"/>
  <c r="CC125" i="27"/>
  <c r="C126" i="27"/>
  <c r="D126" i="27" s="1"/>
  <c r="K126" i="27"/>
  <c r="M126" i="27"/>
  <c r="N126" i="27" s="1"/>
  <c r="U126" i="27"/>
  <c r="W126" i="27"/>
  <c r="X126" i="27" s="1"/>
  <c r="AE126" i="27"/>
  <c r="AG126" i="27"/>
  <c r="AH126" i="27"/>
  <c r="AO126" i="27"/>
  <c r="BK126" i="27"/>
  <c r="BL126" i="27"/>
  <c r="BS126" i="27"/>
  <c r="BU126" i="27"/>
  <c r="BV126" i="27" s="1"/>
  <c r="CC126" i="27"/>
  <c r="BK127" i="27"/>
  <c r="BL127" i="27" s="1"/>
  <c r="BS127" i="27"/>
  <c r="BU127" i="27"/>
  <c r="BV127" i="27" s="1"/>
  <c r="CC127" i="27"/>
  <c r="BK128" i="27"/>
  <c r="BL128" i="27" s="1"/>
  <c r="BS128" i="27"/>
  <c r="BU128" i="27"/>
  <c r="BV128" i="27" s="1"/>
  <c r="CC128" i="27"/>
  <c r="BK129" i="27"/>
  <c r="BL129" i="27" s="1"/>
  <c r="BS129" i="27"/>
  <c r="BU129" i="27"/>
  <c r="BV129" i="27"/>
  <c r="CC129" i="27"/>
  <c r="BK130" i="27"/>
  <c r="BL130" i="27" s="1"/>
  <c r="BS130" i="27"/>
  <c r="BU130" i="27"/>
  <c r="BV130" i="27" s="1"/>
  <c r="CC130" i="27"/>
  <c r="BK131" i="27"/>
  <c r="BL131" i="27" s="1"/>
  <c r="BS131" i="27"/>
  <c r="BU131" i="27"/>
  <c r="BV131" i="27" s="1"/>
  <c r="CC131" i="27"/>
  <c r="BK132" i="27"/>
  <c r="BL132" i="27" s="1"/>
  <c r="BS132" i="27"/>
  <c r="BU132" i="27"/>
  <c r="BV132" i="27" s="1"/>
  <c r="CC132" i="27"/>
  <c r="BK133" i="27"/>
  <c r="BL133" i="27" s="1"/>
  <c r="BS133" i="27"/>
  <c r="BU133" i="27"/>
  <c r="BV133" i="27" s="1"/>
  <c r="CC133" i="27"/>
  <c r="B135" i="27"/>
  <c r="E135" i="27"/>
  <c r="F135" i="27"/>
  <c r="G135" i="27"/>
  <c r="H135" i="27"/>
  <c r="I135" i="27"/>
  <c r="J135" i="27"/>
  <c r="L135" i="27"/>
  <c r="O135" i="27"/>
  <c r="P135" i="27"/>
  <c r="Q135" i="27"/>
  <c r="R135" i="27"/>
  <c r="S135" i="27"/>
  <c r="T135" i="27"/>
  <c r="V135" i="27"/>
  <c r="Y135" i="27"/>
  <c r="Z135" i="27"/>
  <c r="AA135" i="27"/>
  <c r="AB135" i="27"/>
  <c r="AC135" i="27"/>
  <c r="AD135" i="27"/>
  <c r="AF135" i="27"/>
  <c r="AI135" i="27"/>
  <c r="AJ135" i="27"/>
  <c r="AK135" i="27"/>
  <c r="AL135" i="27"/>
  <c r="AM135" i="27"/>
  <c r="AM137" i="27" s="1"/>
  <c r="AN135" i="27"/>
  <c r="AP135" i="27"/>
  <c r="AQ135" i="27"/>
  <c r="AR135" i="27" s="1"/>
  <c r="AS135" i="27"/>
  <c r="AT135" i="27"/>
  <c r="AU135" i="27"/>
  <c r="AV135" i="27"/>
  <c r="AW135" i="27"/>
  <c r="AX135" i="27"/>
  <c r="AZ135" i="27"/>
  <c r="BC135" i="27"/>
  <c r="BD135" i="27"/>
  <c r="BE135" i="27"/>
  <c r="BF135" i="27"/>
  <c r="BG135" i="27"/>
  <c r="BH135" i="27"/>
  <c r="BJ135" i="27"/>
  <c r="BM135" i="27"/>
  <c r="BN135" i="27"/>
  <c r="BO135" i="27"/>
  <c r="BP135" i="27"/>
  <c r="BQ135" i="27"/>
  <c r="BR135" i="27"/>
  <c r="BT135" i="27"/>
  <c r="BW135" i="27"/>
  <c r="BX135" i="27"/>
  <c r="BY135" i="27"/>
  <c r="BZ135" i="27"/>
  <c r="CA135" i="27"/>
  <c r="CB135" i="27"/>
  <c r="P137" i="27"/>
  <c r="B138" i="27"/>
  <c r="C138" i="27"/>
  <c r="L138" i="27"/>
  <c r="M138" i="27" s="1"/>
  <c r="V138" i="27"/>
  <c r="W138" i="27"/>
  <c r="AF138" i="27"/>
  <c r="AG138" i="27" s="1"/>
  <c r="AP138" i="27"/>
  <c r="AQ138" i="27" s="1"/>
  <c r="AZ138" i="27"/>
  <c r="BA138" i="27" s="1"/>
  <c r="BJ138" i="27"/>
  <c r="BK138" i="27" s="1"/>
  <c r="BT138" i="27"/>
  <c r="BU138" i="27" s="1"/>
  <c r="B142" i="27"/>
  <c r="L142" i="27"/>
  <c r="V142" i="27"/>
  <c r="AF142" i="27"/>
  <c r="AP142" i="27"/>
  <c r="AZ142" i="27"/>
  <c r="BJ142" i="27"/>
  <c r="BT142" i="27"/>
  <c r="B144" i="27"/>
  <c r="L144" i="27"/>
  <c r="V144" i="27"/>
  <c r="AF144" i="27"/>
  <c r="AP144" i="27"/>
  <c r="AZ144" i="27"/>
  <c r="BJ144" i="27"/>
  <c r="BT144" i="27"/>
  <c r="V150" i="27"/>
  <c r="AF150" i="27"/>
  <c r="Y43" i="26"/>
  <c r="U43" i="26"/>
  <c r="O43" i="26"/>
  <c r="I43" i="26"/>
  <c r="F43" i="26"/>
  <c r="O42" i="26"/>
  <c r="I42" i="26"/>
  <c r="AC41" i="26"/>
  <c r="W41" i="26"/>
  <c r="O41" i="26"/>
  <c r="Q41" i="26" s="1"/>
  <c r="I40" i="26"/>
  <c r="W34" i="26"/>
  <c r="U34" i="26"/>
  <c r="Q34" i="26"/>
  <c r="O34" i="26"/>
  <c r="L34" i="26"/>
  <c r="I34" i="26"/>
  <c r="F34" i="26"/>
  <c r="AA33" i="26"/>
  <c r="AC33" i="26" s="1"/>
  <c r="AA31" i="26"/>
  <c r="Y31" i="26"/>
  <c r="U31" i="26"/>
  <c r="S31" i="26"/>
  <c r="L31" i="26"/>
  <c r="I31" i="26"/>
  <c r="F31" i="26"/>
  <c r="AC30" i="26"/>
  <c r="Q29" i="26"/>
  <c r="Q31" i="26" s="1"/>
  <c r="Q32" i="26" s="1"/>
  <c r="Q44" i="26" s="1"/>
  <c r="I29" i="26"/>
  <c r="F29" i="26"/>
  <c r="O28" i="26"/>
  <c r="O29" i="26" s="1"/>
  <c r="AC27" i="26"/>
  <c r="AC25" i="26"/>
  <c r="W25" i="26"/>
  <c r="W31" i="26" s="1"/>
  <c r="AC24" i="26"/>
  <c r="AC31" i="26" s="1"/>
  <c r="W24" i="26"/>
  <c r="AC22" i="26"/>
  <c r="AA19" i="26"/>
  <c r="Y19" i="26"/>
  <c r="W19" i="26"/>
  <c r="U19" i="26"/>
  <c r="U32" i="26" s="1"/>
  <c r="U44" i="26" s="1"/>
  <c r="S19" i="26"/>
  <c r="Q19" i="26"/>
  <c r="L19" i="26"/>
  <c r="I19" i="26"/>
  <c r="F19" i="26"/>
  <c r="AC18" i="26"/>
  <c r="O18" i="26"/>
  <c r="AC17" i="26"/>
  <c r="AC16" i="26"/>
  <c r="O16" i="26"/>
  <c r="AC15" i="26"/>
  <c r="AC19" i="26" s="1"/>
  <c r="O15" i="26"/>
  <c r="O19" i="26" s="1"/>
  <c r="AA13" i="26"/>
  <c r="AA32" i="26" s="1"/>
  <c r="AA44" i="26" s="1"/>
  <c r="Y13" i="26"/>
  <c r="W13" i="26"/>
  <c r="U13" i="26"/>
  <c r="Q13" i="26"/>
  <c r="L13" i="26"/>
  <c r="L32" i="26" s="1"/>
  <c r="L44" i="26" s="1"/>
  <c r="F13" i="26"/>
  <c r="F32" i="26" s="1"/>
  <c r="F44" i="26" s="1"/>
  <c r="O12" i="26"/>
  <c r="I12" i="26"/>
  <c r="F12" i="26"/>
  <c r="AA11" i="26"/>
  <c r="AC11" i="26" s="1"/>
  <c r="AC13" i="26" s="1"/>
  <c r="AC32" i="26" s="1"/>
  <c r="AC44" i="26" s="1"/>
  <c r="Y11" i="26"/>
  <c r="S11" i="26"/>
  <c r="S13" i="26" s="1"/>
  <c r="S32" i="26" s="1"/>
  <c r="S44" i="26" s="1"/>
  <c r="O11" i="26"/>
  <c r="O13" i="26" s="1"/>
  <c r="I11" i="26"/>
  <c r="I13" i="26" s="1"/>
  <c r="I32" i="26" s="1"/>
  <c r="I44" i="26" s="1"/>
  <c r="AO114" i="27" l="1"/>
  <c r="CA137" i="27"/>
  <c r="AO135" i="27"/>
  <c r="Y137" i="27"/>
  <c r="K112" i="27"/>
  <c r="K114" i="27" s="1"/>
  <c r="O86" i="27"/>
  <c r="O88" i="27" s="1"/>
  <c r="O137" i="27" s="1"/>
  <c r="L151" i="27" s="1"/>
  <c r="BN88" i="27"/>
  <c r="BN137" i="27" s="1"/>
  <c r="AL137" i="27"/>
  <c r="AY135" i="27"/>
  <c r="AP137" i="27"/>
  <c r="AG112" i="27"/>
  <c r="AH112" i="27" s="1"/>
  <c r="W112" i="27"/>
  <c r="X112" i="27" s="1"/>
  <c r="M112" i="27"/>
  <c r="N112" i="27" s="1"/>
  <c r="B137" i="27"/>
  <c r="AE99" i="27"/>
  <c r="AE114" i="27" s="1"/>
  <c r="CC99" i="27"/>
  <c r="BI99" i="27"/>
  <c r="AX61" i="27"/>
  <c r="V88" i="27"/>
  <c r="R88" i="27"/>
  <c r="R137" i="27" s="1"/>
  <c r="G88" i="27"/>
  <c r="H137" i="27"/>
  <c r="BI112" i="27"/>
  <c r="AO86" i="27"/>
  <c r="AB88" i="27"/>
  <c r="AB137" i="27" s="1"/>
  <c r="AY34" i="27"/>
  <c r="AO99" i="27"/>
  <c r="BG114" i="27"/>
  <c r="BG137" i="27" s="1"/>
  <c r="I137" i="27"/>
  <c r="AQ112" i="27"/>
  <c r="AR112" i="27" s="1"/>
  <c r="BD137" i="27"/>
  <c r="BS112" i="27"/>
  <c r="BS114" i="27" s="1"/>
  <c r="BC114" i="27"/>
  <c r="BC137" i="27" s="1"/>
  <c r="AZ151" i="27" s="1"/>
  <c r="AX88" i="27"/>
  <c r="Q88" i="27"/>
  <c r="J88" i="27"/>
  <c r="J137" i="27" s="1"/>
  <c r="B146" i="27" s="1"/>
  <c r="CC112" i="27"/>
  <c r="BK99" i="27"/>
  <c r="BL99" i="27" s="1"/>
  <c r="BC88" i="27"/>
  <c r="AE34" i="27"/>
  <c r="CC86" i="27"/>
  <c r="CC34" i="27"/>
  <c r="W135" i="27"/>
  <c r="X135" i="27" s="1"/>
  <c r="AG135" i="27"/>
  <c r="BI135" i="27"/>
  <c r="AW137" i="27"/>
  <c r="AD137" i="27"/>
  <c r="V146" i="27" s="1"/>
  <c r="AF88" i="27"/>
  <c r="AF137" i="27" s="1"/>
  <c r="BA61" i="27"/>
  <c r="BB61" i="27" s="1"/>
  <c r="AE61" i="27"/>
  <c r="BX88" i="27"/>
  <c r="BX137" i="27" s="1"/>
  <c r="AJ88" i="27"/>
  <c r="AJ137" i="27" s="1"/>
  <c r="F88" i="27"/>
  <c r="F137" i="27" s="1"/>
  <c r="AE135" i="27"/>
  <c r="AE112" i="27"/>
  <c r="BW88" i="27"/>
  <c r="BW137" i="27" s="1"/>
  <c r="BT151" i="27" s="1"/>
  <c r="AC88" i="27"/>
  <c r="AC137" i="27" s="1"/>
  <c r="S88" i="27"/>
  <c r="S137" i="27" s="1"/>
  <c r="BI61" i="27"/>
  <c r="BJ88" i="27"/>
  <c r="BJ137" i="27" s="1"/>
  <c r="BY88" i="27"/>
  <c r="BY137" i="27" s="1"/>
  <c r="BS135" i="27"/>
  <c r="BF137" i="27"/>
  <c r="Q137" i="27"/>
  <c r="BU86" i="27"/>
  <c r="BV86" i="27" s="1"/>
  <c r="AN137" i="27"/>
  <c r="AF146" i="27" s="1"/>
  <c r="BA34" i="27"/>
  <c r="BB34" i="27" s="1"/>
  <c r="AG34" i="27"/>
  <c r="V137" i="27"/>
  <c r="U135" i="27"/>
  <c r="CC114" i="27"/>
  <c r="U112" i="27"/>
  <c r="G114" i="27"/>
  <c r="BT137" i="27"/>
  <c r="BG88" i="27"/>
  <c r="AA88" i="27"/>
  <c r="AA137" i="27" s="1"/>
  <c r="AO61" i="27"/>
  <c r="BH88" i="27"/>
  <c r="BH137" i="27" s="1"/>
  <c r="AZ146" i="27" s="1"/>
  <c r="AZ88" i="27"/>
  <c r="AZ137" i="27" s="1"/>
  <c r="AH34" i="27"/>
  <c r="W34" i="27"/>
  <c r="X34" i="27" s="1"/>
  <c r="L88" i="27"/>
  <c r="AX137" i="27"/>
  <c r="AP146" i="27" s="1"/>
  <c r="AS88" i="27"/>
  <c r="AS137" i="27" s="1"/>
  <c r="AP151" i="27" s="1"/>
  <c r="BA135" i="27"/>
  <c r="BB135" i="27" s="1"/>
  <c r="BM137" i="27"/>
  <c r="Z137" i="27"/>
  <c r="BK112" i="27"/>
  <c r="AT137" i="27"/>
  <c r="CB86" i="27"/>
  <c r="BR137" i="27"/>
  <c r="BJ146" i="27" s="1"/>
  <c r="AV88" i="27"/>
  <c r="AV137" i="27" s="1"/>
  <c r="BQ88" i="27"/>
  <c r="BQ137" i="27" s="1"/>
  <c r="AK88" i="27"/>
  <c r="AK137" i="27" s="1"/>
  <c r="E88" i="27"/>
  <c r="E137" i="27" s="1"/>
  <c r="B151" i="27" s="1"/>
  <c r="AY61" i="27"/>
  <c r="CB34" i="27"/>
  <c r="BI86" i="27"/>
  <c r="BU135" i="27"/>
  <c r="BV135" i="27" s="1"/>
  <c r="K135" i="27"/>
  <c r="CC135" i="27"/>
  <c r="BE114" i="27"/>
  <c r="BE137" i="27" s="1"/>
  <c r="K99" i="27"/>
  <c r="AY99" i="27"/>
  <c r="AY114" i="27" s="1"/>
  <c r="C61" i="27"/>
  <c r="D61" i="27" s="1"/>
  <c r="K61" i="27"/>
  <c r="BP88" i="27"/>
  <c r="BP137" i="27" s="1"/>
  <c r="T88" i="27"/>
  <c r="T137" i="27" s="1"/>
  <c r="L146" i="27" s="1"/>
  <c r="K34" i="27"/>
  <c r="AG114" i="27"/>
  <c r="AH114" i="27" s="1"/>
  <c r="L114" i="27"/>
  <c r="BO88" i="27"/>
  <c r="BO137" i="27" s="1"/>
  <c r="AI88" i="27"/>
  <c r="AI137" i="27" s="1"/>
  <c r="AF151" i="27" s="1"/>
  <c r="AO34" i="27"/>
  <c r="AO88" i="27" s="1"/>
  <c r="AO137" i="27" s="1"/>
  <c r="AF147" i="27" s="1"/>
  <c r="AF148" i="27" s="1"/>
  <c r="AH135" i="27"/>
  <c r="BJ151" i="27"/>
  <c r="V151" i="27"/>
  <c r="BU99" i="27"/>
  <c r="BV99" i="27" s="1"/>
  <c r="U99" i="27"/>
  <c r="K86" i="27"/>
  <c r="K88" i="27" s="1"/>
  <c r="BK135" i="27"/>
  <c r="M135" i="27"/>
  <c r="AY86" i="27"/>
  <c r="C86" i="27"/>
  <c r="D65" i="27"/>
  <c r="X48" i="27"/>
  <c r="W61" i="27"/>
  <c r="BS61" i="27"/>
  <c r="AR93" i="27"/>
  <c r="AQ99" i="27"/>
  <c r="X68" i="27"/>
  <c r="W86" i="27"/>
  <c r="W99" i="27"/>
  <c r="BK86" i="27"/>
  <c r="BL65" i="27"/>
  <c r="M86" i="27"/>
  <c r="N64" i="27"/>
  <c r="M61" i="27"/>
  <c r="AG61" i="27"/>
  <c r="AH41" i="27"/>
  <c r="U34" i="27"/>
  <c r="U86" i="27"/>
  <c r="C135" i="27"/>
  <c r="BA112" i="27"/>
  <c r="AQ61" i="27"/>
  <c r="AQ34" i="27"/>
  <c r="AR18" i="27"/>
  <c r="CB61" i="27"/>
  <c r="CC47" i="27"/>
  <c r="CC61" i="27" s="1"/>
  <c r="CC88" i="27" s="1"/>
  <c r="BU112" i="27"/>
  <c r="D96" i="27"/>
  <c r="C99" i="27"/>
  <c r="D99" i="27" s="1"/>
  <c r="BA99" i="27"/>
  <c r="BB93" i="27"/>
  <c r="AQ86" i="27"/>
  <c r="AR73" i="27"/>
  <c r="BA86" i="27"/>
  <c r="BA88" i="27" s="1"/>
  <c r="BB70" i="27"/>
  <c r="AE86" i="27"/>
  <c r="BU34" i="27"/>
  <c r="BV11" i="27"/>
  <c r="C112" i="27"/>
  <c r="AG86" i="27"/>
  <c r="BS86" i="27"/>
  <c r="BU61" i="27"/>
  <c r="BV53" i="27"/>
  <c r="BS34" i="27"/>
  <c r="BK61" i="27"/>
  <c r="BK34" i="27"/>
  <c r="M34" i="27"/>
  <c r="C34" i="27"/>
  <c r="W32" i="26"/>
  <c r="W44" i="26" s="1"/>
  <c r="Y32" i="26"/>
  <c r="Y44" i="26" s="1"/>
  <c r="O31" i="26"/>
  <c r="O32" i="26" s="1"/>
  <c r="O44" i="26" s="1"/>
  <c r="CB88" i="27" l="1"/>
  <c r="CB137" i="27" s="1"/>
  <c r="BT146" i="27" s="1"/>
  <c r="L137" i="27"/>
  <c r="G137" i="27"/>
  <c r="M114" i="27"/>
  <c r="N114" i="27" s="1"/>
  <c r="K137" i="27"/>
  <c r="B147" i="27" s="1"/>
  <c r="BI114" i="27"/>
  <c r="CC137" i="27"/>
  <c r="BT147" i="27" s="1"/>
  <c r="BT148" i="27" s="1"/>
  <c r="B148" i="27"/>
  <c r="U114" i="27"/>
  <c r="U88" i="27"/>
  <c r="BL112" i="27"/>
  <c r="BK114" i="27"/>
  <c r="BL114" i="27" s="1"/>
  <c r="AY88" i="27"/>
  <c r="AY137" i="27" s="1"/>
  <c r="AP147" i="27" s="1"/>
  <c r="AP148" i="27" s="1"/>
  <c r="BS88" i="27"/>
  <c r="BS137" i="27" s="1"/>
  <c r="BJ147" i="27" s="1"/>
  <c r="BJ148" i="27" s="1"/>
  <c r="AE88" i="27"/>
  <c r="AE137" i="27" s="1"/>
  <c r="V147" i="27" s="1"/>
  <c r="V148" i="27" s="1"/>
  <c r="BI88" i="27"/>
  <c r="BI137" i="27" s="1"/>
  <c r="AZ147" i="27" s="1"/>
  <c r="AZ148" i="27" s="1"/>
  <c r="BB88" i="27"/>
  <c r="AH61" i="27"/>
  <c r="AG88" i="27"/>
  <c r="X99" i="27"/>
  <c r="W114" i="27"/>
  <c r="AR61" i="27"/>
  <c r="N61" i="27"/>
  <c r="X86" i="27"/>
  <c r="D86" i="27"/>
  <c r="X61" i="27"/>
  <c r="W88" i="27"/>
  <c r="BV61" i="27"/>
  <c r="BA114" i="27"/>
  <c r="BB112" i="27"/>
  <c r="BK88" i="27"/>
  <c r="BK137" i="27" s="1"/>
  <c r="BL34" i="27"/>
  <c r="BL86" i="27"/>
  <c r="BB99" i="27"/>
  <c r="D135" i="27"/>
  <c r="AR99" i="27"/>
  <c r="AQ114" i="27"/>
  <c r="N135" i="27"/>
  <c r="C114" i="27"/>
  <c r="C137" i="27" s="1"/>
  <c r="D112" i="27"/>
  <c r="BL135" i="27"/>
  <c r="BL61" i="27"/>
  <c r="BV34" i="27"/>
  <c r="BU88" i="27"/>
  <c r="C88" i="27"/>
  <c r="D34" i="27"/>
  <c r="AH86" i="27"/>
  <c r="BU114" i="27"/>
  <c r="BV112" i="27"/>
  <c r="AR86" i="27"/>
  <c r="AQ88" i="27"/>
  <c r="AR34" i="27"/>
  <c r="M88" i="27"/>
  <c r="M137" i="27" s="1"/>
  <c r="N34" i="27"/>
  <c r="BB86" i="27"/>
  <c r="N86" i="27"/>
  <c r="Y52" i="22"/>
  <c r="G6" i="23"/>
  <c r="G8" i="23" s="1"/>
  <c r="L6" i="23"/>
  <c r="Q6" i="23"/>
  <c r="V6" i="23"/>
  <c r="AA6" i="23"/>
  <c r="AF6" i="23"/>
  <c r="AK6" i="23"/>
  <c r="AP6" i="23"/>
  <c r="AP8" i="23" s="1"/>
  <c r="AU6" i="23"/>
  <c r="AU8" i="23" s="1"/>
  <c r="AZ6" i="23"/>
  <c r="BE6" i="23"/>
  <c r="G7" i="23"/>
  <c r="L7" i="23"/>
  <c r="Q7" i="23"/>
  <c r="V7" i="23"/>
  <c r="AA7" i="23"/>
  <c r="AA8" i="23" s="1"/>
  <c r="AF7" i="23"/>
  <c r="AF8" i="23" s="1"/>
  <c r="AK7" i="23"/>
  <c r="AP7" i="23"/>
  <c r="AU7" i="23"/>
  <c r="AZ7" i="23"/>
  <c r="BE7" i="23"/>
  <c r="D8" i="23"/>
  <c r="E8" i="23"/>
  <c r="F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B8" i="23"/>
  <c r="AC8" i="23"/>
  <c r="AD8" i="23"/>
  <c r="AE8" i="23"/>
  <c r="AG8" i="23"/>
  <c r="AH8" i="23"/>
  <c r="AI8" i="23"/>
  <c r="AJ8" i="23"/>
  <c r="AK8" i="23"/>
  <c r="AL8" i="23"/>
  <c r="AM8" i="23"/>
  <c r="AN8" i="23"/>
  <c r="AO8" i="23"/>
  <c r="AQ8" i="23"/>
  <c r="AR8" i="23"/>
  <c r="AS8" i="23"/>
  <c r="AT8" i="23"/>
  <c r="AV8" i="23"/>
  <c r="AW8" i="23"/>
  <c r="AX8" i="23"/>
  <c r="AY8" i="23"/>
  <c r="AZ8" i="23"/>
  <c r="BA8" i="23"/>
  <c r="BB8" i="23"/>
  <c r="BC8" i="23"/>
  <c r="BD8" i="23"/>
  <c r="BF8" i="23"/>
  <c r="G10" i="23"/>
  <c r="L10" i="23"/>
  <c r="Q10" i="23"/>
  <c r="V10" i="23"/>
  <c r="AA10" i="23"/>
  <c r="AF10" i="23"/>
  <c r="AK10" i="23"/>
  <c r="AP10" i="23"/>
  <c r="AU10" i="23"/>
  <c r="AZ10" i="23"/>
  <c r="BE10" i="23"/>
  <c r="G11" i="23"/>
  <c r="L11" i="23"/>
  <c r="L12" i="23" s="1"/>
  <c r="Q11" i="23"/>
  <c r="Q12" i="23" s="1"/>
  <c r="V11" i="23"/>
  <c r="AA11" i="23"/>
  <c r="AF11" i="23"/>
  <c r="AK11" i="23"/>
  <c r="AP11" i="23"/>
  <c r="AU11" i="23"/>
  <c r="AZ11" i="23"/>
  <c r="AZ12" i="23" s="1"/>
  <c r="BE11" i="23"/>
  <c r="BE19" i="23" s="1"/>
  <c r="D12" i="23"/>
  <c r="E12" i="23"/>
  <c r="F12" i="23"/>
  <c r="G12" i="23"/>
  <c r="H12" i="23"/>
  <c r="I12" i="23"/>
  <c r="J12" i="23"/>
  <c r="K12" i="23"/>
  <c r="M12" i="23"/>
  <c r="N12" i="23"/>
  <c r="O12" i="23"/>
  <c r="P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BA12" i="23"/>
  <c r="BB12" i="23"/>
  <c r="BC12" i="23"/>
  <c r="BD12" i="23"/>
  <c r="BF12" i="23"/>
  <c r="G14" i="23"/>
  <c r="L14" i="23"/>
  <c r="L18" i="23" s="1"/>
  <c r="L20" i="23" s="1"/>
  <c r="Q14" i="23"/>
  <c r="V14" i="23"/>
  <c r="AA14" i="23"/>
  <c r="AF14" i="23"/>
  <c r="AK14" i="23"/>
  <c r="AP14" i="23"/>
  <c r="AU14" i="23"/>
  <c r="AZ14" i="23"/>
  <c r="AZ18" i="23" s="1"/>
  <c r="AZ20" i="23" s="1"/>
  <c r="BE14" i="23"/>
  <c r="G15" i="23"/>
  <c r="L15" i="23"/>
  <c r="Q15" i="23"/>
  <c r="V15" i="23"/>
  <c r="AA15" i="23"/>
  <c r="AF15" i="23"/>
  <c r="AF16" i="23" s="1"/>
  <c r="AK15" i="23"/>
  <c r="AK16" i="23" s="1"/>
  <c r="AP15" i="23"/>
  <c r="AU15" i="23"/>
  <c r="AZ15" i="23"/>
  <c r="BE15" i="23"/>
  <c r="D16" i="23"/>
  <c r="E16" i="23"/>
  <c r="F16" i="23"/>
  <c r="G16" i="23"/>
  <c r="H16" i="23"/>
  <c r="I16" i="23"/>
  <c r="J16" i="23"/>
  <c r="K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G16" i="23"/>
  <c r="AH16" i="23"/>
  <c r="AI16" i="23"/>
  <c r="AJ16" i="23"/>
  <c r="AL16" i="23"/>
  <c r="AM16" i="23"/>
  <c r="AN16" i="23"/>
  <c r="AO16" i="23"/>
  <c r="AP16" i="23"/>
  <c r="AQ16" i="23"/>
  <c r="AR16" i="23"/>
  <c r="AS16" i="23"/>
  <c r="AT16" i="23"/>
  <c r="AU16" i="23"/>
  <c r="AV16" i="23"/>
  <c r="AW16" i="23"/>
  <c r="AX16" i="23"/>
  <c r="AY16" i="23"/>
  <c r="BA16" i="23"/>
  <c r="BB16" i="23"/>
  <c r="BC16" i="23"/>
  <c r="BD16" i="23"/>
  <c r="BE16" i="23"/>
  <c r="BF16" i="23"/>
  <c r="D18" i="23"/>
  <c r="E18" i="23"/>
  <c r="F18" i="23"/>
  <c r="G18" i="23"/>
  <c r="H18" i="23"/>
  <c r="H20" i="23" s="1"/>
  <c r="H24" i="23" s="1"/>
  <c r="I18" i="23"/>
  <c r="J18" i="23"/>
  <c r="K18" i="23"/>
  <c r="M18" i="23"/>
  <c r="N18" i="23"/>
  <c r="O18" i="23"/>
  <c r="P18" i="23"/>
  <c r="P20" i="23" s="1"/>
  <c r="Q18" i="23"/>
  <c r="R18" i="23"/>
  <c r="S18" i="23"/>
  <c r="T18" i="23"/>
  <c r="U18" i="23"/>
  <c r="V18" i="23"/>
  <c r="V20" i="23" s="1"/>
  <c r="W18" i="23"/>
  <c r="X18" i="23"/>
  <c r="X20" i="23" s="1"/>
  <c r="Y18" i="23"/>
  <c r="Z18" i="23"/>
  <c r="AA18" i="23"/>
  <c r="AA20" i="23" s="1"/>
  <c r="AB18" i="23"/>
  <c r="AC18" i="23"/>
  <c r="AD18" i="23"/>
  <c r="AD20" i="23" s="1"/>
  <c r="AE18" i="23"/>
  <c r="AF18" i="23"/>
  <c r="AF20" i="23" s="1"/>
  <c r="AG18" i="23"/>
  <c r="AH18" i="23"/>
  <c r="AI18" i="23"/>
  <c r="AI20" i="23" s="1"/>
  <c r="AJ18" i="23"/>
  <c r="AK18" i="23"/>
  <c r="AL18" i="23"/>
  <c r="AL20" i="23" s="1"/>
  <c r="AL24" i="23" s="1"/>
  <c r="AM18" i="23"/>
  <c r="AN18" i="23"/>
  <c r="AN20" i="23" s="1"/>
  <c r="AO18" i="23"/>
  <c r="AP18" i="23"/>
  <c r="AQ18" i="23"/>
  <c r="AQ20" i="23" s="1"/>
  <c r="AQ24" i="23" s="1"/>
  <c r="AR18" i="23"/>
  <c r="AS18" i="23"/>
  <c r="AT18" i="23"/>
  <c r="AT20" i="23" s="1"/>
  <c r="AU18" i="23"/>
  <c r="AV18" i="23"/>
  <c r="AV20" i="23" s="1"/>
  <c r="AV24" i="23" s="1"/>
  <c r="AW18" i="23"/>
  <c r="AX18" i="23"/>
  <c r="AY18" i="23"/>
  <c r="AY20" i="23" s="1"/>
  <c r="BA18" i="23"/>
  <c r="BB18" i="23"/>
  <c r="BC18" i="23"/>
  <c r="BD18" i="23"/>
  <c r="BD20" i="23" s="1"/>
  <c r="BF18" i="23"/>
  <c r="D19" i="23"/>
  <c r="E19" i="23"/>
  <c r="F19" i="23"/>
  <c r="F20" i="23" s="1"/>
  <c r="G19" i="23"/>
  <c r="H19" i="23"/>
  <c r="I19" i="23"/>
  <c r="J19" i="23"/>
  <c r="J20" i="23" s="1"/>
  <c r="K19" i="23"/>
  <c r="L19" i="23"/>
  <c r="M19" i="23"/>
  <c r="N19" i="23"/>
  <c r="N20" i="23" s="1"/>
  <c r="O19" i="23"/>
  <c r="P19" i="23"/>
  <c r="Q19" i="23"/>
  <c r="R19" i="23"/>
  <c r="R20" i="23" s="1"/>
  <c r="R24" i="23" s="1"/>
  <c r="S19" i="23"/>
  <c r="T19" i="23"/>
  <c r="U19" i="23"/>
  <c r="V19" i="23"/>
  <c r="W19" i="23"/>
  <c r="X19" i="23"/>
  <c r="Y19" i="23"/>
  <c r="Z19" i="23"/>
  <c r="Z20" i="23" s="1"/>
  <c r="AA19" i="23"/>
  <c r="AB19" i="23"/>
  <c r="AC19" i="23"/>
  <c r="AD19" i="23"/>
  <c r="AE19" i="23"/>
  <c r="AF19" i="23"/>
  <c r="AG19" i="23"/>
  <c r="AH19" i="23"/>
  <c r="AH20" i="23" s="1"/>
  <c r="AI19" i="23"/>
  <c r="AJ19" i="23"/>
  <c r="AK19" i="23"/>
  <c r="AL19" i="23"/>
  <c r="AM19" i="23"/>
  <c r="AN19" i="23"/>
  <c r="AO19" i="23"/>
  <c r="AP19" i="23"/>
  <c r="AP20" i="23" s="1"/>
  <c r="AQ19" i="23"/>
  <c r="AR19" i="23"/>
  <c r="AS19" i="23"/>
  <c r="AT19" i="23"/>
  <c r="AU19" i="23"/>
  <c r="AV19" i="23"/>
  <c r="AW19" i="23"/>
  <c r="AX19" i="23"/>
  <c r="AX20" i="23" s="1"/>
  <c r="AY19" i="23"/>
  <c r="AZ19" i="23"/>
  <c r="BA19" i="23"/>
  <c r="BB19" i="23"/>
  <c r="BC19" i="23"/>
  <c r="BD19" i="23"/>
  <c r="BF19" i="23"/>
  <c r="D20" i="23"/>
  <c r="E20" i="23"/>
  <c r="G20" i="23"/>
  <c r="I20" i="23"/>
  <c r="K20" i="23"/>
  <c r="M20" i="23"/>
  <c r="M24" i="23" s="1"/>
  <c r="O20" i="23"/>
  <c r="Q20" i="23"/>
  <c r="S20" i="23"/>
  <c r="T20" i="23"/>
  <c r="U20" i="23"/>
  <c r="W20" i="23"/>
  <c r="W24" i="23" s="1"/>
  <c r="Y20" i="23"/>
  <c r="AB20" i="23"/>
  <c r="AC20" i="23"/>
  <c r="AE20" i="23"/>
  <c r="AG20" i="23"/>
  <c r="AJ20" i="23"/>
  <c r="AK20" i="23"/>
  <c r="AM20" i="23"/>
  <c r="AO20" i="23"/>
  <c r="AR20" i="23"/>
  <c r="AS20" i="23"/>
  <c r="AU20" i="23"/>
  <c r="AW20" i="23"/>
  <c r="BA20" i="23"/>
  <c r="BA24" i="23" s="1"/>
  <c r="AQ23" i="23"/>
  <c r="AB24" i="23"/>
  <c r="AG24" i="23"/>
  <c r="G28" i="23"/>
  <c r="L28" i="23"/>
  <c r="Q28" i="23"/>
  <c r="Q30" i="23" s="1"/>
  <c r="V28" i="23"/>
  <c r="V30" i="23" s="1"/>
  <c r="AA28" i="23"/>
  <c r="AF28" i="23"/>
  <c r="AK28" i="23"/>
  <c r="AP28" i="23"/>
  <c r="AU28" i="23"/>
  <c r="AZ28" i="23"/>
  <c r="BE28" i="23"/>
  <c r="BE30" i="23" s="1"/>
  <c r="G29" i="23"/>
  <c r="G30" i="23" s="1"/>
  <c r="L29" i="23"/>
  <c r="Q29" i="23"/>
  <c r="V29" i="23"/>
  <c r="AA29" i="23"/>
  <c r="AF29" i="23"/>
  <c r="AK29" i="23"/>
  <c r="AP29" i="23"/>
  <c r="AP30" i="23" s="1"/>
  <c r="AU29" i="23"/>
  <c r="AU30" i="23" s="1"/>
  <c r="AZ29" i="23"/>
  <c r="BE29" i="23"/>
  <c r="D30" i="23"/>
  <c r="E30" i="23"/>
  <c r="F30" i="23"/>
  <c r="I30" i="23"/>
  <c r="J30" i="23"/>
  <c r="K30" i="23"/>
  <c r="L30" i="23"/>
  <c r="N30" i="23"/>
  <c r="O30" i="23"/>
  <c r="P30" i="23"/>
  <c r="S30" i="23"/>
  <c r="T30" i="23"/>
  <c r="U30" i="23"/>
  <c r="X30" i="23"/>
  <c r="Y30" i="23"/>
  <c r="Z30" i="23"/>
  <c r="AA30" i="23"/>
  <c r="AC30" i="23"/>
  <c r="AD30" i="23"/>
  <c r="AE30" i="23"/>
  <c r="AF30" i="23"/>
  <c r="AH30" i="23"/>
  <c r="AI30" i="23"/>
  <c r="AJ30" i="23"/>
  <c r="AK30" i="23"/>
  <c r="AM30" i="23"/>
  <c r="AN30" i="23"/>
  <c r="AO30" i="23"/>
  <c r="AR30" i="23"/>
  <c r="AS30" i="23"/>
  <c r="AT30" i="23"/>
  <c r="AW30" i="23"/>
  <c r="AX30" i="23"/>
  <c r="AY30" i="23"/>
  <c r="AZ30" i="23"/>
  <c r="BB30" i="23"/>
  <c r="BC30" i="23"/>
  <c r="BD30" i="23"/>
  <c r="G32" i="23"/>
  <c r="G34" i="23" s="1"/>
  <c r="L32" i="23"/>
  <c r="L34" i="23" s="1"/>
  <c r="Q32" i="23"/>
  <c r="V32" i="23"/>
  <c r="V34" i="23" s="1"/>
  <c r="AA32" i="23"/>
  <c r="AF32" i="23"/>
  <c r="AK32" i="23"/>
  <c r="AP32" i="23"/>
  <c r="AP34" i="23" s="1"/>
  <c r="AU32" i="23"/>
  <c r="AZ32" i="23"/>
  <c r="AZ34" i="23" s="1"/>
  <c r="BE32" i="23"/>
  <c r="G33" i="23"/>
  <c r="L33" i="23"/>
  <c r="Q33" i="23"/>
  <c r="V33" i="23"/>
  <c r="AA33" i="23"/>
  <c r="AF33" i="23"/>
  <c r="AF34" i="23" s="1"/>
  <c r="AK33" i="23"/>
  <c r="AP33" i="23"/>
  <c r="AU33" i="23"/>
  <c r="AZ33" i="23"/>
  <c r="BE33" i="23"/>
  <c r="D34" i="23"/>
  <c r="E34" i="23"/>
  <c r="F34" i="23"/>
  <c r="I34" i="23"/>
  <c r="J34" i="23"/>
  <c r="K34" i="23"/>
  <c r="N34" i="23"/>
  <c r="O34" i="23"/>
  <c r="P34" i="23"/>
  <c r="Q34" i="23"/>
  <c r="S34" i="23"/>
  <c r="T34" i="23"/>
  <c r="U34" i="23"/>
  <c r="X34" i="23"/>
  <c r="Y34" i="23"/>
  <c r="Z34" i="23"/>
  <c r="AA34" i="23"/>
  <c r="AC34" i="23"/>
  <c r="AD34" i="23"/>
  <c r="AE34" i="23"/>
  <c r="AH34" i="23"/>
  <c r="AI34" i="23"/>
  <c r="AJ34" i="23"/>
  <c r="AK34" i="23"/>
  <c r="AM34" i="23"/>
  <c r="AN34" i="23"/>
  <c r="AO34" i="23"/>
  <c r="AR34" i="23"/>
  <c r="AS34" i="23"/>
  <c r="AT34" i="23"/>
  <c r="AU34" i="23"/>
  <c r="AW34" i="23"/>
  <c r="AX34" i="23"/>
  <c r="AY34" i="23"/>
  <c r="BB34" i="23"/>
  <c r="BC34" i="23"/>
  <c r="BD34" i="23"/>
  <c r="BE34" i="23"/>
  <c r="D37" i="23"/>
  <c r="I37" i="23"/>
  <c r="N37" i="23"/>
  <c r="S37" i="23"/>
  <c r="X37" i="23"/>
  <c r="AC37" i="23"/>
  <c r="AH37" i="23"/>
  <c r="AM37" i="23"/>
  <c r="AR37" i="23"/>
  <c r="AW37" i="23"/>
  <c r="BB37" i="23"/>
  <c r="AG14" i="22"/>
  <c r="AG26" i="22" s="1"/>
  <c r="AB26" i="22"/>
  <c r="AC26" i="22"/>
  <c r="AD26" i="22"/>
  <c r="AE26" i="22"/>
  <c r="AF26" i="22"/>
  <c r="AH26" i="22"/>
  <c r="AI26" i="22"/>
  <c r="AJ26" i="22"/>
  <c r="AK26" i="22"/>
  <c r="AB30" i="22"/>
  <c r="AC30" i="22"/>
  <c r="AD30" i="22"/>
  <c r="AE30" i="22"/>
  <c r="AF30" i="22"/>
  <c r="AG30" i="22"/>
  <c r="AH30" i="22"/>
  <c r="AI30" i="22"/>
  <c r="AJ30" i="22"/>
  <c r="AK30" i="22"/>
  <c r="Q42" i="22"/>
  <c r="E52" i="22"/>
  <c r="G52" i="22"/>
  <c r="I52" i="22"/>
  <c r="K52" i="22"/>
  <c r="M52" i="22"/>
  <c r="O52" i="22"/>
  <c r="Q52" i="22"/>
  <c r="S52" i="22"/>
  <c r="U52" i="22"/>
  <c r="W52" i="22"/>
  <c r="U137" i="27" l="1"/>
  <c r="L147" i="27" s="1"/>
  <c r="L148" i="27" s="1"/>
  <c r="AZ16" i="23"/>
  <c r="L16" i="23"/>
  <c r="BE12" i="23"/>
  <c r="L145" i="27"/>
  <c r="N137" i="27"/>
  <c r="L152" i="27"/>
  <c r="B145" i="27"/>
  <c r="B153" i="27" s="1"/>
  <c r="D137" i="27"/>
  <c r="B152" i="27"/>
  <c r="W137" i="27"/>
  <c r="X114" i="27"/>
  <c r="AH88" i="27"/>
  <c r="AG137" i="27"/>
  <c r="N88" i="27"/>
  <c r="L153" i="27"/>
  <c r="AR88" i="27"/>
  <c r="BL137" i="27"/>
  <c r="BJ145" i="27"/>
  <c r="BJ153" i="27" s="1"/>
  <c r="BJ152" i="27"/>
  <c r="AR114" i="27"/>
  <c r="AQ137" i="27"/>
  <c r="D88" i="27"/>
  <c r="BB114" i="27"/>
  <c r="BA137" i="27"/>
  <c r="BV88" i="27"/>
  <c r="X88" i="27"/>
  <c r="BL88" i="27"/>
  <c r="BV114" i="27"/>
  <c r="BU137" i="27"/>
  <c r="D114" i="27"/>
  <c r="B154" i="27"/>
  <c r="BF20" i="23"/>
  <c r="BF24" i="23" s="1"/>
  <c r="BE8" i="23"/>
  <c r="BC20" i="23"/>
  <c r="BE18" i="23"/>
  <c r="BE20" i="23" s="1"/>
  <c r="BB20" i="23"/>
  <c r="AP152" i="27" l="1"/>
  <c r="AR137" i="27"/>
  <c r="AP145" i="27"/>
  <c r="BT145" i="27"/>
  <c r="BV137" i="27"/>
  <c r="BT152" i="27"/>
  <c r="AZ145" i="27"/>
  <c r="BB137" i="27"/>
  <c r="AZ152" i="27"/>
  <c r="BJ154" i="27"/>
  <c r="BJ149" i="27"/>
  <c r="BJ156" i="27"/>
  <c r="BJ155" i="27"/>
  <c r="BJ158" i="27"/>
  <c r="BJ157" i="27"/>
  <c r="X137" i="27"/>
  <c r="V145" i="27"/>
  <c r="V152" i="27"/>
  <c r="AH137" i="27"/>
  <c r="AF145" i="27"/>
  <c r="AF152" i="27"/>
  <c r="B149" i="27"/>
  <c r="B157" i="27"/>
  <c r="B158" i="27"/>
  <c r="B156" i="27"/>
  <c r="B155" i="27"/>
  <c r="L149" i="27"/>
  <c r="L154" i="27"/>
  <c r="L155" i="27"/>
  <c r="L156" i="27"/>
  <c r="L157" i="27"/>
  <c r="L158" i="27"/>
  <c r="V149" i="27" l="1"/>
  <c r="V158" i="27"/>
  <c r="V155" i="27"/>
  <c r="V156" i="27"/>
  <c r="V157" i="27"/>
  <c r="V154" i="27"/>
  <c r="V153" i="27"/>
  <c r="AZ149" i="27"/>
  <c r="AZ158" i="27"/>
  <c r="AZ153" i="27"/>
  <c r="AZ155" i="27"/>
  <c r="AZ157" i="27"/>
  <c r="AZ156" i="27"/>
  <c r="AZ154" i="27"/>
  <c r="AP158" i="27"/>
  <c r="AP149" i="27"/>
  <c r="AP156" i="27"/>
  <c r="AP155" i="27"/>
  <c r="AP157" i="27"/>
  <c r="AP154" i="27"/>
  <c r="AP153" i="27"/>
  <c r="AF154" i="27"/>
  <c r="AF155" i="27"/>
  <c r="AF149" i="27"/>
  <c r="AF158" i="27"/>
  <c r="AF156" i="27"/>
  <c r="AF157" i="27"/>
  <c r="AF153" i="27"/>
  <c r="BT157" i="27"/>
  <c r="BT158" i="27"/>
  <c r="BT155" i="27"/>
  <c r="BT149" i="27"/>
  <c r="BT156" i="27"/>
  <c r="BT154" i="27"/>
  <c r="BT153" i="27"/>
</calcChain>
</file>

<file path=xl/sharedStrings.xml><?xml version="1.0" encoding="utf-8"?>
<sst xmlns="http://schemas.openxmlformats.org/spreadsheetml/2006/main" count="805" uniqueCount="251">
  <si>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</si>
  <si>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</si>
  <si>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</si>
  <si>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</si>
  <si>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</si>
  <si>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</si>
  <si>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</si>
  <si>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</si>
  <si>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</si>
  <si>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</si>
  <si>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</si>
  <si>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Select Calendar</t>
  </si>
  <si>
    <t>Unduplicated Headcount</t>
  </si>
  <si>
    <t>Student Credit Hours</t>
  </si>
  <si>
    <t>Student Contact Hours</t>
  </si>
  <si>
    <t>FTE</t>
  </si>
  <si>
    <t>Gross Tuition</t>
  </si>
  <si>
    <t>Semester</t>
  </si>
  <si>
    <t>Student Level</t>
  </si>
  <si>
    <t>Residency</t>
  </si>
  <si>
    <t>Undergraduate</t>
  </si>
  <si>
    <t>Resident</t>
  </si>
  <si>
    <t>Non-Resident</t>
  </si>
  <si>
    <t>Subtotal</t>
  </si>
  <si>
    <t>Graduate</t>
  </si>
  <si>
    <t>First-Professional</t>
  </si>
  <si>
    <t>Total</t>
  </si>
  <si>
    <t>Less:</t>
  </si>
  <si>
    <t>Refunds</t>
  </si>
  <si>
    <t>Remissions/Waivers</t>
  </si>
  <si>
    <t>Net Tuition Income</t>
  </si>
  <si>
    <r>
      <t xml:space="preserve">Of </t>
    </r>
    <r>
      <rPr>
        <b/>
        <u/>
        <sz val="12"/>
        <color rgb="FFFF0000"/>
        <rFont val="Arial"/>
        <family val="2"/>
      </rPr>
      <t>undergraduate</t>
    </r>
    <r>
      <rPr>
        <b/>
        <sz val="12"/>
        <color rgb="FFFF0000"/>
        <rFont val="Arial"/>
        <family val="2"/>
      </rPr>
      <t xml:space="preserve"> students reported above:</t>
    </r>
  </si>
  <si>
    <t>Preparatory/
Remedial</t>
  </si>
  <si>
    <t>Dual Enrollment</t>
  </si>
  <si>
    <t>Other</t>
  </si>
  <si>
    <t>RATE/UNIT</t>
  </si>
  <si>
    <t>TOTAL REVENUE</t>
  </si>
  <si>
    <t>TYPE OF FEE</t>
  </si>
  <si>
    <t>REVENUE CLASS</t>
  </si>
  <si>
    <t>PCS SUB. PRO.</t>
  </si>
  <si>
    <t>Rate</t>
  </si>
  <si>
    <t>Unit</t>
  </si>
  <si>
    <t>MANDATORY FEES</t>
  </si>
  <si>
    <t>Cultural Enrichment Fee</t>
  </si>
  <si>
    <t>Unres. Gen.</t>
  </si>
  <si>
    <t>SEM</t>
  </si>
  <si>
    <t>Enrollment Services Fee</t>
  </si>
  <si>
    <t>DSC</t>
  </si>
  <si>
    <t>Library Fee</t>
  </si>
  <si>
    <t>SCH</t>
  </si>
  <si>
    <t>Photo ID</t>
  </si>
  <si>
    <t>Unres. Aux. Oper.</t>
  </si>
  <si>
    <t>Student Access and Success Fee</t>
  </si>
  <si>
    <t>NA</t>
  </si>
  <si>
    <t>Student Research Fee</t>
  </si>
  <si>
    <t>Technology Fee</t>
  </si>
  <si>
    <t>University Program</t>
  </si>
  <si>
    <t>UnresAuxOprt</t>
  </si>
  <si>
    <t>EACH</t>
  </si>
  <si>
    <t>UPFF Fund A</t>
  </si>
  <si>
    <t>UPFF Fund B</t>
  </si>
  <si>
    <t>UPFF Fund B Flat (6 SCH or less)</t>
  </si>
  <si>
    <t>UPFF Fund B Flat (7 SCH or more)</t>
  </si>
  <si>
    <t>Insert rows above here</t>
  </si>
  <si>
    <t>Total Mandatory Fees Revenue</t>
  </si>
  <si>
    <t>Resident Mandatory Fees Revenue</t>
  </si>
  <si>
    <t>Non-resident Mandatory Fees Revenue</t>
  </si>
  <si>
    <t>x</t>
  </si>
  <si>
    <t>OTHER FEES AND CHARGES</t>
  </si>
  <si>
    <t>Application Fee: Graduate</t>
  </si>
  <si>
    <t>APP</t>
  </si>
  <si>
    <t>Application Fee:: Undergraduate</t>
  </si>
  <si>
    <t>Graduation Application Fee</t>
  </si>
  <si>
    <t>International Student Fee</t>
  </si>
  <si>
    <t>Late Payment/Tuition (balances $1,000 and over)</t>
  </si>
  <si>
    <t>UnresGen</t>
  </si>
  <si>
    <t>Late Payment/Tuition (balances under $1,000)</t>
  </si>
  <si>
    <t>Late Registration Fee</t>
  </si>
  <si>
    <t>Library Fines</t>
  </si>
  <si>
    <t>VAR</t>
  </si>
  <si>
    <t>New Student Enrollment Fee</t>
  </si>
  <si>
    <t>ONCE</t>
  </si>
  <si>
    <t>Room</t>
  </si>
  <si>
    <t>YEAR</t>
  </si>
  <si>
    <t>Thesis Binding</t>
  </si>
  <si>
    <t>University of Nebraska</t>
  </si>
  <si>
    <t>Cash Fund Revenue Summary (State-Aided)</t>
  </si>
  <si>
    <r>
      <t xml:space="preserve">Institution: </t>
    </r>
    <r>
      <rPr>
        <b/>
        <u/>
        <sz val="12"/>
        <rFont val="Times New Roman"/>
        <family val="1"/>
      </rPr>
      <t>University of Nebraska at Omaha</t>
    </r>
  </si>
  <si>
    <t>Actual</t>
  </si>
  <si>
    <t>Estimate</t>
  </si>
  <si>
    <t>FY 2013-14</t>
  </si>
  <si>
    <t>FY 2015-16</t>
  </si>
  <si>
    <t>FY 2016-17</t>
  </si>
  <si>
    <t>FY 2017-18</t>
  </si>
  <si>
    <t>FY 2018-19</t>
  </si>
  <si>
    <t>2019-2020</t>
  </si>
  <si>
    <t>2020-2021</t>
  </si>
  <si>
    <t>2021-2022</t>
  </si>
  <si>
    <t>2022-2023</t>
  </si>
  <si>
    <t>Tuition Income</t>
  </si>
  <si>
    <t xml:space="preserve">$ </t>
  </si>
  <si>
    <t>Less Need-based Remissions/Scholarship</t>
  </si>
  <si>
    <t>Less Non-need-based Remissions/Scholarship</t>
  </si>
  <si>
    <t>Less Refunds and Uncollectibles</t>
  </si>
  <si>
    <t>Net Tuition</t>
  </si>
  <si>
    <t>Student Fees</t>
  </si>
  <si>
    <t>Application Fees</t>
  </si>
  <si>
    <t>Late Payment</t>
  </si>
  <si>
    <t>Late Registration</t>
  </si>
  <si>
    <t>Miscellaneous Student Fees</t>
  </si>
  <si>
    <t>Subtotal Student Fees</t>
  </si>
  <si>
    <t>Other Income</t>
  </si>
  <si>
    <t>Administrative Service Charge:</t>
  </si>
  <si>
    <t>Administrative Overhead</t>
  </si>
  <si>
    <t>Indirect Cost Reimbursement:</t>
  </si>
  <si>
    <t>Gross</t>
  </si>
  <si>
    <t>Less Research Incentive Allocation</t>
  </si>
  <si>
    <t>Less Portion included in State-Aided Revolving</t>
  </si>
  <si>
    <t>Investment Income</t>
  </si>
  <si>
    <t>SSAP/SAP/NE State Grant</t>
  </si>
  <si>
    <t>SSAP/SAP/NSG Tuition Income Offset</t>
  </si>
  <si>
    <t>Subtotal Other</t>
  </si>
  <si>
    <t>GROSS REVENUE</t>
  </si>
  <si>
    <t>Net Change in Encumbrances</t>
  </si>
  <si>
    <t>Research Incentive Allocation</t>
  </si>
  <si>
    <t>Tobacco Settlement</t>
  </si>
  <si>
    <t xml:space="preserve">     Tobacco Settlement - Designated</t>
  </si>
  <si>
    <t>Patient Revenue</t>
  </si>
  <si>
    <t xml:space="preserve">     Patient Revenue - Designated</t>
  </si>
  <si>
    <t>Patient Revenue Investment Income</t>
  </si>
  <si>
    <t>Revenue Transfers</t>
  </si>
  <si>
    <t>LB 1100 Debt Service</t>
  </si>
  <si>
    <t>Cash Fund Revenue Adjustment</t>
  </si>
  <si>
    <t>TOTAL AVAILABLE REVENUE</t>
  </si>
  <si>
    <t>Notes:</t>
  </si>
  <si>
    <t xml:space="preserve"> (a) Effective 7/1/02, Library Fees/Fines and Facility Rental Income will become revolving and auxiliary revenue, respectively, and accrue to the benefit of the generating departments.</t>
  </si>
  <si>
    <t>UPFF Fund B HEERF Institutional Funding</t>
  </si>
  <si>
    <t>2023-24</t>
  </si>
  <si>
    <t xml:space="preserve"> </t>
  </si>
  <si>
    <t>2024-25</t>
  </si>
  <si>
    <t>20. % Other Academic Aid as a Grand Total of All Aid</t>
  </si>
  <si>
    <t>19.  % Aid Based on Membership is of Grand Total of all aid</t>
  </si>
  <si>
    <t>18.  % Ability Based Aid is of Grand Total of all aid</t>
  </si>
  <si>
    <t>17.  % Need Based Aid is of Grand Total of all aid</t>
  </si>
  <si>
    <t>16.  % Aid for Service is of Grand Total of all aid</t>
  </si>
  <si>
    <t>15.  % Academic Aid is of Grand Total of all aid</t>
  </si>
  <si>
    <t>14.  % remissions is of Grand Total of all aid</t>
  </si>
  <si>
    <t>13.  % gross tuition income remitted to students</t>
  </si>
  <si>
    <t>12.  Gross tuition income less refunds</t>
  </si>
  <si>
    <t>11.  % of total dollar amount received by Nebraska residents</t>
  </si>
  <si>
    <t>10.  Amount of Tuition Waivers received by non-Nebraska residents</t>
  </si>
  <si>
    <t xml:space="preserve"> 9.  Amount of Tuition Waivers received by Nebraska residents</t>
  </si>
  <si>
    <t xml:space="preserve"> 8.  Amount received by Nebraska residents</t>
  </si>
  <si>
    <t xml:space="preserve"> 7.  Total dollar value of reported financial aid </t>
  </si>
  <si>
    <t xml:space="preserve"> 6.  % participation by Nebraska residents</t>
  </si>
  <si>
    <t xml:space="preserve"> 5.  Number of Nebraska residents receiving financial aid</t>
  </si>
  <si>
    <t xml:space="preserve"> 4.  % of total institutional headcount receiving aid</t>
  </si>
  <si>
    <t xml:space="preserve"> 3.  Number of students receiving more than one aid</t>
  </si>
  <si>
    <t xml:space="preserve"> 2.  Number of students participating in financial aid programs</t>
  </si>
  <si>
    <t xml:space="preserve"> 1.  Total institutional headcount</t>
  </si>
  <si>
    <t>DATA CALCULATIONS</t>
  </si>
  <si>
    <t xml:space="preserve">    GRAND TOTAL ACADEMIC AID, AID FOR SERVICE, OTHER AID</t>
  </si>
  <si>
    <t xml:space="preserve">    Subtotal Other Aid</t>
  </si>
  <si>
    <t>Insert rows above here by copying row above and Insert Copied Cells</t>
  </si>
  <si>
    <t>Chancellor's Transfer Scholarship</t>
  </si>
  <si>
    <t>Urban Health Opportunities Program (UHOP)</t>
  </si>
  <si>
    <t>Maverick in the Making</t>
  </si>
  <si>
    <t>Grad Jumpstart</t>
  </si>
  <si>
    <t>Fee Waivers (Dual Enrollment)</t>
  </si>
  <si>
    <t>Ugrad Retake</t>
  </si>
  <si>
    <t>Midwest Student Exchange Program (MSEP)</t>
  </si>
  <si>
    <t>Intercampus Transfer Adjustments</t>
  </si>
  <si>
    <t>Federal TEACH Grant</t>
  </si>
  <si>
    <t>Federal PLUS</t>
  </si>
  <si>
    <t>Federal Graduate PLUS</t>
  </si>
  <si>
    <t>Federal Direct Unsubsidized</t>
  </si>
  <si>
    <t>Other Aid</t>
  </si>
  <si>
    <t xml:space="preserve">    TOTAL AID FOR SERVICE</t>
  </si>
  <si>
    <t xml:space="preserve">    Subtotal Ability Based</t>
  </si>
  <si>
    <t>Women's Athletics</t>
  </si>
  <si>
    <t>Nonresident G.A. Waivers</t>
  </si>
  <si>
    <t>Men's Athletics</t>
  </si>
  <si>
    <t>Graduate Assistants</t>
  </si>
  <si>
    <t>(2) Ability Based</t>
  </si>
  <si>
    <t xml:space="preserve">    Subtotal Need Based</t>
  </si>
  <si>
    <t>Vocational Rehabilitation Grant</t>
  </si>
  <si>
    <t>Federal Workstudy Program</t>
  </si>
  <si>
    <t>(1) Need Based</t>
  </si>
  <si>
    <t>AID FOR SERVICE</t>
  </si>
  <si>
    <t xml:space="preserve">    TOTAL ACADEMIC AID</t>
  </si>
  <si>
    <t xml:space="preserve">    Subtotal Membership Based</t>
  </si>
  <si>
    <t>Vet DE Diff 2019</t>
  </si>
  <si>
    <t>Yellow Ribbon</t>
  </si>
  <si>
    <t>War Orphans</t>
  </si>
  <si>
    <t>veterans waivers</t>
  </si>
  <si>
    <t>Staff Waivers</t>
  </si>
  <si>
    <t>Spouse Waivers</t>
  </si>
  <si>
    <t>ROTC</t>
  </si>
  <si>
    <t>National Guard</t>
  </si>
  <si>
    <t>Military Reserves</t>
  </si>
  <si>
    <t>Foreign Students and Laspau</t>
  </si>
  <si>
    <t>Dependent (non-spouse) Waivers</t>
  </si>
  <si>
    <t>Bureau of Indian Affairs</t>
  </si>
  <si>
    <t>Nebraska Legacy</t>
  </si>
  <si>
    <t>Law Enforcement Waiver</t>
  </si>
  <si>
    <t>(3) Membership Based</t>
  </si>
  <si>
    <t>Nebraska Career Scholarship</t>
  </si>
  <si>
    <t>Arch Eng Nonresident Scholarship</t>
  </si>
  <si>
    <t>Faculty Scholarship</t>
  </si>
  <si>
    <t>Maverick Advantage Scholarship</t>
  </si>
  <si>
    <t>CC Transfer</t>
  </si>
  <si>
    <t>NU Paths</t>
  </si>
  <si>
    <t>UNO Advantage Scholarship Program</t>
  </si>
  <si>
    <t>Regents' Special Aid</t>
  </si>
  <si>
    <t>Miscellaneous Scholarships</t>
  </si>
  <si>
    <t>Metropolitan Advantage Scholarship</t>
  </si>
  <si>
    <t>Honors Scholarships</t>
  </si>
  <si>
    <t>Foundation Aid (merit-based)</t>
  </si>
  <si>
    <t>Distinguished Scholars Program</t>
  </si>
  <si>
    <t>Dean's Scholarship</t>
  </si>
  <si>
    <t>Chancellor's Scholarship</t>
  </si>
  <si>
    <t>Alumni - Nebraska Legacy</t>
  </si>
  <si>
    <t>Scholarship By Review</t>
  </si>
  <si>
    <t>ETP Program</t>
  </si>
  <si>
    <t>NE Promise</t>
  </si>
  <si>
    <t>University of Nebraska Tuition Assistance Grants (UTAG)</t>
  </si>
  <si>
    <t>Regents' Special Aid (UTG)</t>
  </si>
  <si>
    <t>R. H. Davis Minority Scholarship</t>
  </si>
  <si>
    <t>Need Based Aid - UG College Bound</t>
  </si>
  <si>
    <t>Need Based Aid - UG (UAG)</t>
  </si>
  <si>
    <t>Nebraska Opportunity Grant (NOG)</t>
  </si>
  <si>
    <t>Miscellaneous Loans</t>
  </si>
  <si>
    <t>Goodrich Scholarships</t>
  </si>
  <si>
    <t>Federal Supplemental Education Opportunity Grant (FSEOG)</t>
  </si>
  <si>
    <t>Federal Perkins Loan (National Direct Student Loan)</t>
  </si>
  <si>
    <t>Federal Pell Grant</t>
  </si>
  <si>
    <t>Federal Direct Subsidized</t>
  </si>
  <si>
    <t>ACE Plus</t>
  </si>
  <si>
    <t>ACE</t>
  </si>
  <si>
    <t>ACADEMIC AID</t>
  </si>
  <si>
    <t>Tuition Waivers to Nebraska Residents</t>
  </si>
  <si>
    <t>Amount to Nebraska Residents</t>
  </si>
  <si>
    <t>Federal</t>
  </si>
  <si>
    <t>State</t>
  </si>
  <si>
    <t>Institution</t>
  </si>
  <si>
    <t>Tuition Waivers</t>
  </si>
  <si>
    <t>Average Award</t>
  </si>
  <si>
    <t>Total Value</t>
  </si>
  <si>
    <t>Headcount</t>
  </si>
  <si>
    <t>PROGRAM DESCRIPTION</t>
  </si>
  <si>
    <t>FUNDING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</si>
</sst>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  <numFmt numFmtId="167" formatCode="&quot;$&quot;#,##0.00"/>
    <numFmt numFmtId="168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8"/>
      <color rgb="FFFF0000"/>
      <name val="Calibri Light"/>
      <family val="1"/>
      <scheme val="major"/>
    </font>
    <font>
      <b/>
      <u/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1DBE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1DBE3"/>
        <bgColor rgb="FF000000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37" fontId="22" fillId="0" borderId="0"/>
  </cellStyleXfs>
  <cellXfs count="486">
    <xf numFmtId="0" fontId="0" fillId="0" borderId="0" xfId="0"/>
    <xf numFmtId="3" fontId="9" fillId="0" borderId="12" xfId="0" applyNumberFormat="1" applyFont="1" applyBorder="1" applyProtection="1">
      <protection locked="0"/>
    </xf>
    <xf numFmtId="165" fontId="9" fillId="0" borderId="13" xfId="0" applyNumberFormat="1" applyFont="1" applyBorder="1" applyProtection="1">
      <protection locked="0"/>
    </xf>
    <xf numFmtId="164" fontId="9" fillId="0" borderId="14" xfId="1" applyNumberFormat="1" applyFont="1" applyFill="1" applyBorder="1" applyProtection="1"/>
    <xf numFmtId="164" fontId="9" fillId="0" borderId="14" xfId="1" applyNumberFormat="1" applyFont="1" applyFill="1" applyBorder="1" applyProtection="1">
      <protection locked="0"/>
    </xf>
    <xf numFmtId="164" fontId="9" fillId="0" borderId="16" xfId="1" applyNumberFormat="1" applyFont="1" applyFill="1" applyBorder="1" applyProtection="1"/>
    <xf numFmtId="164" fontId="9" fillId="0" borderId="14" xfId="0" applyNumberFormat="1" applyFont="1" applyBorder="1" applyProtection="1">
      <protection locked="0"/>
    </xf>
    <xf numFmtId="164" fontId="10" fillId="0" borderId="13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 indent="1"/>
      <protection locked="0"/>
    </xf>
    <xf numFmtId="37" fontId="23" fillId="0" borderId="0" xfId="4" applyFont="1"/>
    <xf numFmtId="37" fontId="24" fillId="0" borderId="0" xfId="4" applyFont="1"/>
    <xf numFmtId="43" fontId="24" fillId="0" borderId="0" xfId="1" applyFont="1"/>
    <xf numFmtId="37" fontId="23" fillId="0" borderId="0" xfId="4" applyFont="1" applyAlignment="1">
      <alignment horizontal="center"/>
    </xf>
    <xf numFmtId="37" fontId="25" fillId="0" borderId="0" xfId="4" applyFont="1"/>
    <xf numFmtId="37" fontId="26" fillId="0" borderId="0" xfId="4" applyFont="1"/>
    <xf numFmtId="166" fontId="24" fillId="0" borderId="35" xfId="1" applyNumberFormat="1" applyFont="1" applyFill="1" applyBorder="1" applyProtection="1"/>
    <xf numFmtId="166" fontId="24" fillId="0" borderId="0" xfId="1" applyNumberFormat="1" applyFont="1" applyFill="1" applyAlignment="1" applyProtection="1">
      <alignment horizontal="right"/>
    </xf>
    <xf numFmtId="166" fontId="24" fillId="0" borderId="0" xfId="1" applyNumberFormat="1" applyFont="1" applyFill="1" applyBorder="1" applyProtection="1"/>
    <xf numFmtId="37" fontId="24" fillId="0" borderId="0" xfId="4" applyFont="1" applyAlignment="1">
      <alignment horizontal="right"/>
    </xf>
    <xf numFmtId="166" fontId="23" fillId="0" borderId="0" xfId="1" applyNumberFormat="1" applyFont="1" applyFill="1"/>
    <xf numFmtId="166" fontId="23" fillId="0" borderId="0" xfId="1" applyNumberFormat="1" applyFont="1" applyFill="1" applyProtection="1"/>
    <xf numFmtId="166" fontId="23" fillId="0" borderId="0" xfId="1" applyNumberFormat="1" applyFont="1" applyFill="1" applyBorder="1" applyProtection="1"/>
    <xf numFmtId="166" fontId="23" fillId="0" borderId="0" xfId="1" applyNumberFormat="1" applyFont="1" applyFill="1" applyBorder="1"/>
    <xf numFmtId="166" fontId="23" fillId="0" borderId="0" xfId="1" applyNumberFormat="1" applyFont="1" applyFill="1" applyAlignment="1" applyProtection="1">
      <alignment horizontal="right"/>
    </xf>
    <xf numFmtId="37" fontId="23" fillId="0" borderId="0" xfId="4" applyFont="1" applyAlignment="1">
      <alignment horizontal="right"/>
    </xf>
    <xf numFmtId="166" fontId="23" fillId="0" borderId="11" xfId="1" applyNumberFormat="1" applyFont="1" applyFill="1" applyBorder="1" applyProtection="1"/>
    <xf numFmtId="166" fontId="23" fillId="0" borderId="11" xfId="1" applyNumberFormat="1" applyFont="1" applyFill="1" applyBorder="1"/>
    <xf numFmtId="37" fontId="27" fillId="0" borderId="0" xfId="4" applyFont="1"/>
    <xf numFmtId="166" fontId="24" fillId="0" borderId="0" xfId="1" applyNumberFormat="1" applyFont="1" applyFill="1" applyBorder="1" applyAlignment="1" applyProtection="1">
      <alignment horizontal="center"/>
    </xf>
    <xf numFmtId="166" fontId="24" fillId="0" borderId="0" xfId="1" applyNumberFormat="1" applyFont="1" applyFill="1" applyAlignment="1" applyProtection="1">
      <alignment horizontal="center"/>
    </xf>
    <xf numFmtId="37" fontId="23" fillId="0" borderId="0" xfId="4" applyFont="1" applyAlignment="1">
      <alignment horizontal="centerContinuous"/>
    </xf>
    <xf numFmtId="37" fontId="24" fillId="0" borderId="0" xfId="4" applyFont="1" applyAlignment="1">
      <alignment horizontal="centerContinuous"/>
    </xf>
    <xf numFmtId="37" fontId="28" fillId="0" borderId="0" xfId="4" applyFont="1"/>
    <xf numFmtId="37" fontId="30" fillId="0" borderId="0" xfId="4" applyFont="1" applyAlignment="1" applyProtection="1">
      <alignment horizontal="centerContinuous"/>
      <protection locked="0"/>
    </xf>
    <xf numFmtId="164" fontId="9" fillId="12" borderId="14" xfId="1" applyNumberFormat="1" applyFont="1" applyFill="1" applyBorder="1" applyProtection="1"/>
    <xf numFmtId="167" fontId="10" fillId="0" borderId="13" xfId="0" applyNumberFormat="1" applyFont="1" applyBorder="1" applyAlignment="1" applyProtection="1">
      <alignment horizontal="right" indent="1"/>
      <protection locked="0"/>
    </xf>
    <xf numFmtId="167" fontId="0" fillId="11" borderId="13" xfId="0" applyNumberFormat="1" applyFill="1" applyBorder="1" applyAlignment="1" applyProtection="1">
      <alignment horizontal="right" indent="1"/>
      <protection locked="0"/>
    </xf>
    <xf numFmtId="167" fontId="9" fillId="11" borderId="1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10" borderId="0" xfId="0" applyFont="1" applyFill="1"/>
    <xf numFmtId="0" fontId="9" fillId="10" borderId="7" xfId="0" applyFont="1" applyFill="1" applyBorder="1"/>
    <xf numFmtId="0" fontId="9" fillId="11" borderId="0" xfId="0" applyFont="1" applyFill="1"/>
    <xf numFmtId="0" fontId="8" fillId="11" borderId="0" xfId="0" applyFont="1" applyFill="1"/>
    <xf numFmtId="0" fontId="9" fillId="11" borderId="11" xfId="0" applyFont="1" applyFill="1" applyBorder="1"/>
    <xf numFmtId="3" fontId="9" fillId="0" borderId="12" xfId="0" applyNumberFormat="1" applyFont="1" applyBorder="1"/>
    <xf numFmtId="165" fontId="9" fillId="0" borderId="13" xfId="0" applyNumberFormat="1" applyFont="1" applyBorder="1"/>
    <xf numFmtId="165" fontId="9" fillId="13" borderId="13" xfId="0" applyNumberFormat="1" applyFont="1" applyFill="1" applyBorder="1"/>
    <xf numFmtId="165" fontId="9" fillId="12" borderId="13" xfId="0" applyNumberFormat="1" applyFont="1" applyFill="1" applyBorder="1"/>
    <xf numFmtId="0" fontId="8" fillId="11" borderId="11" xfId="0" applyFont="1" applyFill="1" applyBorder="1"/>
    <xf numFmtId="3" fontId="9" fillId="12" borderId="12" xfId="0" applyNumberFormat="1" applyFont="1" applyFill="1" applyBorder="1"/>
    <xf numFmtId="164" fontId="9" fillId="12" borderId="13" xfId="0" applyNumberFormat="1" applyFont="1" applyFill="1" applyBorder="1"/>
    <xf numFmtId="0" fontId="9" fillId="0" borderId="0" xfId="0" applyFont="1" applyAlignment="1">
      <alignment horizontal="center" vertical="center"/>
    </xf>
    <xf numFmtId="0" fontId="8" fillId="0" borderId="0" xfId="0" applyFont="1"/>
    <xf numFmtId="3" fontId="9" fillId="0" borderId="15" xfId="0" applyNumberFormat="1" applyFont="1" applyBorder="1"/>
    <xf numFmtId="165" fontId="9" fillId="0" borderId="0" xfId="0" applyNumberFormat="1" applyFont="1"/>
    <xf numFmtId="0" fontId="9" fillId="11" borderId="17" xfId="0" applyFont="1" applyFill="1" applyBorder="1"/>
    <xf numFmtId="3" fontId="9" fillId="0" borderId="13" xfId="0" applyNumberFormat="1" applyFont="1" applyBorder="1"/>
    <xf numFmtId="0" fontId="8" fillId="11" borderId="17" xfId="0" applyFont="1" applyFill="1" applyBorder="1"/>
    <xf numFmtId="0" fontId="10" fillId="0" borderId="0" xfId="0" applyFont="1"/>
    <xf numFmtId="164" fontId="9" fillId="0" borderId="0" xfId="0" applyNumberFormat="1" applyFont="1"/>
    <xf numFmtId="3" fontId="9" fillId="0" borderId="0" xfId="0" applyNumberFormat="1" applyFont="1"/>
    <xf numFmtId="164" fontId="9" fillId="0" borderId="16" xfId="0" applyNumberFormat="1" applyFont="1" applyBorder="1"/>
    <xf numFmtId="0" fontId="11" fillId="0" borderId="0" xfId="0" applyFont="1" applyAlignment="1">
      <alignment horizontal="left" indent="2"/>
    </xf>
    <xf numFmtId="164" fontId="9" fillId="0" borderId="13" xfId="0" applyNumberFormat="1" applyFont="1" applyBorder="1"/>
    <xf numFmtId="164" fontId="9" fillId="0" borderId="14" xfId="0" applyNumberFormat="1" applyFont="1" applyBorder="1"/>
    <xf numFmtId="164" fontId="9" fillId="12" borderId="14" xfId="0" applyNumberFormat="1" applyFont="1" applyFill="1" applyBorder="1"/>
    <xf numFmtId="0" fontId="0" fillId="14" borderId="0" xfId="0" applyFill="1"/>
    <xf numFmtId="3" fontId="0" fillId="14" borderId="15" xfId="0" applyNumberFormat="1" applyFill="1" applyBorder="1"/>
    <xf numFmtId="164" fontId="0" fillId="14" borderId="0" xfId="0" applyNumberFormat="1" applyFill="1"/>
    <xf numFmtId="3" fontId="0" fillId="14" borderId="0" xfId="0" applyNumberFormat="1" applyFill="1"/>
    <xf numFmtId="164" fontId="0" fillId="14" borderId="16" xfId="0" applyNumberFormat="1" applyFill="1" applyBorder="1"/>
    <xf numFmtId="3" fontId="0" fillId="0" borderId="15" xfId="0" applyNumberFormat="1" applyBorder="1"/>
    <xf numFmtId="164" fontId="0" fillId="0" borderId="0" xfId="0" applyNumberFormat="1"/>
    <xf numFmtId="3" fontId="0" fillId="0" borderId="0" xfId="0" applyNumberFormat="1"/>
    <xf numFmtId="164" fontId="0" fillId="0" borderId="16" xfId="0" applyNumberFormat="1" applyBorder="1"/>
    <xf numFmtId="164" fontId="9" fillId="13" borderId="14" xfId="0" applyNumberFormat="1" applyFont="1" applyFill="1" applyBorder="1"/>
    <xf numFmtId="3" fontId="9" fillId="12" borderId="13" xfId="0" applyNumberFormat="1" applyFont="1" applyFill="1" applyBorder="1"/>
    <xf numFmtId="0" fontId="0" fillId="0" borderId="11" xfId="0" applyBorder="1"/>
    <xf numFmtId="3" fontId="0" fillId="0" borderId="18" xfId="0" applyNumberFormat="1" applyBorder="1"/>
    <xf numFmtId="164" fontId="0" fillId="0" borderId="19" xfId="0" applyNumberFormat="1" applyBorder="1"/>
    <xf numFmtId="3" fontId="0" fillId="0" borderId="11" xfId="0" applyNumberFormat="1" applyBorder="1"/>
    <xf numFmtId="165" fontId="0" fillId="0" borderId="11" xfId="0" applyNumberFormat="1" applyBorder="1"/>
    <xf numFmtId="0" fontId="9" fillId="11" borderId="0" xfId="0" applyFont="1" applyFill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9" fillId="0" borderId="0" xfId="0" applyFont="1"/>
    <xf numFmtId="0" fontId="2" fillId="9" borderId="0" xfId="0" applyFont="1" applyFill="1" applyAlignment="1">
      <alignment wrapText="1"/>
    </xf>
    <xf numFmtId="0" fontId="8" fillId="9" borderId="0" xfId="0" applyFont="1" applyFill="1" applyAlignment="1">
      <alignment wrapText="1"/>
    </xf>
    <xf numFmtId="0" fontId="8" fillId="9" borderId="16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2" fillId="9" borderId="15" xfId="0" applyFont="1" applyFill="1" applyBorder="1" applyAlignment="1">
      <alignment wrapText="1"/>
    </xf>
    <xf numFmtId="0" fontId="8" fillId="9" borderId="0" xfId="0" applyFont="1" applyFill="1" applyAlignment="1">
      <alignment horizontal="center"/>
    </xf>
    <xf numFmtId="0" fontId="2" fillId="9" borderId="34" xfId="0" applyFont="1" applyFill="1" applyBorder="1" applyAlignment="1">
      <alignment wrapText="1"/>
    </xf>
    <xf numFmtId="0" fontId="2" fillId="9" borderId="33" xfId="0" applyFont="1" applyFill="1" applyBorder="1" applyAlignment="1">
      <alignment wrapText="1"/>
    </xf>
    <xf numFmtId="0" fontId="8" fillId="9" borderId="34" xfId="0" applyFont="1" applyFill="1" applyBorder="1"/>
    <xf numFmtId="0" fontId="8" fillId="9" borderId="33" xfId="0" applyFont="1" applyFill="1" applyBorder="1"/>
    <xf numFmtId="0" fontId="8" fillId="9" borderId="32" xfId="0" applyFont="1" applyFill="1" applyBorder="1"/>
    <xf numFmtId="0" fontId="2" fillId="9" borderId="15" xfId="0" applyFont="1" applyFill="1" applyBorder="1"/>
    <xf numFmtId="0" fontId="2" fillId="9" borderId="0" xfId="0" applyFont="1" applyFill="1"/>
    <xf numFmtId="0" fontId="11" fillId="9" borderId="30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21" borderId="7" xfId="0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1" fillId="0" borderId="26" xfId="0" applyFont="1" applyBorder="1"/>
    <xf numFmtId="0" fontId="10" fillId="0" borderId="0" xfId="0" applyFont="1" applyAlignment="1">
      <alignment horizontal="center"/>
    </xf>
    <xf numFmtId="4" fontId="10" fillId="0" borderId="27" xfId="0" applyNumberFormat="1" applyFont="1" applyBorder="1"/>
    <xf numFmtId="0" fontId="10" fillId="0" borderId="13" xfId="0" applyFont="1" applyBorder="1" applyAlignment="1">
      <alignment horizontal="left" indent="1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right" indent="1"/>
    </xf>
    <xf numFmtId="0" fontId="10" fillId="0" borderId="9" xfId="0" applyFont="1" applyBorder="1"/>
    <xf numFmtId="164" fontId="10" fillId="0" borderId="13" xfId="0" applyNumberFormat="1" applyFont="1" applyBorder="1"/>
    <xf numFmtId="0" fontId="0" fillId="0" borderId="0" xfId="0" quotePrefix="1"/>
    <xf numFmtId="0" fontId="18" fillId="0" borderId="13" xfId="0" applyFont="1" applyBorder="1" applyAlignment="1">
      <alignment horizontal="left" indent="1"/>
    </xf>
    <xf numFmtId="167" fontId="10" fillId="0" borderId="0" xfId="0" applyNumberFormat="1" applyFont="1" applyAlignment="1">
      <alignment horizontal="right" indent="1"/>
    </xf>
    <xf numFmtId="164" fontId="10" fillId="0" borderId="0" xfId="0" applyNumberFormat="1" applyFont="1"/>
    <xf numFmtId="0" fontId="10" fillId="15" borderId="13" xfId="0" applyFont="1" applyFill="1" applyBorder="1" applyAlignment="1">
      <alignment horizontal="left" vertical="center" wrapText="1"/>
    </xf>
    <xf numFmtId="0" fontId="10" fillId="15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167" fontId="21" fillId="0" borderId="0" xfId="0" applyNumberFormat="1" applyFont="1" applyAlignment="1">
      <alignment horizontal="right" indent="1"/>
    </xf>
    <xf numFmtId="4" fontId="21" fillId="0" borderId="0" xfId="0" applyNumberFormat="1" applyFont="1" applyAlignment="1">
      <alignment horizontal="right" indent="1"/>
    </xf>
    <xf numFmtId="0" fontId="20" fillId="0" borderId="0" xfId="0" applyFont="1"/>
    <xf numFmtId="167" fontId="0" fillId="0" borderId="0" xfId="0" applyNumberFormat="1" applyAlignment="1">
      <alignment horizontal="right" indent="1"/>
    </xf>
    <xf numFmtId="0" fontId="0" fillId="15" borderId="0" xfId="0" applyFill="1"/>
    <xf numFmtId="167" fontId="0" fillId="15" borderId="0" xfId="0" applyNumberFormat="1" applyFill="1" applyAlignment="1">
      <alignment horizontal="right" indent="1"/>
    </xf>
    <xf numFmtId="164" fontId="10" fillId="12" borderId="13" xfId="0" applyNumberFormat="1" applyFont="1" applyFill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9" fillId="11" borderId="0" xfId="0" applyFont="1" applyFill="1"/>
    <xf numFmtId="0" fontId="15" fillId="11" borderId="0" xfId="0" applyFont="1" applyFill="1" applyAlignment="1">
      <alignment horizontal="center"/>
    </xf>
    <xf numFmtId="167" fontId="15" fillId="11" borderId="0" xfId="0" applyNumberFormat="1" applyFont="1" applyFill="1" applyAlignment="1">
      <alignment horizontal="right" indent="1"/>
    </xf>
    <xf numFmtId="0" fontId="15" fillId="11" borderId="0" xfId="0" applyFont="1" applyFill="1"/>
    <xf numFmtId="164" fontId="15" fillId="11" borderId="0" xfId="0" applyNumberFormat="1" applyFont="1" applyFill="1"/>
    <xf numFmtId="0" fontId="0" fillId="11" borderId="0" xfId="0" applyFill="1"/>
    <xf numFmtId="0" fontId="10" fillId="0" borderId="24" xfId="0" applyFont="1" applyBorder="1"/>
    <xf numFmtId="0" fontId="10" fillId="0" borderId="24" xfId="0" applyFont="1" applyBorder="1" applyAlignment="1">
      <alignment horizontal="center"/>
    </xf>
    <xf numFmtId="167" fontId="10" fillId="0" borderId="24" xfId="0" applyNumberFormat="1" applyFont="1" applyBorder="1" applyAlignment="1">
      <alignment horizontal="right" indent="1"/>
    </xf>
    <xf numFmtId="0" fontId="10" fillId="0" borderId="25" xfId="0" applyFont="1" applyBorder="1"/>
    <xf numFmtId="164" fontId="10" fillId="0" borderId="24" xfId="0" applyNumberFormat="1" applyFont="1" applyBorder="1"/>
    <xf numFmtId="164" fontId="10" fillId="0" borderId="2" xfId="0" applyNumberFormat="1" applyFont="1" applyBorder="1"/>
    <xf numFmtId="164" fontId="10" fillId="0" borderId="23" xfId="0" applyNumberFormat="1" applyFont="1" applyBorder="1"/>
    <xf numFmtId="164" fontId="10" fillId="0" borderId="22" xfId="0" applyNumberFormat="1" applyFont="1" applyBorder="1"/>
    <xf numFmtId="167" fontId="9" fillId="11" borderId="13" xfId="0" applyNumberFormat="1" applyFont="1" applyFill="1" applyBorder="1" applyAlignment="1">
      <alignment horizontal="right" indent="1"/>
    </xf>
    <xf numFmtId="0" fontId="9" fillId="0" borderId="0" xfId="0" quotePrefix="1" applyFont="1"/>
    <xf numFmtId="167" fontId="0" fillId="11" borderId="13" xfId="0" applyNumberFormat="1" applyFill="1" applyBorder="1" applyAlignment="1">
      <alignment horizontal="right" indent="1"/>
    </xf>
    <xf numFmtId="0" fontId="0" fillId="11" borderId="13" xfId="0" applyFill="1" applyBorder="1"/>
    <xf numFmtId="0" fontId="0" fillId="11" borderId="13" xfId="0" applyFill="1" applyBorder="1" applyAlignment="1">
      <alignment horizontal="center"/>
    </xf>
    <xf numFmtId="0" fontId="0" fillId="11" borderId="9" xfId="0" applyFill="1" applyBorder="1"/>
    <xf numFmtId="0" fontId="9" fillId="11" borderId="0" xfId="0" applyFont="1" applyFill="1" applyAlignment="1">
      <alignment wrapText="1"/>
    </xf>
    <xf numFmtId="0" fontId="0" fillId="11" borderId="0" xfId="0" applyFill="1" applyAlignment="1">
      <alignment horizontal="center"/>
    </xf>
    <xf numFmtId="3" fontId="0" fillId="11" borderId="0" xfId="0" applyNumberFormat="1" applyFill="1"/>
    <xf numFmtId="0" fontId="6" fillId="11" borderId="0" xfId="0" applyFont="1" applyFill="1" applyAlignment="1">
      <alignment wrapText="1"/>
    </xf>
    <xf numFmtId="0" fontId="14" fillId="11" borderId="0" xfId="0" applyFont="1" applyFill="1"/>
    <xf numFmtId="3" fontId="14" fillId="11" borderId="0" xfId="0" applyNumberFormat="1" applyFont="1" applyFill="1"/>
    <xf numFmtId="0" fontId="17" fillId="11" borderId="0" xfId="0" applyFont="1" applyFill="1" applyAlignment="1">
      <alignment vertical="top"/>
    </xf>
    <xf numFmtId="0" fontId="16" fillId="11" borderId="0" xfId="2" applyFill="1"/>
    <xf numFmtId="4" fontId="10" fillId="0" borderId="39" xfId="0" applyNumberFormat="1" applyFont="1" applyBorder="1"/>
    <xf numFmtId="4" fontId="10" fillId="0" borderId="36" xfId="0" applyNumberFormat="1" applyFont="1" applyBorder="1"/>
    <xf numFmtId="4" fontId="10" fillId="0" borderId="37" xfId="0" applyNumberFormat="1" applyFont="1" applyBorder="1"/>
    <xf numFmtId="0" fontId="10" fillId="0" borderId="39" xfId="0" applyFont="1" applyBorder="1"/>
    <xf numFmtId="0" fontId="10" fillId="0" borderId="36" xfId="0" applyFont="1" applyBorder="1"/>
    <xf numFmtId="0" fontId="8" fillId="11" borderId="36" xfId="0" applyFont="1" applyFill="1" applyBorder="1"/>
    <xf numFmtId="0" fontId="14" fillId="11" borderId="0" xfId="0" applyFont="1" applyFill="1" applyAlignment="1">
      <alignment horizontal="center"/>
    </xf>
    <xf numFmtId="166" fontId="23" fillId="0" borderId="42" xfId="1" applyNumberFormat="1" applyFont="1" applyFill="1" applyBorder="1" applyProtection="1"/>
    <xf numFmtId="166" fontId="24" fillId="0" borderId="42" xfId="1" applyNumberFormat="1" applyFont="1" applyFill="1" applyBorder="1" applyAlignment="1" applyProtection="1">
      <alignment horizontal="center"/>
    </xf>
    <xf numFmtId="0" fontId="9" fillId="15" borderId="0" xfId="0" applyFont="1" applyFill="1"/>
    <xf numFmtId="0" fontId="6" fillId="15" borderId="0" xfId="0" applyFont="1" applyFill="1"/>
    <xf numFmtId="0" fontId="9" fillId="15" borderId="0" xfId="0" applyFont="1" applyFill="1" applyAlignment="1">
      <alignment horizontal="right" indent="1"/>
    </xf>
    <xf numFmtId="43" fontId="9" fillId="15" borderId="0" xfId="1" applyFont="1" applyFill="1" applyBorder="1" applyAlignment="1" applyProtection="1">
      <alignment horizontal="right" indent="1"/>
    </xf>
    <xf numFmtId="0" fontId="9" fillId="0" borderId="0" xfId="0" applyFont="1" applyAlignment="1">
      <alignment horizontal="right" indent="1"/>
    </xf>
    <xf numFmtId="0" fontId="33" fillId="15" borderId="0" xfId="0" applyFont="1" applyFill="1"/>
    <xf numFmtId="168" fontId="16" fillId="12" borderId="11" xfId="0" applyNumberFormat="1" applyFont="1" applyFill="1" applyBorder="1" applyAlignment="1">
      <alignment horizontal="right" vertical="center" indent="1"/>
    </xf>
    <xf numFmtId="0" fontId="16" fillId="0" borderId="44" xfId="0" applyFont="1" applyBorder="1" applyAlignment="1">
      <alignment vertical="center" wrapText="1"/>
    </xf>
    <xf numFmtId="168" fontId="16" fillId="12" borderId="11" xfId="3" applyNumberFormat="1" applyFont="1" applyFill="1" applyBorder="1" applyAlignment="1" applyProtection="1">
      <alignment horizontal="right" vertical="center" indent="1"/>
    </xf>
    <xf numFmtId="3" fontId="9" fillId="15" borderId="0" xfId="0" applyNumberFormat="1" applyFont="1" applyFill="1"/>
    <xf numFmtId="164" fontId="16" fillId="0" borderId="11" xfId="0" applyNumberFormat="1" applyFont="1" applyBorder="1" applyAlignment="1" applyProtection="1">
      <alignment horizontal="right" vertical="center" indent="1"/>
      <protection locked="0"/>
    </xf>
    <xf numFmtId="164" fontId="16" fillId="0" borderId="11" xfId="0" applyNumberFormat="1" applyFont="1" applyBorder="1" applyAlignment="1">
      <alignment horizontal="right" vertical="center" indent="1"/>
    </xf>
    <xf numFmtId="3" fontId="16" fillId="0" borderId="44" xfId="0" applyNumberFormat="1" applyFont="1" applyBorder="1" applyAlignment="1">
      <alignment vertical="center" wrapText="1"/>
    </xf>
    <xf numFmtId="164" fontId="16" fillId="12" borderId="11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Border="1" applyAlignment="1" applyProtection="1">
      <alignment horizontal="right" vertical="center" indent="1"/>
      <protection locked="0"/>
    </xf>
    <xf numFmtId="3" fontId="16" fillId="0" borderId="11" xfId="0" applyNumberFormat="1" applyFont="1" applyBorder="1" applyAlignment="1">
      <alignment horizontal="right" vertical="center" indent="1"/>
    </xf>
    <xf numFmtId="0" fontId="34" fillId="15" borderId="0" xfId="0" applyFont="1" applyFill="1" applyAlignment="1">
      <alignment horizontal="center" wrapText="1"/>
    </xf>
    <xf numFmtId="0" fontId="36" fillId="0" borderId="49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50" xfId="0" applyFont="1" applyBorder="1" applyAlignment="1">
      <alignment horizontal="left" wrapText="1"/>
    </xf>
    <xf numFmtId="0" fontId="33" fillId="0" borderId="0" xfId="0" applyFont="1" applyAlignment="1">
      <alignment wrapText="1"/>
    </xf>
    <xf numFmtId="164" fontId="33" fillId="12" borderId="43" xfId="0" applyNumberFormat="1" applyFont="1" applyFill="1" applyBorder="1" applyAlignment="1">
      <alignment horizontal="right" indent="1"/>
    </xf>
    <xf numFmtId="164" fontId="33" fillId="12" borderId="0" xfId="0" applyNumberFormat="1" applyFont="1" applyFill="1" applyAlignment="1">
      <alignment horizontal="right" indent="1"/>
    </xf>
    <xf numFmtId="164" fontId="33" fillId="12" borderId="9" xfId="0" applyNumberFormat="1" applyFont="1" applyFill="1" applyBorder="1" applyAlignment="1">
      <alignment horizontal="right" indent="1"/>
    </xf>
    <xf numFmtId="164" fontId="33" fillId="12" borderId="38" xfId="0" applyNumberFormat="1" applyFont="1" applyFill="1" applyBorder="1" applyAlignment="1">
      <alignment horizontal="right" indent="1"/>
    </xf>
    <xf numFmtId="3" fontId="33" fillId="12" borderId="51" xfId="0" applyNumberFormat="1" applyFont="1" applyFill="1" applyBorder="1" applyAlignment="1">
      <alignment horizontal="right" indent="1"/>
    </xf>
    <xf numFmtId="164" fontId="33" fillId="12" borderId="36" xfId="0" applyNumberFormat="1" applyFont="1" applyFill="1" applyBorder="1" applyAlignment="1">
      <alignment horizontal="right" indent="1"/>
    </xf>
    <xf numFmtId="3" fontId="33" fillId="12" borderId="52" xfId="0" applyNumberFormat="1" applyFont="1" applyFill="1" applyBorder="1" applyAlignment="1">
      <alignment horizontal="right" indent="1"/>
    </xf>
    <xf numFmtId="164" fontId="33" fillId="12" borderId="53" xfId="0" applyNumberFormat="1" applyFont="1" applyFill="1" applyBorder="1" applyAlignment="1">
      <alignment horizontal="right" indent="1"/>
    </xf>
    <xf numFmtId="164" fontId="33" fillId="12" borderId="54" xfId="0" applyNumberFormat="1" applyFont="1" applyFill="1" applyBorder="1" applyAlignment="1">
      <alignment horizontal="right" indent="1"/>
    </xf>
    <xf numFmtId="164" fontId="33" fillId="12" borderId="55" xfId="0" applyNumberFormat="1" applyFont="1" applyFill="1" applyBorder="1" applyAlignment="1">
      <alignment horizontal="right" indent="1"/>
    </xf>
    <xf numFmtId="3" fontId="33" fillId="12" borderId="0" xfId="0" applyNumberFormat="1" applyFont="1" applyFill="1" applyAlignment="1">
      <alignment horizontal="right" indent="1"/>
    </xf>
    <xf numFmtId="0" fontId="8" fillId="12" borderId="56" xfId="0" applyFont="1" applyFill="1" applyBorder="1" applyAlignment="1">
      <alignment horizontal="center" vertical="center" wrapText="1"/>
    </xf>
    <xf numFmtId="0" fontId="33" fillId="0" borderId="0" xfId="0" applyFont="1"/>
    <xf numFmtId="164" fontId="33" fillId="12" borderId="44" xfId="0" applyNumberFormat="1" applyFont="1" applyFill="1" applyBorder="1" applyAlignment="1">
      <alignment horizontal="right" indent="1"/>
    </xf>
    <xf numFmtId="164" fontId="33" fillId="0" borderId="0" xfId="0" applyNumberFormat="1" applyFont="1" applyAlignment="1">
      <alignment horizontal="right" indent="1"/>
    </xf>
    <xf numFmtId="3" fontId="33" fillId="0" borderId="51" xfId="0" applyNumberFormat="1" applyFont="1" applyBorder="1" applyAlignment="1">
      <alignment horizontal="right" indent="1"/>
    </xf>
    <xf numFmtId="3" fontId="33" fillId="0" borderId="0" xfId="0" applyNumberFormat="1" applyFont="1" applyAlignment="1">
      <alignment horizontal="right" indent="1"/>
    </xf>
    <xf numFmtId="0" fontId="8" fillId="0" borderId="56" xfId="0" applyFont="1" applyBorder="1"/>
    <xf numFmtId="0" fontId="8" fillId="12" borderId="56" xfId="0" applyFont="1" applyFill="1" applyBorder="1"/>
    <xf numFmtId="164" fontId="9" fillId="0" borderId="0" xfId="0" applyNumberFormat="1" applyFont="1" applyAlignment="1">
      <alignment horizontal="right" indent="1"/>
    </xf>
    <xf numFmtId="164" fontId="9" fillId="12" borderId="9" xfId="0" applyNumberFormat="1" applyFont="1" applyFill="1" applyBorder="1" applyAlignment="1">
      <alignment horizontal="right" indent="1"/>
    </xf>
    <xf numFmtId="3" fontId="9" fillId="0" borderId="51" xfId="0" applyNumberFormat="1" applyFont="1" applyBorder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0" fontId="37" fillId="0" borderId="56" xfId="0" applyFont="1" applyBorder="1"/>
    <xf numFmtId="164" fontId="33" fillId="0" borderId="0" xfId="0" applyNumberFormat="1" applyFont="1" applyAlignment="1" applyProtection="1">
      <alignment horizontal="right" indent="1"/>
      <protection locked="0"/>
    </xf>
    <xf numFmtId="3" fontId="33" fillId="0" borderId="51" xfId="0" applyNumberFormat="1" applyFont="1" applyBorder="1" applyAlignment="1" applyProtection="1">
      <alignment horizontal="right" indent="1"/>
      <protection locked="0"/>
    </xf>
    <xf numFmtId="0" fontId="16" fillId="0" borderId="56" xfId="0" applyFont="1" applyBorder="1" applyProtection="1">
      <protection locked="0"/>
    </xf>
    <xf numFmtId="0" fontId="16" fillId="0" borderId="56" xfId="0" applyFont="1" applyBorder="1"/>
    <xf numFmtId="0" fontId="36" fillId="0" borderId="56" xfId="0" applyFont="1" applyBorder="1"/>
    <xf numFmtId="0" fontId="38" fillId="0" borderId="56" xfId="0" applyFont="1" applyBorder="1"/>
    <xf numFmtId="0" fontId="9" fillId="0" borderId="0" xfId="0" applyFont="1" applyProtection="1">
      <protection locked="0"/>
    </xf>
    <xf numFmtId="0" fontId="16" fillId="26" borderId="56" xfId="0" applyFont="1" applyFill="1" applyBorder="1"/>
    <xf numFmtId="6" fontId="33" fillId="0" borderId="0" xfId="0" applyNumberFormat="1" applyFont="1"/>
    <xf numFmtId="0" fontId="34" fillId="0" borderId="0" xfId="0" applyFont="1"/>
    <xf numFmtId="164" fontId="34" fillId="0" borderId="0" xfId="0" applyNumberFormat="1" applyFont="1" applyAlignment="1">
      <alignment horizontal="right" indent="1"/>
    </xf>
    <xf numFmtId="164" fontId="34" fillId="12" borderId="9" xfId="0" applyNumberFormat="1" applyFont="1" applyFill="1" applyBorder="1" applyAlignment="1">
      <alignment horizontal="right" indent="1"/>
    </xf>
    <xf numFmtId="3" fontId="34" fillId="0" borderId="51" xfId="0" applyNumberFormat="1" applyFont="1" applyBorder="1" applyAlignment="1">
      <alignment horizontal="right" indent="1"/>
    </xf>
    <xf numFmtId="3" fontId="34" fillId="0" borderId="0" xfId="0" applyNumberFormat="1" applyFont="1" applyAlignment="1">
      <alignment horizontal="right" indent="1"/>
    </xf>
    <xf numFmtId="164" fontId="33" fillId="12" borderId="5" xfId="0" applyNumberFormat="1" applyFont="1" applyFill="1" applyBorder="1" applyAlignment="1">
      <alignment horizontal="right" indent="1"/>
    </xf>
    <xf numFmtId="164" fontId="9" fillId="12" borderId="5" xfId="0" applyNumberFormat="1" applyFont="1" applyFill="1" applyBorder="1" applyAlignment="1">
      <alignment horizontal="right" indent="1"/>
    </xf>
    <xf numFmtId="164" fontId="9" fillId="0" borderId="46" xfId="0" applyNumberFormat="1" applyFont="1" applyBorder="1" applyAlignment="1">
      <alignment horizontal="right" indent="1"/>
    </xf>
    <xf numFmtId="0" fontId="9" fillId="0" borderId="56" xfId="0" applyFont="1" applyBorder="1"/>
    <xf numFmtId="0" fontId="39" fillId="0" borderId="0" xfId="0" applyFont="1" applyAlignment="1">
      <alignment wrapText="1"/>
    </xf>
    <xf numFmtId="0" fontId="8" fillId="27" borderId="57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40" fillId="27" borderId="20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58" xfId="0" applyFont="1" applyFill="1" applyBorder="1" applyAlignment="1">
      <alignment horizontal="center" vertical="center" wrapText="1"/>
    </xf>
    <xf numFmtId="0" fontId="8" fillId="28" borderId="57" xfId="0" applyFont="1" applyFill="1" applyBorder="1" applyAlignment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 wrapText="1"/>
    </xf>
    <xf numFmtId="0" fontId="8" fillId="28" borderId="58" xfId="0" applyFont="1" applyFill="1" applyBorder="1" applyAlignment="1">
      <alignment horizontal="center" vertical="center" wrapText="1"/>
    </xf>
    <xf numFmtId="0" fontId="8" fillId="29" borderId="57" xfId="0" applyFont="1" applyFill="1" applyBorder="1" applyAlignment="1">
      <alignment horizontal="center" vertical="center" wrapText="1"/>
    </xf>
    <xf numFmtId="0" fontId="8" fillId="29" borderId="17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40" fillId="29" borderId="20" xfId="0" applyFont="1" applyFill="1" applyBorder="1" applyAlignment="1">
      <alignment horizontal="center" vertical="center" wrapText="1"/>
    </xf>
    <xf numFmtId="0" fontId="8" fillId="29" borderId="20" xfId="0" applyFont="1" applyFill="1" applyBorder="1" applyAlignment="1">
      <alignment horizontal="center" vertical="center" wrapText="1"/>
    </xf>
    <xf numFmtId="0" fontId="8" fillId="29" borderId="58" xfId="0" applyFont="1" applyFill="1" applyBorder="1" applyAlignment="1">
      <alignment horizontal="center" vertical="center" wrapText="1"/>
    </xf>
    <xf numFmtId="0" fontId="8" fillId="30" borderId="57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40" fillId="30" borderId="20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0" borderId="58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40" fillId="20" borderId="20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 wrapText="1"/>
    </xf>
    <xf numFmtId="0" fontId="8" fillId="20" borderId="58" xfId="0" applyFont="1" applyFill="1" applyBorder="1" applyAlignment="1">
      <alignment horizontal="center" vertical="center" wrapText="1"/>
    </xf>
    <xf numFmtId="0" fontId="8" fillId="21" borderId="57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40" fillId="21" borderId="20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58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40" fillId="16" borderId="20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6" borderId="58" xfId="0" applyFont="1" applyFill="1" applyBorder="1" applyAlignment="1">
      <alignment horizontal="center" vertical="center" wrapText="1"/>
    </xf>
    <xf numFmtId="0" fontId="8" fillId="17" borderId="57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40" fillId="17" borderId="20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wrapText="1"/>
    </xf>
    <xf numFmtId="0" fontId="39" fillId="31" borderId="0" xfId="0" applyFont="1" applyFill="1"/>
    <xf numFmtId="0" fontId="8" fillId="27" borderId="43" xfId="0" applyFont="1" applyFill="1" applyBorder="1" applyAlignment="1">
      <alignment horizontal="center" vertical="center" wrapText="1"/>
    </xf>
    <xf numFmtId="0" fontId="8" fillId="27" borderId="37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 horizontal="center" vertical="center"/>
    </xf>
    <xf numFmtId="0" fontId="8" fillId="27" borderId="51" xfId="0" applyFont="1" applyFill="1" applyBorder="1" applyAlignment="1">
      <alignment horizontal="center" vertical="center"/>
    </xf>
    <xf numFmtId="0" fontId="8" fillId="28" borderId="43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horizontal="center" vertical="center" wrapText="1"/>
    </xf>
    <xf numFmtId="0" fontId="8" fillId="28" borderId="0" xfId="0" applyFont="1" applyFill="1" applyAlignment="1">
      <alignment horizontal="center" vertical="center"/>
    </xf>
    <xf numFmtId="0" fontId="8" fillId="28" borderId="51" xfId="0" applyFont="1" applyFill="1" applyBorder="1" applyAlignment="1">
      <alignment horizontal="center" vertical="center"/>
    </xf>
    <xf numFmtId="0" fontId="8" fillId="29" borderId="43" xfId="0" applyFont="1" applyFill="1" applyBorder="1" applyAlignment="1">
      <alignment horizontal="center" vertical="center" wrapText="1"/>
    </xf>
    <xf numFmtId="0" fontId="8" fillId="29" borderId="37" xfId="0" applyFont="1" applyFill="1" applyBorder="1" applyAlignment="1">
      <alignment horizontal="center" vertical="center" wrapText="1"/>
    </xf>
    <xf numFmtId="0" fontId="8" fillId="29" borderId="0" xfId="0" applyFont="1" applyFill="1" applyAlignment="1">
      <alignment horizontal="center" vertical="center"/>
    </xf>
    <xf numFmtId="0" fontId="8" fillId="29" borderId="51" xfId="0" applyFont="1" applyFill="1" applyBorder="1" applyAlignment="1">
      <alignment horizontal="center" vertical="center"/>
    </xf>
    <xf numFmtId="0" fontId="8" fillId="30" borderId="43" xfId="0" applyFont="1" applyFill="1" applyBorder="1" applyAlignment="1">
      <alignment horizontal="center" vertical="center" wrapText="1"/>
    </xf>
    <xf numFmtId="0" fontId="8" fillId="30" borderId="37" xfId="0" applyFont="1" applyFill="1" applyBorder="1" applyAlignment="1">
      <alignment horizontal="center" vertical="center" wrapText="1"/>
    </xf>
    <xf numFmtId="0" fontId="8" fillId="30" borderId="0" xfId="0" applyFont="1" applyFill="1" applyAlignment="1">
      <alignment horizontal="center" vertical="center"/>
    </xf>
    <xf numFmtId="0" fontId="8" fillId="30" borderId="51" xfId="0" applyFont="1" applyFill="1" applyBorder="1" applyAlignment="1">
      <alignment horizontal="center" vertical="center"/>
    </xf>
    <xf numFmtId="0" fontId="8" fillId="20" borderId="0" xfId="0" applyFont="1" applyFill="1" applyAlignment="1">
      <alignment horizontal="center" vertical="center" wrapText="1"/>
    </xf>
    <xf numFmtId="0" fontId="8" fillId="20" borderId="37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21" borderId="37" xfId="0" applyFont="1" applyFill="1" applyBorder="1" applyAlignment="1">
      <alignment horizontal="center" vertical="center" wrapText="1"/>
    </xf>
    <xf numFmtId="0" fontId="8" fillId="21" borderId="0" xfId="0" applyFont="1" applyFill="1" applyAlignment="1">
      <alignment horizontal="center" vertical="center"/>
    </xf>
    <xf numFmtId="0" fontId="8" fillId="21" borderId="51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center" vertical="center"/>
    </xf>
    <xf numFmtId="0" fontId="8" fillId="16" borderId="51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/>
    </xf>
    <xf numFmtId="0" fontId="8" fillId="31" borderId="56" xfId="0" applyFont="1" applyFill="1" applyBorder="1"/>
    <xf numFmtId="0" fontId="8" fillId="27" borderId="44" xfId="0" applyFont="1" applyFill="1" applyBorder="1"/>
    <xf numFmtId="0" fontId="8" fillId="27" borderId="0" xfId="0" applyFont="1" applyFill="1"/>
    <xf numFmtId="0" fontId="8" fillId="27" borderId="51" xfId="0" applyFont="1" applyFill="1" applyBorder="1"/>
    <xf numFmtId="0" fontId="8" fillId="28" borderId="44" xfId="0" applyFont="1" applyFill="1" applyBorder="1"/>
    <xf numFmtId="0" fontId="8" fillId="28" borderId="0" xfId="0" applyFont="1" applyFill="1"/>
    <xf numFmtId="0" fontId="8" fillId="28" borderId="51" xfId="0" applyFont="1" applyFill="1" applyBorder="1"/>
    <xf numFmtId="0" fontId="8" fillId="29" borderId="44" xfId="0" applyFont="1" applyFill="1" applyBorder="1"/>
    <xf numFmtId="0" fontId="8" fillId="29" borderId="0" xfId="0" applyFont="1" applyFill="1"/>
    <xf numFmtId="0" fontId="8" fillId="29" borderId="51" xfId="0" applyFont="1" applyFill="1" applyBorder="1"/>
    <xf numFmtId="0" fontId="8" fillId="30" borderId="44" xfId="0" applyFont="1" applyFill="1" applyBorder="1"/>
    <xf numFmtId="0" fontId="8" fillId="30" borderId="0" xfId="0" applyFont="1" applyFill="1"/>
    <xf numFmtId="0" fontId="8" fillId="30" borderId="51" xfId="0" applyFont="1" applyFill="1" applyBorder="1"/>
    <xf numFmtId="0" fontId="8" fillId="20" borderId="0" xfId="0" applyFont="1" applyFill="1"/>
    <xf numFmtId="0" fontId="8" fillId="20" borderId="51" xfId="0" applyFont="1" applyFill="1" applyBorder="1"/>
    <xf numFmtId="0" fontId="8" fillId="21" borderId="0" xfId="0" applyFont="1" applyFill="1"/>
    <xf numFmtId="0" fontId="8" fillId="21" borderId="51" xfId="0" applyFont="1" applyFill="1" applyBorder="1"/>
    <xf numFmtId="0" fontId="8" fillId="16" borderId="0" xfId="0" applyFont="1" applyFill="1"/>
    <xf numFmtId="0" fontId="8" fillId="16" borderId="51" xfId="0" applyFont="1" applyFill="1" applyBorder="1"/>
    <xf numFmtId="0" fontId="8" fillId="17" borderId="0" xfId="0" applyFont="1" applyFill="1"/>
    <xf numFmtId="0" fontId="41" fillId="31" borderId="0" xfId="0" applyFont="1" applyFill="1"/>
    <xf numFmtId="0" fontId="36" fillId="16" borderId="11" xfId="0" applyFont="1" applyFill="1" applyBorder="1" applyAlignment="1">
      <alignment horizontal="center"/>
    </xf>
    <xf numFmtId="0" fontId="36" fillId="31" borderId="57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3" borderId="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25" borderId="30" xfId="0" applyFont="1" applyFill="1" applyBorder="1" applyAlignment="1">
      <alignment horizontal="center"/>
    </xf>
    <xf numFmtId="0" fontId="8" fillId="25" borderId="28" xfId="0" applyFont="1" applyFill="1" applyBorder="1" applyAlignment="1">
      <alignment horizontal="center"/>
    </xf>
    <xf numFmtId="0" fontId="17" fillId="11" borderId="17" xfId="0" applyFont="1" applyFill="1" applyBorder="1" applyAlignment="1">
      <alignment horizontal="center" vertical="top"/>
    </xf>
    <xf numFmtId="0" fontId="17" fillId="11" borderId="20" xfId="0" applyFont="1" applyFill="1" applyBorder="1" applyAlignment="1">
      <alignment horizontal="center" vertical="top"/>
    </xf>
    <xf numFmtId="0" fontId="14" fillId="11" borderId="17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0" fillId="11" borderId="17" xfId="0" applyFill="1" applyBorder="1" applyAlignment="1">
      <alignment horizontal="left" vertical="top"/>
    </xf>
    <xf numFmtId="0" fontId="0" fillId="11" borderId="20" xfId="0" applyFill="1" applyBorder="1" applyAlignment="1">
      <alignment horizontal="left" vertical="top"/>
    </xf>
    <xf numFmtId="0" fontId="0" fillId="11" borderId="17" xfId="0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17" fillId="11" borderId="21" xfId="0" applyFont="1" applyFill="1" applyBorder="1" applyAlignment="1">
      <alignment horizontal="center" vertical="top"/>
    </xf>
    <xf numFmtId="0" fontId="17" fillId="11" borderId="0" xfId="0" applyFont="1" applyFill="1" applyAlignment="1">
      <alignment horizontal="center" vertical="top"/>
    </xf>
    <xf numFmtId="0" fontId="0" fillId="11" borderId="17" xfId="0" applyFill="1" applyBorder="1" applyAlignment="1" applyProtection="1">
      <alignment horizontal="left" vertical="top" wrapText="1"/>
      <protection locked="0"/>
    </xf>
    <xf numFmtId="0" fontId="0" fillId="11" borderId="20" xfId="0" applyFill="1" applyBorder="1" applyAlignment="1" applyProtection="1">
      <alignment horizontal="left" vertical="top" wrapText="1"/>
      <protection locked="0"/>
    </xf>
    <xf numFmtId="0" fontId="36" fillId="29" borderId="58" xfId="0" applyFont="1" applyFill="1" applyBorder="1" applyAlignment="1">
      <alignment horizontal="center"/>
    </xf>
    <xf numFmtId="0" fontId="36" fillId="29" borderId="11" xfId="0" applyFont="1" applyFill="1" applyBorder="1" applyAlignment="1">
      <alignment horizontal="center"/>
    </xf>
    <xf numFmtId="0" fontId="36" fillId="29" borderId="48" xfId="0" applyFont="1" applyFill="1" applyBorder="1" applyAlignment="1">
      <alignment horizontal="center"/>
    </xf>
    <xf numFmtId="0" fontId="36" fillId="28" borderId="58" xfId="0" applyFont="1" applyFill="1" applyBorder="1" applyAlignment="1">
      <alignment horizontal="center"/>
    </xf>
    <xf numFmtId="0" fontId="36" fillId="28" borderId="11" xfId="0" applyFont="1" applyFill="1" applyBorder="1" applyAlignment="1">
      <alignment horizontal="center"/>
    </xf>
    <xf numFmtId="0" fontId="36" fillId="28" borderId="48" xfId="0" applyFont="1" applyFill="1" applyBorder="1" applyAlignment="1">
      <alignment horizontal="center"/>
    </xf>
    <xf numFmtId="0" fontId="36" fillId="27" borderId="58" xfId="0" applyFont="1" applyFill="1" applyBorder="1" applyAlignment="1">
      <alignment horizontal="center"/>
    </xf>
    <xf numFmtId="0" fontId="36" fillId="27" borderId="11" xfId="0" applyFont="1" applyFill="1" applyBorder="1" applyAlignment="1">
      <alignment horizontal="center"/>
    </xf>
    <xf numFmtId="0" fontId="36" fillId="27" borderId="48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/>
    </xf>
    <xf numFmtId="0" fontId="42" fillId="17" borderId="48" xfId="0" applyFont="1" applyFill="1" applyBorder="1" applyAlignment="1">
      <alignment horizontal="center"/>
    </xf>
    <xf numFmtId="0" fontId="36" fillId="16" borderId="58" xfId="0" applyFont="1" applyFill="1" applyBorder="1" applyAlignment="1">
      <alignment horizontal="center"/>
    </xf>
    <xf numFmtId="0" fontId="36" fillId="16" borderId="11" xfId="0" applyFont="1" applyFill="1" applyBorder="1" applyAlignment="1">
      <alignment horizontal="center"/>
    </xf>
    <xf numFmtId="0" fontId="36" fillId="21" borderId="58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36" fillId="21" borderId="48" xfId="0" applyFont="1" applyFill="1" applyBorder="1" applyAlignment="1">
      <alignment horizontal="center"/>
    </xf>
    <xf numFmtId="0" fontId="36" fillId="20" borderId="58" xfId="0" applyFont="1" applyFill="1" applyBorder="1" applyAlignment="1">
      <alignment horizontal="center"/>
    </xf>
    <xf numFmtId="0" fontId="36" fillId="20" borderId="11" xfId="0" applyFont="1" applyFill="1" applyBorder="1" applyAlignment="1">
      <alignment horizontal="center"/>
    </xf>
    <xf numFmtId="0" fontId="36" fillId="20" borderId="48" xfId="0" applyFont="1" applyFill="1" applyBorder="1" applyAlignment="1">
      <alignment horizontal="center"/>
    </xf>
    <xf numFmtId="0" fontId="36" fillId="30" borderId="58" xfId="0" applyFont="1" applyFill="1" applyBorder="1" applyAlignment="1">
      <alignment horizontal="center"/>
    </xf>
    <xf numFmtId="0" fontId="36" fillId="30" borderId="11" xfId="0" applyFont="1" applyFill="1" applyBorder="1" applyAlignment="1">
      <alignment horizontal="center"/>
    </xf>
    <xf numFmtId="0" fontId="36" fillId="30" borderId="48" xfId="0" applyFont="1" applyFill="1" applyBorder="1" applyAlignment="1">
      <alignment horizontal="center"/>
    </xf>
    <xf numFmtId="0" fontId="35" fillId="15" borderId="17" xfId="0" applyFont="1" applyFill="1" applyBorder="1" applyAlignment="1">
      <alignment horizontal="center" wrapText="1"/>
    </xf>
    <xf numFmtId="0" fontId="35" fillId="15" borderId="11" xfId="0" applyFont="1" applyFill="1" applyBorder="1" applyAlignment="1">
      <alignment horizontal="center" wrapText="1"/>
    </xf>
    <xf numFmtId="0" fontId="35" fillId="15" borderId="48" xfId="0" applyFont="1" applyFill="1" applyBorder="1" applyAlignment="1">
      <alignment horizontal="center" wrapText="1"/>
    </xf>
    <xf numFmtId="0" fontId="33" fillId="15" borderId="47" xfId="0" applyFont="1" applyFill="1" applyBorder="1" applyAlignment="1">
      <alignment horizontal="left" vertical="top" wrapText="1"/>
    </xf>
    <xf numFmtId="0" fontId="33" fillId="15" borderId="46" xfId="0" applyFont="1" applyFill="1" applyBorder="1" applyAlignment="1">
      <alignment horizontal="left" vertical="top" wrapText="1"/>
    </xf>
    <xf numFmtId="0" fontId="33" fillId="15" borderId="45" xfId="0" applyFont="1" applyFill="1" applyBorder="1" applyAlignment="1">
      <alignment horizontal="left" vertical="top" wrapText="1"/>
    </xf>
    <xf numFmtId="0" fontId="33" fillId="15" borderId="21" xfId="0" applyFont="1" applyFill="1" applyBorder="1" applyAlignment="1">
      <alignment horizontal="left" vertical="top" wrapText="1"/>
    </xf>
    <xf numFmtId="0" fontId="33" fillId="15" borderId="0" xfId="0" applyFont="1" applyFill="1" applyAlignment="1">
      <alignment horizontal="left" vertical="top" wrapText="1"/>
    </xf>
    <xf numFmtId="0" fontId="33" fillId="15" borderId="44" xfId="0" applyFont="1" applyFill="1" applyBorder="1" applyAlignment="1">
      <alignment horizontal="left" vertical="top" wrapText="1"/>
    </xf>
    <xf numFmtId="0" fontId="33" fillId="15" borderId="37" xfId="0" applyFont="1" applyFill="1" applyBorder="1" applyAlignment="1">
      <alignment horizontal="left" vertical="top" wrapText="1"/>
    </xf>
    <xf numFmtId="0" fontId="33" fillId="15" borderId="36" xfId="0" applyFont="1" applyFill="1" applyBorder="1" applyAlignment="1">
      <alignment horizontal="left" vertical="top" wrapText="1"/>
    </xf>
    <xf numFmtId="0" fontId="33" fillId="15" borderId="43" xfId="0" applyFont="1" applyFill="1" applyBorder="1" applyAlignment="1">
      <alignment horizontal="left" vertical="top" wrapText="1"/>
    </xf>
    <xf numFmtId="0" fontId="33" fillId="15" borderId="21" xfId="0" applyFont="1" applyFill="1" applyBorder="1" applyAlignment="1" applyProtection="1">
      <alignment horizontal="left" vertical="top" wrapText="1"/>
      <protection locked="0"/>
    </xf>
    <xf numFmtId="0" fontId="33" fillId="15" borderId="0" xfId="0" applyFont="1" applyFill="1" applyAlignment="1" applyProtection="1">
      <alignment horizontal="left" vertical="top" wrapText="1"/>
      <protection locked="0"/>
    </xf>
    <xf numFmtId="0" fontId="33" fillId="15" borderId="44" xfId="0" applyFont="1" applyFill="1" applyBorder="1" applyAlignment="1" applyProtection="1">
      <alignment horizontal="left" vertical="top" wrapText="1"/>
      <protection locked="0"/>
    </xf>
    <xf numFmtId="0" fontId="33" fillId="15" borderId="37" xfId="0" applyFont="1" applyFill="1" applyBorder="1" applyAlignment="1" applyProtection="1">
      <alignment horizontal="left" vertical="top" wrapText="1"/>
      <protection locked="0"/>
    </xf>
    <xf numFmtId="0" fontId="33" fillId="15" borderId="36" xfId="0" applyFont="1" applyFill="1" applyBorder="1" applyAlignment="1" applyProtection="1">
      <alignment horizontal="left" vertical="top" wrapText="1"/>
      <protection locked="0"/>
    </xf>
    <xf numFmtId="0" fontId="33" fillId="15" borderId="43" xfId="0" applyFont="1" applyFill="1" applyBorder="1" applyAlignment="1" applyProtection="1">
      <alignment horizontal="left" vertical="top" wrapText="1"/>
      <protection locked="0"/>
    </xf>
    <xf numFmtId="37" fontId="32" fillId="0" borderId="0" xfId="4" applyFont="1" applyAlignment="1" applyProtection="1">
      <alignment horizontal="center"/>
      <protection locked="0"/>
    </xf>
    <xf numFmtId="37" fontId="31" fillId="0" borderId="0" xfId="4" applyFont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 11" xfId="4" xr:uid="{00000000-0005-0000-0000-000002000000}"/>
    <cellStyle name="Normal 2 2 4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F38"/>
  <sheetViews>
    <sheetView showGridLines="0" tabSelected="1" zoomScale="89" zoomScaleNormal="89" workbookViewId="0">
      <pane xSplit="3" ySplit="5" topLeftCell="AD6" activePane="bottomRight" state="frozen"/>
      <selection activeCell="N43" sqref="N43"/>
      <selection pane="topRight" activeCell="N43" sqref="N43"/>
      <selection pane="bottomLeft" activeCell="N43" sqref="N43"/>
      <selection pane="bottomRight" activeCell="BJ23" sqref="BJ23"/>
    </sheetView>
  </sheetViews>
  <sheetFormatPr defaultColWidth="9.140625" defaultRowHeight="15" x14ac:dyDescent="0.25"/>
  <cols>
    <col min="1" max="1" width="2.140625" customWidth="1"/>
    <col min="2" max="2" width="21" customWidth="1"/>
    <col min="3" max="3" width="20" customWidth="1"/>
    <col min="4" max="4" width="13.85546875" hidden="1" customWidth="1"/>
    <col min="5" max="5" width="11.42578125" hidden="1" customWidth="1"/>
    <col min="6" max="6" width="10.42578125" hidden="1" customWidth="1"/>
    <col min="7" max="7" width="10.7109375" hidden="1" customWidth="1"/>
    <col min="8" max="8" width="16.42578125" style="77" hidden="1" customWidth="1"/>
    <col min="9" max="9" width="14.140625" hidden="1" customWidth="1"/>
    <col min="10" max="10" width="11.42578125" hidden="1" customWidth="1"/>
    <col min="11" max="11" width="9.140625" hidden="1" customWidth="1"/>
    <col min="12" max="12" width="10.7109375" hidden="1" customWidth="1"/>
    <col min="13" max="13" width="14.42578125" style="77" hidden="1" customWidth="1"/>
    <col min="14" max="14" width="14.140625" hidden="1" customWidth="1"/>
    <col min="15" max="15" width="11.42578125" hidden="1" customWidth="1"/>
    <col min="16" max="16" width="9.140625" hidden="1" customWidth="1"/>
    <col min="17" max="17" width="10.7109375" hidden="1" customWidth="1"/>
    <col min="18" max="18" width="14.42578125" style="77" hidden="1" customWidth="1"/>
    <col min="19" max="19" width="14.28515625" hidden="1" customWidth="1"/>
    <col min="20" max="20" width="11.42578125" hidden="1" customWidth="1"/>
    <col min="21" max="21" width="9.140625" hidden="1" customWidth="1"/>
    <col min="22" max="22" width="10.7109375" hidden="1" customWidth="1"/>
    <col min="23" max="23" width="14.42578125" style="77" hidden="1" customWidth="1"/>
    <col min="24" max="24" width="14.140625" hidden="1" customWidth="1"/>
    <col min="25" max="25" width="11.42578125" hidden="1" customWidth="1"/>
    <col min="26" max="26" width="9.140625" hidden="1" customWidth="1"/>
    <col min="27" max="27" width="10.7109375" hidden="1" customWidth="1"/>
    <col min="28" max="28" width="14.42578125" style="77" hidden="1" customWidth="1"/>
    <col min="29" max="29" width="14.140625" hidden="1" customWidth="1"/>
    <col min="30" max="30" width="11.42578125" hidden="1" customWidth="1"/>
    <col min="31" max="31" width="9.140625" hidden="1" customWidth="1"/>
    <col min="32" max="32" width="10.7109375" hidden="1" customWidth="1"/>
    <col min="33" max="33" width="14.42578125" style="77" hidden="1" customWidth="1"/>
    <col min="34" max="34" width="14.140625" hidden="1" customWidth="1"/>
    <col min="35" max="35" width="11.42578125" hidden="1" customWidth="1"/>
    <col min="36" max="36" width="9.140625" hidden="1" customWidth="1"/>
    <col min="37" max="37" width="10.7109375" hidden="1" customWidth="1"/>
    <col min="38" max="38" width="14.42578125" style="77" hidden="1" customWidth="1"/>
    <col min="39" max="39" width="14.140625" hidden="1" customWidth="1"/>
    <col min="40" max="40" width="11.42578125" hidden="1" customWidth="1"/>
    <col min="41" max="41" width="9.140625" hidden="1" customWidth="1"/>
    <col min="42" max="42" width="10.7109375" hidden="1" customWidth="1"/>
    <col min="43" max="43" width="14.42578125" style="77" hidden="1" customWidth="1"/>
    <col min="44" max="44" width="14.140625" customWidth="1"/>
    <col min="45" max="45" width="11.42578125" customWidth="1"/>
    <col min="46" max="46" width="9.140625" hidden="1" customWidth="1"/>
    <col min="47" max="47" width="10.7109375" customWidth="1"/>
    <col min="48" max="48" width="14.42578125" style="77" customWidth="1"/>
    <col min="49" max="49" width="14.140625" customWidth="1"/>
    <col min="50" max="50" width="11.42578125" customWidth="1"/>
    <col min="51" max="51" width="9.140625" hidden="1" customWidth="1"/>
    <col min="52" max="52" width="10.7109375" customWidth="1"/>
    <col min="53" max="53" width="14.42578125" style="77" customWidth="1"/>
    <col min="54" max="54" width="14.140625" customWidth="1"/>
    <col min="55" max="55" width="11.42578125" customWidth="1"/>
    <col min="56" max="56" width="9.140625" hidden="1" customWidth="1"/>
    <col min="57" max="57" width="10.7109375" customWidth="1"/>
    <col min="58" max="58" width="14.42578125" style="77" customWidth="1"/>
  </cols>
  <sheetData>
    <row r="1" spans="2:58" s="40" customFormat="1" ht="15.75" thickBot="1" x14ac:dyDescent="0.3">
      <c r="H1" s="41"/>
      <c r="M1" s="41"/>
      <c r="R1" s="41"/>
      <c r="W1" s="41"/>
      <c r="AB1" s="41"/>
      <c r="AG1" s="41"/>
      <c r="AL1" s="41"/>
      <c r="AQ1" s="41"/>
      <c r="AV1" s="41"/>
      <c r="BA1" s="41"/>
      <c r="BF1" s="41"/>
    </row>
    <row r="2" spans="2:58" s="40" customFormat="1" ht="23.25" customHeight="1" x14ac:dyDescent="0.35">
      <c r="B2" s="42"/>
      <c r="C2" s="43"/>
      <c r="D2" s="357" t="s">
        <v>0</v>
      </c>
      <c r="E2" s="358"/>
      <c r="F2" s="358"/>
      <c r="G2" s="358"/>
      <c r="H2" s="359"/>
      <c r="I2" s="378" t="s">
        <v>1</v>
      </c>
      <c r="J2" s="379"/>
      <c r="K2" s="379"/>
      <c r="L2" s="379"/>
      <c r="M2" s="380"/>
      <c r="N2" s="381" t="s">
        <v>2</v>
      </c>
      <c r="O2" s="382"/>
      <c r="P2" s="382"/>
      <c r="Q2" s="382"/>
      <c r="R2" s="383"/>
      <c r="S2" s="384" t="s">
        <v>3</v>
      </c>
      <c r="T2" s="385"/>
      <c r="U2" s="385"/>
      <c r="V2" s="385"/>
      <c r="W2" s="386"/>
      <c r="X2" s="348" t="s">
        <v>4</v>
      </c>
      <c r="Y2" s="349"/>
      <c r="Z2" s="349"/>
      <c r="AA2" s="349"/>
      <c r="AB2" s="350"/>
      <c r="AC2" s="351" t="s">
        <v>5</v>
      </c>
      <c r="AD2" s="352"/>
      <c r="AE2" s="352"/>
      <c r="AF2" s="352"/>
      <c r="AG2" s="353"/>
      <c r="AH2" s="357" t="s">
        <v>6</v>
      </c>
      <c r="AI2" s="358"/>
      <c r="AJ2" s="358"/>
      <c r="AK2" s="358"/>
      <c r="AL2" s="359"/>
      <c r="AM2" s="360" t="s">
        <v>7</v>
      </c>
      <c r="AN2" s="361"/>
      <c r="AO2" s="361"/>
      <c r="AP2" s="361"/>
      <c r="AQ2" s="362"/>
      <c r="AR2" s="372" t="s">
        <v>8</v>
      </c>
      <c r="AS2" s="373"/>
      <c r="AT2" s="373"/>
      <c r="AU2" s="373"/>
      <c r="AV2" s="374"/>
      <c r="AW2" s="387" t="s">
        <v>9</v>
      </c>
      <c r="AX2" s="388"/>
      <c r="AY2" s="388"/>
      <c r="AZ2" s="388"/>
      <c r="BA2" s="389"/>
      <c r="BB2" s="375" t="s">
        <v>10</v>
      </c>
      <c r="BC2" s="376"/>
      <c r="BD2" s="376"/>
      <c r="BE2" s="376"/>
      <c r="BF2" s="377"/>
    </row>
    <row r="3" spans="2:58" ht="24" customHeight="1" thickBot="1" x14ac:dyDescent="0.3">
      <c r="B3" s="44" t="s">
        <v>11</v>
      </c>
      <c r="D3" s="354" t="s">
        <v>12</v>
      </c>
      <c r="E3" s="363" t="s">
        <v>13</v>
      </c>
      <c r="F3" s="363" t="s">
        <v>14</v>
      </c>
      <c r="G3" s="366" t="s">
        <v>15</v>
      </c>
      <c r="H3" s="369" t="s">
        <v>16</v>
      </c>
      <c r="I3" s="354" t="s">
        <v>12</v>
      </c>
      <c r="J3" s="363" t="s">
        <v>13</v>
      </c>
      <c r="K3" s="363" t="s">
        <v>14</v>
      </c>
      <c r="L3" s="366" t="s">
        <v>15</v>
      </c>
      <c r="M3" s="369" t="s">
        <v>16</v>
      </c>
      <c r="N3" s="354" t="s">
        <v>12</v>
      </c>
      <c r="O3" s="363" t="s">
        <v>13</v>
      </c>
      <c r="P3" s="363" t="s">
        <v>14</v>
      </c>
      <c r="Q3" s="366" t="s">
        <v>15</v>
      </c>
      <c r="R3" s="369" t="s">
        <v>16</v>
      </c>
      <c r="S3" s="354" t="s">
        <v>12</v>
      </c>
      <c r="T3" s="363" t="s">
        <v>13</v>
      </c>
      <c r="U3" s="363" t="s">
        <v>14</v>
      </c>
      <c r="V3" s="366" t="s">
        <v>15</v>
      </c>
      <c r="W3" s="369" t="s">
        <v>16</v>
      </c>
      <c r="X3" s="354" t="s">
        <v>12</v>
      </c>
      <c r="Y3" s="363" t="s">
        <v>13</v>
      </c>
      <c r="Z3" s="363" t="s">
        <v>14</v>
      </c>
      <c r="AA3" s="366" t="s">
        <v>15</v>
      </c>
      <c r="AB3" s="369" t="s">
        <v>16</v>
      </c>
      <c r="AC3" s="354" t="s">
        <v>12</v>
      </c>
      <c r="AD3" s="363" t="s">
        <v>13</v>
      </c>
      <c r="AE3" s="363" t="s">
        <v>14</v>
      </c>
      <c r="AF3" s="366" t="s">
        <v>15</v>
      </c>
      <c r="AG3" s="369" t="s">
        <v>16</v>
      </c>
      <c r="AH3" s="354" t="s">
        <v>12</v>
      </c>
      <c r="AI3" s="363" t="s">
        <v>13</v>
      </c>
      <c r="AJ3" s="363" t="s">
        <v>14</v>
      </c>
      <c r="AK3" s="366" t="s">
        <v>15</v>
      </c>
      <c r="AL3" s="369" t="s">
        <v>16</v>
      </c>
      <c r="AM3" s="354" t="s">
        <v>12</v>
      </c>
      <c r="AN3" s="363" t="s">
        <v>13</v>
      </c>
      <c r="AO3" s="363" t="s">
        <v>14</v>
      </c>
      <c r="AP3" s="366" t="s">
        <v>15</v>
      </c>
      <c r="AQ3" s="369" t="s">
        <v>16</v>
      </c>
      <c r="AR3" s="354" t="s">
        <v>12</v>
      </c>
      <c r="AS3" s="363" t="s">
        <v>13</v>
      </c>
      <c r="AT3" s="363" t="s">
        <v>14</v>
      </c>
      <c r="AU3" s="366" t="s">
        <v>15</v>
      </c>
      <c r="AV3" s="369" t="s">
        <v>16</v>
      </c>
      <c r="AW3" s="354" t="s">
        <v>12</v>
      </c>
      <c r="AX3" s="363" t="s">
        <v>13</v>
      </c>
      <c r="AY3" s="363" t="s">
        <v>14</v>
      </c>
      <c r="AZ3" s="366" t="s">
        <v>15</v>
      </c>
      <c r="BA3" s="369" t="s">
        <v>16</v>
      </c>
      <c r="BB3" s="354" t="s">
        <v>12</v>
      </c>
      <c r="BC3" s="363" t="s">
        <v>13</v>
      </c>
      <c r="BD3" s="363" t="s">
        <v>14</v>
      </c>
      <c r="BE3" s="366" t="s">
        <v>15</v>
      </c>
      <c r="BF3" s="369" t="s">
        <v>16</v>
      </c>
    </row>
    <row r="4" spans="2:58" ht="18" customHeight="1" thickBot="1" x14ac:dyDescent="0.3">
      <c r="B4" s="45" t="s">
        <v>17</v>
      </c>
      <c r="C4" s="46"/>
      <c r="D4" s="355"/>
      <c r="E4" s="364"/>
      <c r="F4" s="364"/>
      <c r="G4" s="367"/>
      <c r="H4" s="370"/>
      <c r="I4" s="355"/>
      <c r="J4" s="364"/>
      <c r="K4" s="364"/>
      <c r="L4" s="367"/>
      <c r="M4" s="370"/>
      <c r="N4" s="355"/>
      <c r="O4" s="364"/>
      <c r="P4" s="364"/>
      <c r="Q4" s="367"/>
      <c r="R4" s="370"/>
      <c r="S4" s="355"/>
      <c r="T4" s="364"/>
      <c r="U4" s="364"/>
      <c r="V4" s="367"/>
      <c r="W4" s="370"/>
      <c r="X4" s="355"/>
      <c r="Y4" s="364"/>
      <c r="Z4" s="364"/>
      <c r="AA4" s="367"/>
      <c r="AB4" s="370"/>
      <c r="AC4" s="355"/>
      <c r="AD4" s="364"/>
      <c r="AE4" s="364"/>
      <c r="AF4" s="367"/>
      <c r="AG4" s="370"/>
      <c r="AH4" s="355"/>
      <c r="AI4" s="364"/>
      <c r="AJ4" s="364"/>
      <c r="AK4" s="367"/>
      <c r="AL4" s="370"/>
      <c r="AM4" s="355"/>
      <c r="AN4" s="364"/>
      <c r="AO4" s="364"/>
      <c r="AP4" s="367"/>
      <c r="AQ4" s="370"/>
      <c r="AR4" s="355"/>
      <c r="AS4" s="364"/>
      <c r="AT4" s="364"/>
      <c r="AU4" s="367"/>
      <c r="AV4" s="370"/>
      <c r="AW4" s="355"/>
      <c r="AX4" s="364"/>
      <c r="AY4" s="364"/>
      <c r="AZ4" s="367"/>
      <c r="BA4" s="370"/>
      <c r="BB4" s="355"/>
      <c r="BC4" s="364"/>
      <c r="BD4" s="364"/>
      <c r="BE4" s="367"/>
      <c r="BF4" s="370"/>
    </row>
    <row r="5" spans="2:58" ht="18" customHeight="1" x14ac:dyDescent="0.25">
      <c r="B5" s="47" t="s">
        <v>18</v>
      </c>
      <c r="C5" s="176" t="s">
        <v>19</v>
      </c>
      <c r="D5" s="356"/>
      <c r="E5" s="365"/>
      <c r="F5" s="365"/>
      <c r="G5" s="368"/>
      <c r="H5" s="371"/>
      <c r="I5" s="356"/>
      <c r="J5" s="365"/>
      <c r="K5" s="365"/>
      <c r="L5" s="368"/>
      <c r="M5" s="371"/>
      <c r="N5" s="356"/>
      <c r="O5" s="365"/>
      <c r="P5" s="365"/>
      <c r="Q5" s="368"/>
      <c r="R5" s="371"/>
      <c r="S5" s="356"/>
      <c r="T5" s="365"/>
      <c r="U5" s="365"/>
      <c r="V5" s="368"/>
      <c r="W5" s="371"/>
      <c r="X5" s="356"/>
      <c r="Y5" s="365"/>
      <c r="Z5" s="365"/>
      <c r="AA5" s="368"/>
      <c r="AB5" s="371"/>
      <c r="AC5" s="356"/>
      <c r="AD5" s="365"/>
      <c r="AE5" s="365"/>
      <c r="AF5" s="368"/>
      <c r="AG5" s="371"/>
      <c r="AH5" s="356"/>
      <c r="AI5" s="365"/>
      <c r="AJ5" s="365"/>
      <c r="AK5" s="368"/>
      <c r="AL5" s="371"/>
      <c r="AM5" s="356"/>
      <c r="AN5" s="365"/>
      <c r="AO5" s="365"/>
      <c r="AP5" s="368"/>
      <c r="AQ5" s="371"/>
      <c r="AR5" s="356"/>
      <c r="AS5" s="365"/>
      <c r="AT5" s="365"/>
      <c r="AU5" s="368"/>
      <c r="AV5" s="371"/>
      <c r="AW5" s="356"/>
      <c r="AX5" s="365"/>
      <c r="AY5" s="365"/>
      <c r="AZ5" s="368"/>
      <c r="BA5" s="371"/>
      <c r="BB5" s="356"/>
      <c r="BC5" s="365"/>
      <c r="BD5" s="365"/>
      <c r="BE5" s="368"/>
      <c r="BF5" s="371"/>
    </row>
    <row r="6" spans="2:58" x14ac:dyDescent="0.25">
      <c r="B6" s="390" t="s">
        <v>20</v>
      </c>
      <c r="C6" s="48" t="s">
        <v>21</v>
      </c>
      <c r="D6" s="49">
        <v>0</v>
      </c>
      <c r="E6" s="50">
        <v>285413</v>
      </c>
      <c r="F6" s="51"/>
      <c r="G6" s="52">
        <f>IF($B$4="quarter",SUM((E6/45),(F6/900)),IF($B$4="semester",SUM((E6/30),F6/900)))</f>
        <v>9513.7666666666664</v>
      </c>
      <c r="H6" s="3">
        <v>57520634</v>
      </c>
      <c r="I6" s="49">
        <v>0</v>
      </c>
      <c r="J6" s="50">
        <v>288321</v>
      </c>
      <c r="K6" s="51"/>
      <c r="L6" s="52">
        <f>IF($B$4="quarter",SUM((J6/45),(K6/900)),IF($B$4="semester",SUM((J6/30),K6/900)))</f>
        <v>9610.7000000000007</v>
      </c>
      <c r="M6" s="3">
        <v>57984811</v>
      </c>
      <c r="N6" s="49">
        <v>12734</v>
      </c>
      <c r="O6" s="50">
        <v>286285</v>
      </c>
      <c r="P6" s="51"/>
      <c r="Q6" s="52">
        <f>IF($B$4="quarter",SUM((O6/45),(P6/900)),IF($B$4="semester",SUM((O6/30),P6/900)))</f>
        <v>9542.8333333333339</v>
      </c>
      <c r="R6" s="3">
        <v>57437013</v>
      </c>
      <c r="S6" s="49">
        <v>12879</v>
      </c>
      <c r="T6" s="50">
        <v>287113</v>
      </c>
      <c r="U6" s="51"/>
      <c r="V6" s="52">
        <f>IF($B$4="quarter",SUM((T6/45),(U6/900)),IF($B$4="semester",SUM((T6/30),U6/900)))</f>
        <v>9570.4333333333325</v>
      </c>
      <c r="W6" s="3">
        <v>60320814</v>
      </c>
      <c r="X6" s="49">
        <v>12857</v>
      </c>
      <c r="Y6" s="50">
        <v>292686</v>
      </c>
      <c r="Z6" s="51"/>
      <c r="AA6" s="52">
        <f>IF($B$4="quarter",SUM((Y6/45),(Z6/900)),IF($B$4="semester",SUM((Y6/30),Z6/900)))</f>
        <v>9756.2000000000007</v>
      </c>
      <c r="AB6" s="3">
        <v>63129150</v>
      </c>
      <c r="AC6" s="49">
        <v>12818</v>
      </c>
      <c r="AD6" s="50">
        <v>294035</v>
      </c>
      <c r="AE6" s="51"/>
      <c r="AF6" s="52">
        <f>IF($B$4="quarter",SUM((AD6/45),(AE6/900)),IF($B$4="semester",SUM((AD6/30),AE6/900)))</f>
        <v>9801.1666666666661</v>
      </c>
      <c r="AG6" s="3">
        <v>69143002</v>
      </c>
      <c r="AH6" s="49">
        <v>12497</v>
      </c>
      <c r="AI6" s="50">
        <v>290117</v>
      </c>
      <c r="AJ6" s="51"/>
      <c r="AK6" s="52">
        <f>IF($B$4="quarter",SUM((AI6/45),(AJ6/900)),IF($B$4="semester",SUM((AI6/30),AJ6/900)))</f>
        <v>9670.5666666666675</v>
      </c>
      <c r="AL6" s="3">
        <v>71115439</v>
      </c>
      <c r="AM6" s="49">
        <v>12303</v>
      </c>
      <c r="AN6" s="50">
        <v>287271</v>
      </c>
      <c r="AO6" s="51"/>
      <c r="AP6" s="52">
        <f>IF($B$4="quarter",SUM((AN6/45),(AO6/900)),IF($B$4="semester",SUM((AN6/30),AO6/900)))</f>
        <v>9575.7000000000007</v>
      </c>
      <c r="AQ6" s="3">
        <v>72218902</v>
      </c>
      <c r="AR6" s="49">
        <v>12575</v>
      </c>
      <c r="AS6" s="50">
        <v>296229</v>
      </c>
      <c r="AT6" s="51"/>
      <c r="AU6" s="52">
        <f>IF($B$4="quarter",SUM((AS6/45),(AT6/900)),IF($B$4="semester",SUM((AS6/30),AT6/900)))</f>
        <v>9874.2999999999993</v>
      </c>
      <c r="AV6" s="3">
        <v>77785498</v>
      </c>
      <c r="AW6" s="49">
        <v>12041</v>
      </c>
      <c r="AX6" s="50">
        <v>284819</v>
      </c>
      <c r="AY6" s="51"/>
      <c r="AZ6" s="52">
        <f>IF($B$4="quarter",SUM((AX6/45),(AY6/900)),IF($B$4="semester",SUM((AX6/30),AY6/900)))</f>
        <v>9493.9666666666672</v>
      </c>
      <c r="BA6" s="3">
        <v>72844245.5</v>
      </c>
      <c r="BB6" s="1">
        <v>11887</v>
      </c>
      <c r="BC6" s="2">
        <v>284015</v>
      </c>
      <c r="BD6" s="51"/>
      <c r="BE6" s="52">
        <f>IF($B$4="quarter",SUM((BC6/45),(BD6/900)),IF($B$4="semester",SUM((BC6/30),BD6/900)))</f>
        <v>9467.1666666666661</v>
      </c>
      <c r="BF6" s="4">
        <v>72089107</v>
      </c>
    </row>
    <row r="7" spans="2:58" x14ac:dyDescent="0.25">
      <c r="B7" s="391"/>
      <c r="C7" s="48" t="s">
        <v>22</v>
      </c>
      <c r="D7" s="49">
        <v>0</v>
      </c>
      <c r="E7" s="50">
        <v>34789</v>
      </c>
      <c r="F7" s="51"/>
      <c r="G7" s="52">
        <f>IF($B$4="quarter",SUM((E7/45),(F7/900)),IF($B$4="semester",SUM((E7/30),F7/900)))</f>
        <v>1159.6333333333334</v>
      </c>
      <c r="H7" s="3">
        <v>17020930</v>
      </c>
      <c r="I7" s="49">
        <v>0</v>
      </c>
      <c r="J7" s="50">
        <v>35208</v>
      </c>
      <c r="K7" s="51"/>
      <c r="L7" s="52">
        <f>IF($B$4="quarter",SUM((J7/45),(K7/900)),IF($B$4="semester",SUM((J7/30),K7/900)))</f>
        <v>1173.5999999999999</v>
      </c>
      <c r="M7" s="3">
        <v>18535125</v>
      </c>
      <c r="N7" s="49">
        <v>1639</v>
      </c>
      <c r="O7" s="50">
        <v>37931</v>
      </c>
      <c r="P7" s="51"/>
      <c r="Q7" s="52">
        <f>IF($B$4="quarter",SUM((O7/45),(P7/900)),IF($B$4="semester",SUM((O7/30),P7/900)))</f>
        <v>1264.3666666666666</v>
      </c>
      <c r="R7" s="3">
        <v>21058119</v>
      </c>
      <c r="S7" s="49">
        <v>1742</v>
      </c>
      <c r="T7" s="50">
        <v>41246</v>
      </c>
      <c r="U7" s="51"/>
      <c r="V7" s="52">
        <f>IF($B$4="quarter",SUM((T7/45),(U7/900)),IF($B$4="semester",SUM((T7/30),U7/900)))</f>
        <v>1374.8666666666666</v>
      </c>
      <c r="W7" s="3">
        <v>23805141</v>
      </c>
      <c r="X7" s="49">
        <v>1753</v>
      </c>
      <c r="Y7" s="50">
        <v>42463</v>
      </c>
      <c r="Z7" s="51"/>
      <c r="AA7" s="52">
        <f>IF($B$4="quarter",SUM((Y7/45),(Z7/900)),IF($B$4="semester",SUM((Y7/30),Z7/900)))</f>
        <v>1415.4333333333334</v>
      </c>
      <c r="AB7" s="3">
        <v>24942272</v>
      </c>
      <c r="AC7" s="49">
        <v>1748</v>
      </c>
      <c r="AD7" s="50">
        <v>41428</v>
      </c>
      <c r="AE7" s="51"/>
      <c r="AF7" s="52">
        <f>IF($B$4="quarter",SUM((AD7/45),(AE7/900)),IF($B$4="semester",SUM((AD7/30),AE7/900)))</f>
        <v>1380.9333333333334</v>
      </c>
      <c r="AG7" s="3">
        <v>22817037</v>
      </c>
      <c r="AH7" s="49">
        <v>1704</v>
      </c>
      <c r="AI7" s="50">
        <v>41485</v>
      </c>
      <c r="AJ7" s="51"/>
      <c r="AK7" s="52">
        <f>IF($B$4="quarter",SUM((AI7/45),(AJ7/900)),IF($B$4="semester",SUM((AI7/30),AJ7/900)))</f>
        <v>1382.8333333333333</v>
      </c>
      <c r="AL7" s="3">
        <v>23842030</v>
      </c>
      <c r="AM7" s="49">
        <v>1835</v>
      </c>
      <c r="AN7" s="50">
        <v>43695</v>
      </c>
      <c r="AO7" s="51"/>
      <c r="AP7" s="52">
        <f>IF($B$4="quarter",SUM((AN7/45),(AO7/900)),IF($B$4="semester",SUM((AN7/30),AO7/900)))</f>
        <v>1456.5</v>
      </c>
      <c r="AQ7" s="3">
        <v>25828753</v>
      </c>
      <c r="AR7" s="49">
        <v>2008</v>
      </c>
      <c r="AS7" s="50">
        <v>43913</v>
      </c>
      <c r="AT7" s="51"/>
      <c r="AU7" s="52">
        <f>IF($B$4="quarter",SUM((AS7/45),(AT7/900)),IF($B$4="semester",SUM((AS7/30),AT7/900)))</f>
        <v>1463.7666666666667</v>
      </c>
      <c r="AV7" s="3">
        <v>20919913</v>
      </c>
      <c r="AW7" s="49">
        <v>1953</v>
      </c>
      <c r="AX7" s="50">
        <v>41020</v>
      </c>
      <c r="AY7" s="51"/>
      <c r="AZ7" s="52">
        <f>IF($B$4="quarter",SUM((AX7/45),(AY7/900)),IF($B$4="semester",SUM((AX7/30),AY7/900)))</f>
        <v>1367.3333333333333</v>
      </c>
      <c r="BA7" s="3">
        <v>22334860</v>
      </c>
      <c r="BB7" s="1">
        <v>1912</v>
      </c>
      <c r="BC7" s="2">
        <v>41480</v>
      </c>
      <c r="BD7" s="51"/>
      <c r="BE7" s="52">
        <f>IF($B$4="quarter",SUM((BC7/45),(BD7/900)),IF($B$4="semester",SUM((BC7/30),BD7/900)))</f>
        <v>1382.6666666666667</v>
      </c>
      <c r="BF7" s="4">
        <v>22782078</v>
      </c>
    </row>
    <row r="8" spans="2:58" x14ac:dyDescent="0.25">
      <c r="B8" s="392"/>
      <c r="C8" s="53" t="s">
        <v>23</v>
      </c>
      <c r="D8" s="54">
        <f t="shared" ref="D8:AI8" si="0">SUM(D6:D7)</f>
        <v>0</v>
      </c>
      <c r="E8" s="52">
        <f t="shared" si="0"/>
        <v>320202</v>
      </c>
      <c r="F8" s="51">
        <f t="shared" si="0"/>
        <v>0</v>
      </c>
      <c r="G8" s="52">
        <f t="shared" si="0"/>
        <v>10673.4</v>
      </c>
      <c r="H8" s="55">
        <f t="shared" si="0"/>
        <v>74541564</v>
      </c>
      <c r="I8" s="54">
        <f t="shared" si="0"/>
        <v>0</v>
      </c>
      <c r="J8" s="52">
        <f t="shared" si="0"/>
        <v>323529</v>
      </c>
      <c r="K8" s="51">
        <f t="shared" si="0"/>
        <v>0</v>
      </c>
      <c r="L8" s="52">
        <f t="shared" si="0"/>
        <v>10784.300000000001</v>
      </c>
      <c r="M8" s="55">
        <f t="shared" si="0"/>
        <v>76519936</v>
      </c>
      <c r="N8" s="54">
        <f t="shared" si="0"/>
        <v>14373</v>
      </c>
      <c r="O8" s="52">
        <f t="shared" si="0"/>
        <v>324216</v>
      </c>
      <c r="P8" s="51">
        <f t="shared" si="0"/>
        <v>0</v>
      </c>
      <c r="Q8" s="52">
        <f t="shared" si="0"/>
        <v>10807.2</v>
      </c>
      <c r="R8" s="55">
        <f t="shared" si="0"/>
        <v>78495132</v>
      </c>
      <c r="S8" s="54">
        <f t="shared" si="0"/>
        <v>14621</v>
      </c>
      <c r="T8" s="52">
        <f t="shared" si="0"/>
        <v>328359</v>
      </c>
      <c r="U8" s="51">
        <f t="shared" si="0"/>
        <v>0</v>
      </c>
      <c r="V8" s="52">
        <f t="shared" si="0"/>
        <v>10945.3</v>
      </c>
      <c r="W8" s="55">
        <f t="shared" si="0"/>
        <v>84125955</v>
      </c>
      <c r="X8" s="54">
        <f t="shared" si="0"/>
        <v>14610</v>
      </c>
      <c r="Y8" s="52">
        <f t="shared" si="0"/>
        <v>335149</v>
      </c>
      <c r="Z8" s="51">
        <f t="shared" si="0"/>
        <v>0</v>
      </c>
      <c r="AA8" s="52">
        <f t="shared" si="0"/>
        <v>11171.633333333335</v>
      </c>
      <c r="AB8" s="55">
        <f t="shared" si="0"/>
        <v>88071422</v>
      </c>
      <c r="AC8" s="54">
        <f t="shared" si="0"/>
        <v>14566</v>
      </c>
      <c r="AD8" s="52">
        <f t="shared" si="0"/>
        <v>335463</v>
      </c>
      <c r="AE8" s="51">
        <f t="shared" si="0"/>
        <v>0</v>
      </c>
      <c r="AF8" s="52">
        <f t="shared" si="0"/>
        <v>11182.099999999999</v>
      </c>
      <c r="AG8" s="55">
        <f t="shared" si="0"/>
        <v>91960039</v>
      </c>
      <c r="AH8" s="54">
        <f t="shared" si="0"/>
        <v>14201</v>
      </c>
      <c r="AI8" s="52">
        <f t="shared" si="0"/>
        <v>331602</v>
      </c>
      <c r="AJ8" s="51">
        <f t="shared" ref="AJ8:BF8" si="1">SUM(AJ6:AJ7)</f>
        <v>0</v>
      </c>
      <c r="AK8" s="52">
        <f t="shared" si="1"/>
        <v>11053.400000000001</v>
      </c>
      <c r="AL8" s="55">
        <f t="shared" si="1"/>
        <v>94957469</v>
      </c>
      <c r="AM8" s="54">
        <f t="shared" si="1"/>
        <v>14138</v>
      </c>
      <c r="AN8" s="52">
        <f t="shared" si="1"/>
        <v>330966</v>
      </c>
      <c r="AO8" s="51">
        <f t="shared" si="1"/>
        <v>0</v>
      </c>
      <c r="AP8" s="52">
        <f t="shared" si="1"/>
        <v>11032.2</v>
      </c>
      <c r="AQ8" s="55">
        <f t="shared" si="1"/>
        <v>98047655</v>
      </c>
      <c r="AR8" s="54">
        <f t="shared" si="1"/>
        <v>14583</v>
      </c>
      <c r="AS8" s="52">
        <f t="shared" si="1"/>
        <v>340142</v>
      </c>
      <c r="AT8" s="51">
        <f t="shared" si="1"/>
        <v>0</v>
      </c>
      <c r="AU8" s="52">
        <f t="shared" si="1"/>
        <v>11338.066666666666</v>
      </c>
      <c r="AV8" s="55">
        <f t="shared" si="1"/>
        <v>98705411</v>
      </c>
      <c r="AW8" s="54">
        <f t="shared" si="1"/>
        <v>13994</v>
      </c>
      <c r="AX8" s="52">
        <f t="shared" si="1"/>
        <v>325839</v>
      </c>
      <c r="AY8" s="51">
        <f t="shared" si="1"/>
        <v>0</v>
      </c>
      <c r="AZ8" s="52">
        <f t="shared" si="1"/>
        <v>10861.300000000001</v>
      </c>
      <c r="BA8" s="55">
        <f t="shared" si="1"/>
        <v>95179105.5</v>
      </c>
      <c r="BB8" s="54">
        <f t="shared" si="1"/>
        <v>13799</v>
      </c>
      <c r="BC8" s="52">
        <f t="shared" si="1"/>
        <v>325495</v>
      </c>
      <c r="BD8" s="51">
        <f t="shared" si="1"/>
        <v>0</v>
      </c>
      <c r="BE8" s="52">
        <f t="shared" si="1"/>
        <v>10849.833333333332</v>
      </c>
      <c r="BF8" s="55">
        <f t="shared" si="1"/>
        <v>94871185</v>
      </c>
    </row>
    <row r="9" spans="2:58" x14ac:dyDescent="0.25">
      <c r="B9" s="56"/>
      <c r="C9" s="57"/>
      <c r="D9" s="58"/>
      <c r="E9" s="59"/>
      <c r="F9" s="59"/>
      <c r="G9" s="59"/>
      <c r="H9" s="5"/>
      <c r="I9" s="58"/>
      <c r="J9" s="59"/>
      <c r="K9" s="59"/>
      <c r="L9" s="59"/>
      <c r="M9" s="5"/>
      <c r="N9" s="58"/>
      <c r="O9" s="59"/>
      <c r="P9" s="59"/>
      <c r="Q9" s="59"/>
      <c r="R9" s="5"/>
      <c r="S9" s="58"/>
      <c r="T9" s="59"/>
      <c r="U9" s="59"/>
      <c r="V9" s="59"/>
      <c r="W9" s="5"/>
      <c r="X9" s="58"/>
      <c r="Y9" s="59"/>
      <c r="Z9" s="59"/>
      <c r="AA9" s="59"/>
      <c r="AB9" s="5"/>
      <c r="AC9" s="58"/>
      <c r="AD9" s="59"/>
      <c r="AE9" s="59"/>
      <c r="AF9" s="59"/>
      <c r="AG9" s="5"/>
      <c r="AH9" s="58"/>
      <c r="AI9" s="59"/>
      <c r="AJ9" s="59"/>
      <c r="AK9" s="59"/>
      <c r="AL9" s="5"/>
      <c r="AM9" s="58"/>
      <c r="AN9" s="59"/>
      <c r="AO9" s="59"/>
      <c r="AP9" s="59"/>
      <c r="AQ9" s="5"/>
      <c r="AR9" s="58"/>
      <c r="AS9" s="59"/>
      <c r="AT9" s="59"/>
      <c r="AU9" s="59"/>
      <c r="AV9" s="5"/>
      <c r="AW9" s="58"/>
      <c r="AX9" s="59"/>
      <c r="AY9" s="59"/>
      <c r="AZ9" s="59"/>
      <c r="BA9" s="5"/>
      <c r="BB9" s="58"/>
      <c r="BC9" s="59"/>
      <c r="BD9" s="59"/>
      <c r="BE9" s="59"/>
      <c r="BF9" s="5"/>
    </row>
    <row r="10" spans="2:58" x14ac:dyDescent="0.25">
      <c r="B10" s="390" t="s">
        <v>24</v>
      </c>
      <c r="C10" s="60" t="s">
        <v>21</v>
      </c>
      <c r="D10" s="49">
        <v>0</v>
      </c>
      <c r="E10" s="50">
        <v>27560</v>
      </c>
      <c r="F10" s="51"/>
      <c r="G10" s="52">
        <f>IF($B$4="quarter",SUM((E10/36),(F10/900)),IF($B$4="semester",SUM((E10/24),F10/900)))</f>
        <v>1148.3333333333333</v>
      </c>
      <c r="H10" s="3">
        <v>6991679</v>
      </c>
      <c r="I10" s="49">
        <v>0</v>
      </c>
      <c r="J10" s="50">
        <v>30765</v>
      </c>
      <c r="K10" s="51"/>
      <c r="L10" s="52">
        <f>IF($B$4="quarter",SUM((J10/36),(K10/900)),IF($B$4="semester",SUM((J10/24),K10/900)))</f>
        <v>1281.875</v>
      </c>
      <c r="M10" s="3">
        <v>7776733</v>
      </c>
      <c r="N10" s="49">
        <v>2883</v>
      </c>
      <c r="O10" s="50">
        <v>32064</v>
      </c>
      <c r="P10" s="51"/>
      <c r="Q10" s="52">
        <f>IF($B$4="quarter",SUM((O10/36),(P10/900)),IF($B$4="semester",SUM((O10/24),P10/900)))</f>
        <v>1336</v>
      </c>
      <c r="R10" s="3">
        <v>7821834</v>
      </c>
      <c r="S10" s="61">
        <v>2965</v>
      </c>
      <c r="T10" s="50">
        <v>30948</v>
      </c>
      <c r="U10" s="51"/>
      <c r="V10" s="52">
        <f>IF($B$4="quarter",SUM((T10/36),(U10/900)),IF($B$4="semester",SUM((T10/24),U10/900)))</f>
        <v>1289.5</v>
      </c>
      <c r="W10" s="3">
        <v>7884531</v>
      </c>
      <c r="X10" s="61">
        <v>3014</v>
      </c>
      <c r="Y10" s="50">
        <v>33695</v>
      </c>
      <c r="Z10" s="51"/>
      <c r="AA10" s="52">
        <f>IF($B$4="quarter",SUM((Y10/36),(Z10/900)),IF($B$4="semester",SUM((Y10/24),Z10/900)))</f>
        <v>1403.9583333333333</v>
      </c>
      <c r="AB10" s="3">
        <v>8771163</v>
      </c>
      <c r="AC10" s="49">
        <v>3073</v>
      </c>
      <c r="AD10" s="50">
        <v>34037</v>
      </c>
      <c r="AE10" s="51"/>
      <c r="AF10" s="52">
        <f>IF($B$4="quarter",SUM((AD10/36),(AE10/900)),IF($B$4="semester",SUM((AD10/24),AE10/900)))</f>
        <v>1418.2083333333333</v>
      </c>
      <c r="AG10" s="3">
        <v>10364786</v>
      </c>
      <c r="AH10" s="49">
        <v>3162</v>
      </c>
      <c r="AI10" s="50">
        <v>33002</v>
      </c>
      <c r="AJ10" s="51"/>
      <c r="AK10" s="52">
        <f>IF($B$4="quarter",SUM((AI10/36),(AJ10/900)),IF($B$4="semester",SUM((AI10/24),AJ10/900)))</f>
        <v>1375.0833333333333</v>
      </c>
      <c r="AL10" s="3">
        <v>10922631</v>
      </c>
      <c r="AM10" s="49">
        <v>3060</v>
      </c>
      <c r="AN10" s="50">
        <v>33064</v>
      </c>
      <c r="AO10" s="51"/>
      <c r="AP10" s="52">
        <f>IF($B$4="quarter",SUM((AN10/36),(AO10/900)),IF($B$4="semester",SUM((AN10/24),AO10/900)))</f>
        <v>1377.6666666666667</v>
      </c>
      <c r="AQ10" s="3">
        <v>11404717</v>
      </c>
      <c r="AR10" s="49">
        <v>3296</v>
      </c>
      <c r="AS10" s="50">
        <v>37237</v>
      </c>
      <c r="AT10" s="51"/>
      <c r="AU10" s="52">
        <f>IF($B$4="quarter",SUM((AS10/36),(AT10/900)),IF($B$4="semester",SUM((AS10/24),AT10/900)))</f>
        <v>1551.5416666666667</v>
      </c>
      <c r="AV10" s="3">
        <v>13486003</v>
      </c>
      <c r="AW10" s="49">
        <v>3204</v>
      </c>
      <c r="AX10" s="50">
        <v>35920</v>
      </c>
      <c r="AY10" s="51"/>
      <c r="AZ10" s="52">
        <f>IF($B$4="quarter",SUM((AX10/36),(AY10/900)),IF($B$4="semester",SUM((AX10/24),AY10/900)))</f>
        <v>1496.6666666666667</v>
      </c>
      <c r="BA10" s="3">
        <v>12841386.5</v>
      </c>
      <c r="BB10" s="1">
        <v>3258</v>
      </c>
      <c r="BC10" s="2">
        <v>33764</v>
      </c>
      <c r="BD10" s="51"/>
      <c r="BE10" s="52">
        <f>IF($B$4="quarter",SUM((BC10/36),(BD10/900)),IF($B$4="semester",SUM((BC10/24),BD10/900)))</f>
        <v>1406.8333333333333</v>
      </c>
      <c r="BF10" s="4">
        <v>12217594</v>
      </c>
    </row>
    <row r="11" spans="2:58" x14ac:dyDescent="0.25">
      <c r="B11" s="391"/>
      <c r="C11" s="60" t="s">
        <v>22</v>
      </c>
      <c r="D11" s="49">
        <v>0</v>
      </c>
      <c r="E11" s="50">
        <v>8810</v>
      </c>
      <c r="F11" s="51"/>
      <c r="G11" s="52">
        <f>IF($B$4="quarter",SUM((E11/36),(F11/900)),IF($B$4="semester",SUM((E11/24),F11/900)))</f>
        <v>367.08333333333331</v>
      </c>
      <c r="H11" s="3">
        <v>5349877</v>
      </c>
      <c r="I11" s="49">
        <v>0</v>
      </c>
      <c r="J11" s="50">
        <v>9643</v>
      </c>
      <c r="K11" s="51"/>
      <c r="L11" s="52">
        <f>IF($B$4="quarter",SUM((J11/36),(K11/900)),IF($B$4="semester",SUM((J11/24),K11/900)))</f>
        <v>401.79166666666669</v>
      </c>
      <c r="M11" s="3">
        <v>6013587</v>
      </c>
      <c r="N11" s="49">
        <v>935</v>
      </c>
      <c r="O11" s="50">
        <v>11205</v>
      </c>
      <c r="P11" s="51"/>
      <c r="Q11" s="52">
        <f>IF($B$4="quarter",SUM((O11/36),(P11/900)),IF($B$4="semester",SUM((O11/24),P11/900)))</f>
        <v>466.875</v>
      </c>
      <c r="R11" s="3">
        <v>7575171</v>
      </c>
      <c r="S11" s="61">
        <v>985</v>
      </c>
      <c r="T11" s="50">
        <v>12187</v>
      </c>
      <c r="U11" s="51"/>
      <c r="V11" s="52">
        <f>IF($B$4="quarter",SUM((T11/36),(U11/900)),IF($B$4="semester",SUM((T11/24),U11/900)))</f>
        <v>507.79166666666669</v>
      </c>
      <c r="W11" s="3">
        <v>8626077</v>
      </c>
      <c r="X11" s="61">
        <v>1005</v>
      </c>
      <c r="Y11" s="50">
        <v>11799</v>
      </c>
      <c r="Z11" s="51"/>
      <c r="AA11" s="52">
        <f>IF($B$4="quarter",SUM((Y11/36),(Z11/900)),IF($B$4="semester",SUM((Y11/24),Z11/900)))</f>
        <v>491.625</v>
      </c>
      <c r="AB11" s="3">
        <v>8687953</v>
      </c>
      <c r="AC11" s="49">
        <v>1024</v>
      </c>
      <c r="AD11" s="50">
        <v>9988</v>
      </c>
      <c r="AE11" s="51"/>
      <c r="AF11" s="52">
        <f>IF($B$4="quarter",SUM((AD11/36),(AE11/900)),IF($B$4="semester",SUM((AD11/24),AE11/900)))</f>
        <v>416.16666666666669</v>
      </c>
      <c r="AG11" s="3">
        <v>6707389</v>
      </c>
      <c r="AH11" s="49">
        <v>819</v>
      </c>
      <c r="AI11" s="50">
        <v>8596</v>
      </c>
      <c r="AJ11" s="51"/>
      <c r="AK11" s="52">
        <f>IF($B$4="quarter",SUM((AI11/36),(AJ11/900)),IF($B$4="semester",SUM((AI11/24),AJ11/900)))</f>
        <v>358.16666666666669</v>
      </c>
      <c r="AL11" s="3">
        <v>6210277</v>
      </c>
      <c r="AM11" s="49">
        <v>715</v>
      </c>
      <c r="AN11" s="50">
        <v>8396</v>
      </c>
      <c r="AO11" s="51"/>
      <c r="AP11" s="52">
        <f>IF($B$4="quarter",SUM((AN11/36),(AO11/900)),IF($B$4="semester",SUM((AN11/24),AO11/900)))</f>
        <v>349.83333333333331</v>
      </c>
      <c r="AQ11" s="3">
        <v>6108528</v>
      </c>
      <c r="AR11" s="49">
        <v>753</v>
      </c>
      <c r="AS11" s="50">
        <v>8221</v>
      </c>
      <c r="AT11" s="51"/>
      <c r="AU11" s="52">
        <f>IF($B$4="quarter",SUM((AS11/36),(AT11/900)),IF($B$4="semester",SUM((AS11/24),AT11/900)))</f>
        <v>342.54166666666669</v>
      </c>
      <c r="AV11" s="3">
        <v>5315344</v>
      </c>
      <c r="AW11" s="49">
        <v>822</v>
      </c>
      <c r="AX11" s="50">
        <v>9528</v>
      </c>
      <c r="AY11" s="51"/>
      <c r="AZ11" s="52">
        <f>IF($B$4="quarter",SUM((AX11/36),(AY11/900)),IF($B$4="semester",SUM((AX11/24),AY11/900)))</f>
        <v>397</v>
      </c>
      <c r="BA11" s="3">
        <v>6771563.5</v>
      </c>
      <c r="BB11" s="1">
        <v>915</v>
      </c>
      <c r="BC11" s="2">
        <v>10891</v>
      </c>
      <c r="BD11" s="51"/>
      <c r="BE11" s="52">
        <f>IF($B$4="quarter",SUM((BC11/36),(BD11/900)),IF($B$4="semester",SUM((BC11/24),BD11/900)))</f>
        <v>453.79166666666669</v>
      </c>
      <c r="BF11" s="4">
        <v>7973871</v>
      </c>
    </row>
    <row r="12" spans="2:58" x14ac:dyDescent="0.25">
      <c r="B12" s="392"/>
      <c r="C12" s="62" t="s">
        <v>23</v>
      </c>
      <c r="D12" s="54">
        <f t="shared" ref="D12:AI12" si="2">SUM(D10:D11)</f>
        <v>0</v>
      </c>
      <c r="E12" s="52">
        <f t="shared" si="2"/>
        <v>36370</v>
      </c>
      <c r="F12" s="51">
        <f t="shared" si="2"/>
        <v>0</v>
      </c>
      <c r="G12" s="52">
        <f t="shared" si="2"/>
        <v>1515.4166666666665</v>
      </c>
      <c r="H12" s="55">
        <f t="shared" si="2"/>
        <v>12341556</v>
      </c>
      <c r="I12" s="54">
        <f t="shared" si="2"/>
        <v>0</v>
      </c>
      <c r="J12" s="52">
        <f t="shared" si="2"/>
        <v>40408</v>
      </c>
      <c r="K12" s="51">
        <f t="shared" si="2"/>
        <v>0</v>
      </c>
      <c r="L12" s="52">
        <f t="shared" si="2"/>
        <v>1683.6666666666667</v>
      </c>
      <c r="M12" s="55">
        <f t="shared" si="2"/>
        <v>13790320</v>
      </c>
      <c r="N12" s="54">
        <f t="shared" si="2"/>
        <v>3818</v>
      </c>
      <c r="O12" s="52">
        <f t="shared" si="2"/>
        <v>43269</v>
      </c>
      <c r="P12" s="51">
        <f t="shared" si="2"/>
        <v>0</v>
      </c>
      <c r="Q12" s="52">
        <f t="shared" si="2"/>
        <v>1802.875</v>
      </c>
      <c r="R12" s="55">
        <f t="shared" si="2"/>
        <v>15397005</v>
      </c>
      <c r="S12" s="54">
        <f t="shared" si="2"/>
        <v>3950</v>
      </c>
      <c r="T12" s="52">
        <f t="shared" si="2"/>
        <v>43135</v>
      </c>
      <c r="U12" s="51">
        <f t="shared" si="2"/>
        <v>0</v>
      </c>
      <c r="V12" s="52">
        <f t="shared" si="2"/>
        <v>1797.2916666666667</v>
      </c>
      <c r="W12" s="55">
        <f t="shared" si="2"/>
        <v>16510608</v>
      </c>
      <c r="X12" s="54">
        <f t="shared" si="2"/>
        <v>4019</v>
      </c>
      <c r="Y12" s="52">
        <f t="shared" si="2"/>
        <v>45494</v>
      </c>
      <c r="Z12" s="51">
        <f t="shared" si="2"/>
        <v>0</v>
      </c>
      <c r="AA12" s="52">
        <f t="shared" si="2"/>
        <v>1895.5833333333333</v>
      </c>
      <c r="AB12" s="55">
        <f t="shared" si="2"/>
        <v>17459116</v>
      </c>
      <c r="AC12" s="54">
        <f t="shared" si="2"/>
        <v>4097</v>
      </c>
      <c r="AD12" s="52">
        <f t="shared" si="2"/>
        <v>44025</v>
      </c>
      <c r="AE12" s="51">
        <f t="shared" si="2"/>
        <v>0</v>
      </c>
      <c r="AF12" s="52">
        <f t="shared" si="2"/>
        <v>1834.375</v>
      </c>
      <c r="AG12" s="55">
        <f t="shared" si="2"/>
        <v>17072175</v>
      </c>
      <c r="AH12" s="54">
        <f t="shared" si="2"/>
        <v>3981</v>
      </c>
      <c r="AI12" s="52">
        <f t="shared" si="2"/>
        <v>41598</v>
      </c>
      <c r="AJ12" s="51">
        <f t="shared" ref="AJ12:BF12" si="3">SUM(AJ10:AJ11)</f>
        <v>0</v>
      </c>
      <c r="AK12" s="52">
        <f t="shared" si="3"/>
        <v>1733.25</v>
      </c>
      <c r="AL12" s="55">
        <f t="shared" si="3"/>
        <v>17132908</v>
      </c>
      <c r="AM12" s="54">
        <f t="shared" si="3"/>
        <v>3775</v>
      </c>
      <c r="AN12" s="52">
        <f t="shared" si="3"/>
        <v>41460</v>
      </c>
      <c r="AO12" s="51">
        <f t="shared" si="3"/>
        <v>0</v>
      </c>
      <c r="AP12" s="52">
        <f t="shared" si="3"/>
        <v>1727.5</v>
      </c>
      <c r="AQ12" s="55">
        <f t="shared" si="3"/>
        <v>17513245</v>
      </c>
      <c r="AR12" s="54">
        <f t="shared" si="3"/>
        <v>4049</v>
      </c>
      <c r="AS12" s="52">
        <f t="shared" si="3"/>
        <v>45458</v>
      </c>
      <c r="AT12" s="51">
        <f t="shared" si="3"/>
        <v>0</v>
      </c>
      <c r="AU12" s="52">
        <f t="shared" si="3"/>
        <v>1894.0833333333335</v>
      </c>
      <c r="AV12" s="55">
        <f t="shared" si="3"/>
        <v>18801347</v>
      </c>
      <c r="AW12" s="54">
        <f t="shared" si="3"/>
        <v>4026</v>
      </c>
      <c r="AX12" s="52">
        <f t="shared" si="3"/>
        <v>45448</v>
      </c>
      <c r="AY12" s="51">
        <f t="shared" si="3"/>
        <v>0</v>
      </c>
      <c r="AZ12" s="52">
        <f t="shared" si="3"/>
        <v>1893.6666666666667</v>
      </c>
      <c r="BA12" s="55">
        <f t="shared" si="3"/>
        <v>19612950</v>
      </c>
      <c r="BB12" s="54">
        <f t="shared" si="3"/>
        <v>4173</v>
      </c>
      <c r="BC12" s="52">
        <f t="shared" si="3"/>
        <v>44655</v>
      </c>
      <c r="BD12" s="51">
        <f t="shared" si="3"/>
        <v>0</v>
      </c>
      <c r="BE12" s="52">
        <f t="shared" si="3"/>
        <v>1860.625</v>
      </c>
      <c r="BF12" s="55">
        <f t="shared" si="3"/>
        <v>20191465</v>
      </c>
    </row>
    <row r="13" spans="2:58" x14ac:dyDescent="0.25">
      <c r="B13" s="56"/>
      <c r="C13" s="57"/>
      <c r="D13" s="58"/>
      <c r="E13" s="59"/>
      <c r="F13" s="59"/>
      <c r="G13" s="59"/>
      <c r="H13" s="5"/>
      <c r="I13" s="58"/>
      <c r="J13" s="59"/>
      <c r="K13" s="59"/>
      <c r="L13" s="59"/>
      <c r="M13" s="5"/>
      <c r="N13" s="58"/>
      <c r="O13" s="59"/>
      <c r="P13" s="59"/>
      <c r="Q13" s="59"/>
      <c r="R13" s="5"/>
      <c r="S13" s="58"/>
      <c r="T13" s="59"/>
      <c r="U13" s="59"/>
      <c r="V13" s="59"/>
      <c r="W13" s="5"/>
      <c r="X13" s="58"/>
      <c r="Y13" s="59"/>
      <c r="Z13" s="59"/>
      <c r="AA13" s="59"/>
      <c r="AB13" s="5"/>
      <c r="AC13" s="58"/>
      <c r="AD13" s="59"/>
      <c r="AE13" s="59"/>
      <c r="AF13" s="59"/>
      <c r="AG13" s="5"/>
      <c r="AH13" s="58"/>
      <c r="AI13" s="59"/>
      <c r="AJ13" s="59"/>
      <c r="AK13" s="59"/>
      <c r="AL13" s="5"/>
      <c r="AM13" s="58"/>
      <c r="AN13" s="59"/>
      <c r="AO13" s="59"/>
      <c r="AP13" s="59"/>
      <c r="AQ13" s="5"/>
      <c r="AR13" s="58"/>
      <c r="AS13" s="59"/>
      <c r="AT13" s="59"/>
      <c r="AU13" s="59"/>
      <c r="AV13" s="5"/>
      <c r="AW13" s="58"/>
      <c r="AX13" s="59"/>
      <c r="AY13" s="59"/>
      <c r="AZ13" s="59"/>
      <c r="BA13" s="5"/>
      <c r="BB13" s="58"/>
      <c r="BC13" s="59"/>
      <c r="BD13" s="59"/>
      <c r="BE13" s="59"/>
      <c r="BF13" s="5"/>
    </row>
    <row r="14" spans="2:58" x14ac:dyDescent="0.25">
      <c r="B14" s="390" t="s">
        <v>25</v>
      </c>
      <c r="C14" s="60" t="s">
        <v>21</v>
      </c>
      <c r="D14" s="49">
        <v>0</v>
      </c>
      <c r="E14" s="50">
        <v>0</v>
      </c>
      <c r="F14" s="51"/>
      <c r="G14" s="52">
        <f>IF($B$4="quarter",SUM((E14/36),(F14/900)),IF($B$4="semester",SUM((E14/24),F14/900)))</f>
        <v>0</v>
      </c>
      <c r="H14" s="3"/>
      <c r="I14" s="49">
        <v>0</v>
      </c>
      <c r="J14" s="50">
        <v>0</v>
      </c>
      <c r="K14" s="51"/>
      <c r="L14" s="52">
        <f>IF($B$4="quarter",SUM((J14/36),(K14/900)),IF($B$4="semester",SUM((J14/24),K14/900)))</f>
        <v>0</v>
      </c>
      <c r="M14" s="3"/>
      <c r="N14" s="49">
        <v>0</v>
      </c>
      <c r="O14" s="50">
        <v>0</v>
      </c>
      <c r="P14" s="51"/>
      <c r="Q14" s="52">
        <f>IF($B$4="quarter",SUM((O14/36),(P14/900)),IF($B$4="semester",SUM((O14/24),P14/900)))</f>
        <v>0</v>
      </c>
      <c r="R14" s="3"/>
      <c r="S14" s="49">
        <v>0</v>
      </c>
      <c r="T14" s="50">
        <v>0</v>
      </c>
      <c r="U14" s="51"/>
      <c r="V14" s="52">
        <f>IF($B$4="quarter",SUM((T14/36),(U14/900)),IF($B$4="semester",SUM((T14/24),U14/900)))</f>
        <v>0</v>
      </c>
      <c r="W14" s="3"/>
      <c r="X14" s="49">
        <v>0</v>
      </c>
      <c r="Y14" s="50">
        <v>0</v>
      </c>
      <c r="Z14" s="51"/>
      <c r="AA14" s="52">
        <f>IF($B$4="quarter",SUM((Y14/36),(Z14/900)),IF($B$4="semester",SUM((Y14/24),Z14/900)))</f>
        <v>0</v>
      </c>
      <c r="AB14" s="3"/>
      <c r="AC14" s="49">
        <v>0</v>
      </c>
      <c r="AD14" s="50">
        <v>0</v>
      </c>
      <c r="AE14" s="51"/>
      <c r="AF14" s="52">
        <f>IF($B$4="quarter",SUM((AD14/36),(AE14/900)),IF($B$4="semester",SUM((AD14/24),AE14/900)))</f>
        <v>0</v>
      </c>
      <c r="AG14" s="3"/>
      <c r="AH14" s="49">
        <v>0</v>
      </c>
      <c r="AI14" s="50">
        <v>0</v>
      </c>
      <c r="AJ14" s="51"/>
      <c r="AK14" s="52">
        <f>IF($B$4="quarter",SUM((AI14/36),(AJ14/900)),IF($B$4="semester",SUM((AI14/24),AJ14/900)))</f>
        <v>0</v>
      </c>
      <c r="AL14" s="3"/>
      <c r="AM14" s="49">
        <v>0</v>
      </c>
      <c r="AN14" s="50">
        <v>0</v>
      </c>
      <c r="AO14" s="51"/>
      <c r="AP14" s="52">
        <f>IF($B$4="quarter",SUM((AN14/36),(AO14/900)),IF($B$4="semester",SUM((AN14/24),AO14/900)))</f>
        <v>0</v>
      </c>
      <c r="AQ14" s="3"/>
      <c r="AR14" s="49">
        <v>0</v>
      </c>
      <c r="AS14" s="50">
        <v>0</v>
      </c>
      <c r="AT14" s="51"/>
      <c r="AU14" s="52">
        <f>IF($B$4="quarter",SUM((AS14/36),(AT14/900)),IF($B$4="semester",SUM((AS14/24),AT14/900)))</f>
        <v>0</v>
      </c>
      <c r="AV14" s="3"/>
      <c r="AW14" s="49">
        <v>0</v>
      </c>
      <c r="AX14" s="50">
        <v>0</v>
      </c>
      <c r="AY14" s="51"/>
      <c r="AZ14" s="52">
        <f>IF($B$4="quarter",SUM((AX14/36),(AY14/900)),IF($B$4="semester",SUM((AX14/24),AY14/900)))</f>
        <v>0</v>
      </c>
      <c r="BA14" s="3"/>
      <c r="BB14" s="1">
        <v>0</v>
      </c>
      <c r="BC14" s="2">
        <v>0</v>
      </c>
      <c r="BD14" s="51"/>
      <c r="BE14" s="52">
        <f>IF($B$4="quarter",SUM((BC14/36),(BD14/900)),IF($B$4="semester",SUM((BC14/24),BD14/900)))</f>
        <v>0</v>
      </c>
      <c r="BF14" s="4"/>
    </row>
    <row r="15" spans="2:58" x14ac:dyDescent="0.25">
      <c r="B15" s="391"/>
      <c r="C15" s="60" t="s">
        <v>22</v>
      </c>
      <c r="D15" s="49">
        <v>0</v>
      </c>
      <c r="E15" s="50">
        <v>0</v>
      </c>
      <c r="F15" s="51"/>
      <c r="G15" s="52">
        <f>IF($B$4="quarter",SUM((E15/36),(F15/900)),IF($B$4="semester",SUM((E15/24),F15/900)))</f>
        <v>0</v>
      </c>
      <c r="H15" s="3"/>
      <c r="I15" s="49">
        <v>0</v>
      </c>
      <c r="J15" s="50">
        <v>0</v>
      </c>
      <c r="K15" s="51"/>
      <c r="L15" s="52">
        <f>IF($B$4="quarter",SUM((J15/36),(K15/900)),IF($B$4="semester",SUM((J15/24),K15/900)))</f>
        <v>0</v>
      </c>
      <c r="M15" s="3"/>
      <c r="N15" s="49">
        <v>0</v>
      </c>
      <c r="O15" s="50">
        <v>0</v>
      </c>
      <c r="P15" s="51"/>
      <c r="Q15" s="52">
        <f>IF($B$4="quarter",SUM((O15/36),(P15/900)),IF($B$4="semester",SUM((O15/24),P15/900)))</f>
        <v>0</v>
      </c>
      <c r="R15" s="3"/>
      <c r="S15" s="49">
        <v>0</v>
      </c>
      <c r="T15" s="50">
        <v>0</v>
      </c>
      <c r="U15" s="51"/>
      <c r="V15" s="52">
        <f>IF($B$4="quarter",SUM((T15/36),(U15/900)),IF($B$4="semester",SUM((T15/24),U15/900)))</f>
        <v>0</v>
      </c>
      <c r="W15" s="3"/>
      <c r="X15" s="49">
        <v>0</v>
      </c>
      <c r="Y15" s="50">
        <v>0</v>
      </c>
      <c r="Z15" s="51"/>
      <c r="AA15" s="52">
        <f>IF($B$4="quarter",SUM((Y15/36),(Z15/900)),IF($B$4="semester",SUM((Y15/24),Z15/900)))</f>
        <v>0</v>
      </c>
      <c r="AB15" s="3"/>
      <c r="AC15" s="49">
        <v>0</v>
      </c>
      <c r="AD15" s="50">
        <v>0</v>
      </c>
      <c r="AE15" s="51"/>
      <c r="AF15" s="52">
        <f>IF($B$4="quarter",SUM((AD15/36),(AE15/900)),IF($B$4="semester",SUM((AD15/24),AE15/900)))</f>
        <v>0</v>
      </c>
      <c r="AG15" s="3"/>
      <c r="AH15" s="49">
        <v>0</v>
      </c>
      <c r="AI15" s="50">
        <v>0</v>
      </c>
      <c r="AJ15" s="51"/>
      <c r="AK15" s="52">
        <f>IF($B$4="quarter",SUM((AI15/36),(AJ15/900)),IF($B$4="semester",SUM((AI15/24),AJ15/900)))</f>
        <v>0</v>
      </c>
      <c r="AL15" s="3"/>
      <c r="AM15" s="49">
        <v>0</v>
      </c>
      <c r="AN15" s="50">
        <v>0</v>
      </c>
      <c r="AO15" s="51"/>
      <c r="AP15" s="52">
        <f>IF($B$4="quarter",SUM((AN15/36),(AO15/900)),IF($B$4="semester",SUM((AN15/24),AO15/900)))</f>
        <v>0</v>
      </c>
      <c r="AQ15" s="3"/>
      <c r="AR15" s="49">
        <v>0</v>
      </c>
      <c r="AS15" s="50">
        <v>0</v>
      </c>
      <c r="AT15" s="51"/>
      <c r="AU15" s="52">
        <f>IF($B$4="quarter",SUM((AS15/36),(AT15/900)),IF($B$4="semester",SUM((AS15/24),AT15/900)))</f>
        <v>0</v>
      </c>
      <c r="AV15" s="3"/>
      <c r="AW15" s="49">
        <v>0</v>
      </c>
      <c r="AX15" s="50">
        <v>0</v>
      </c>
      <c r="AY15" s="51"/>
      <c r="AZ15" s="52">
        <f>IF($B$4="quarter",SUM((AX15/36),(AY15/900)),IF($B$4="semester",SUM((AX15/24),AY15/900)))</f>
        <v>0</v>
      </c>
      <c r="BA15" s="3"/>
      <c r="BB15" s="1">
        <v>0</v>
      </c>
      <c r="BC15" s="2">
        <v>0</v>
      </c>
      <c r="BD15" s="51"/>
      <c r="BE15" s="52">
        <f>IF($B$4="quarter",SUM((BC15/36),(BD15/900)),IF($B$4="semester",SUM((BC15/24),BD15/900)))</f>
        <v>0</v>
      </c>
      <c r="BF15" s="4"/>
    </row>
    <row r="16" spans="2:58" x14ac:dyDescent="0.25">
      <c r="B16" s="392"/>
      <c r="C16" s="62" t="s">
        <v>23</v>
      </c>
      <c r="D16" s="54">
        <f t="shared" ref="D16:AI16" si="4">SUM(D14:D15)</f>
        <v>0</v>
      </c>
      <c r="E16" s="52">
        <f t="shared" si="4"/>
        <v>0</v>
      </c>
      <c r="F16" s="51">
        <f t="shared" si="4"/>
        <v>0</v>
      </c>
      <c r="G16" s="52">
        <f t="shared" si="4"/>
        <v>0</v>
      </c>
      <c r="H16" s="55">
        <f t="shared" si="4"/>
        <v>0</v>
      </c>
      <c r="I16" s="54">
        <f t="shared" si="4"/>
        <v>0</v>
      </c>
      <c r="J16" s="52">
        <f t="shared" si="4"/>
        <v>0</v>
      </c>
      <c r="K16" s="51">
        <f t="shared" si="4"/>
        <v>0</v>
      </c>
      <c r="L16" s="52">
        <f t="shared" si="4"/>
        <v>0</v>
      </c>
      <c r="M16" s="55">
        <f t="shared" si="4"/>
        <v>0</v>
      </c>
      <c r="N16" s="54">
        <f t="shared" si="4"/>
        <v>0</v>
      </c>
      <c r="O16" s="52">
        <f t="shared" si="4"/>
        <v>0</v>
      </c>
      <c r="P16" s="51">
        <f t="shared" si="4"/>
        <v>0</v>
      </c>
      <c r="Q16" s="52">
        <f t="shared" si="4"/>
        <v>0</v>
      </c>
      <c r="R16" s="55">
        <f t="shared" si="4"/>
        <v>0</v>
      </c>
      <c r="S16" s="54">
        <f t="shared" si="4"/>
        <v>0</v>
      </c>
      <c r="T16" s="52">
        <f t="shared" si="4"/>
        <v>0</v>
      </c>
      <c r="U16" s="51">
        <f t="shared" si="4"/>
        <v>0</v>
      </c>
      <c r="V16" s="52">
        <f t="shared" si="4"/>
        <v>0</v>
      </c>
      <c r="W16" s="55">
        <f t="shared" si="4"/>
        <v>0</v>
      </c>
      <c r="X16" s="54">
        <f t="shared" si="4"/>
        <v>0</v>
      </c>
      <c r="Y16" s="52">
        <f t="shared" si="4"/>
        <v>0</v>
      </c>
      <c r="Z16" s="51">
        <f t="shared" si="4"/>
        <v>0</v>
      </c>
      <c r="AA16" s="52">
        <f t="shared" si="4"/>
        <v>0</v>
      </c>
      <c r="AB16" s="55">
        <f t="shared" si="4"/>
        <v>0</v>
      </c>
      <c r="AC16" s="54">
        <f t="shared" si="4"/>
        <v>0</v>
      </c>
      <c r="AD16" s="52">
        <f t="shared" si="4"/>
        <v>0</v>
      </c>
      <c r="AE16" s="51">
        <f t="shared" si="4"/>
        <v>0</v>
      </c>
      <c r="AF16" s="52">
        <f t="shared" si="4"/>
        <v>0</v>
      </c>
      <c r="AG16" s="55">
        <f t="shared" si="4"/>
        <v>0</v>
      </c>
      <c r="AH16" s="54">
        <f t="shared" si="4"/>
        <v>0</v>
      </c>
      <c r="AI16" s="52">
        <f t="shared" si="4"/>
        <v>0</v>
      </c>
      <c r="AJ16" s="51">
        <f t="shared" ref="AJ16:BF16" si="5">SUM(AJ14:AJ15)</f>
        <v>0</v>
      </c>
      <c r="AK16" s="52">
        <f t="shared" si="5"/>
        <v>0</v>
      </c>
      <c r="AL16" s="55">
        <f t="shared" si="5"/>
        <v>0</v>
      </c>
      <c r="AM16" s="54">
        <f t="shared" si="5"/>
        <v>0</v>
      </c>
      <c r="AN16" s="52">
        <f t="shared" si="5"/>
        <v>0</v>
      </c>
      <c r="AO16" s="51">
        <f t="shared" si="5"/>
        <v>0</v>
      </c>
      <c r="AP16" s="52">
        <f t="shared" si="5"/>
        <v>0</v>
      </c>
      <c r="AQ16" s="55">
        <f t="shared" si="5"/>
        <v>0</v>
      </c>
      <c r="AR16" s="54">
        <f t="shared" si="5"/>
        <v>0</v>
      </c>
      <c r="AS16" s="52">
        <f t="shared" si="5"/>
        <v>0</v>
      </c>
      <c r="AT16" s="51">
        <f t="shared" si="5"/>
        <v>0</v>
      </c>
      <c r="AU16" s="52">
        <f t="shared" si="5"/>
        <v>0</v>
      </c>
      <c r="AV16" s="55">
        <f t="shared" si="5"/>
        <v>0</v>
      </c>
      <c r="AW16" s="54">
        <f t="shared" si="5"/>
        <v>0</v>
      </c>
      <c r="AX16" s="52">
        <f t="shared" si="5"/>
        <v>0</v>
      </c>
      <c r="AY16" s="51">
        <f t="shared" si="5"/>
        <v>0</v>
      </c>
      <c r="AZ16" s="52">
        <f t="shared" si="5"/>
        <v>0</v>
      </c>
      <c r="BA16" s="55">
        <f t="shared" si="5"/>
        <v>0</v>
      </c>
      <c r="BB16" s="54">
        <f t="shared" si="5"/>
        <v>0</v>
      </c>
      <c r="BC16" s="52">
        <f t="shared" si="5"/>
        <v>0</v>
      </c>
      <c r="BD16" s="51">
        <f t="shared" si="5"/>
        <v>0</v>
      </c>
      <c r="BE16" s="52">
        <f t="shared" si="5"/>
        <v>0</v>
      </c>
      <c r="BF16" s="55">
        <f t="shared" si="5"/>
        <v>0</v>
      </c>
    </row>
    <row r="17" spans="2:58" x14ac:dyDescent="0.25">
      <c r="B17" s="56"/>
      <c r="C17" s="57"/>
      <c r="D17" s="58"/>
      <c r="E17" s="59"/>
      <c r="F17" s="59"/>
      <c r="G17" s="59"/>
      <c r="H17" s="5"/>
      <c r="I17" s="58"/>
      <c r="J17" s="59"/>
      <c r="K17" s="59"/>
      <c r="L17" s="59"/>
      <c r="M17" s="5"/>
      <c r="N17" s="58"/>
      <c r="O17" s="59"/>
      <c r="P17" s="59"/>
      <c r="Q17" s="59"/>
      <c r="R17" s="5"/>
      <c r="S17" s="58"/>
      <c r="T17" s="59"/>
      <c r="U17" s="59"/>
      <c r="V17" s="59"/>
      <c r="W17" s="5"/>
      <c r="X17" s="58"/>
      <c r="Y17" s="59"/>
      <c r="Z17" s="59"/>
      <c r="AA17" s="59"/>
      <c r="AB17" s="5"/>
      <c r="AC17" s="58"/>
      <c r="AD17" s="59"/>
      <c r="AE17" s="59"/>
      <c r="AF17" s="59"/>
      <c r="AG17" s="5"/>
      <c r="AH17" s="58"/>
      <c r="AI17" s="59"/>
      <c r="AJ17" s="59"/>
      <c r="AK17" s="59"/>
      <c r="AL17" s="5"/>
      <c r="AM17" s="58"/>
      <c r="AN17" s="59"/>
      <c r="AO17" s="59"/>
      <c r="AP17" s="59"/>
      <c r="AQ17" s="5"/>
      <c r="AR17" s="58"/>
      <c r="AS17" s="59"/>
      <c r="AT17" s="59"/>
      <c r="AU17" s="59"/>
      <c r="AV17" s="5"/>
      <c r="AW17" s="58"/>
      <c r="AX17" s="59"/>
      <c r="AY17" s="59"/>
      <c r="AZ17" s="59"/>
      <c r="BA17" s="5"/>
      <c r="BB17" s="58"/>
      <c r="BC17" s="59"/>
      <c r="BD17" s="59"/>
      <c r="BE17" s="59"/>
      <c r="BF17" s="5"/>
    </row>
    <row r="18" spans="2:58" x14ac:dyDescent="0.25">
      <c r="B18" s="390" t="s">
        <v>26</v>
      </c>
      <c r="C18" s="60" t="s">
        <v>21</v>
      </c>
      <c r="D18" s="54">
        <f t="shared" ref="D18:G19" si="6">D14+D10+D6</f>
        <v>0</v>
      </c>
      <c r="E18" s="52">
        <f t="shared" si="6"/>
        <v>312973</v>
      </c>
      <c r="F18" s="51">
        <f t="shared" si="6"/>
        <v>0</v>
      </c>
      <c r="G18" s="52">
        <f t="shared" si="6"/>
        <v>10662.1</v>
      </c>
      <c r="H18" s="36">
        <f>H6+H10+H14</f>
        <v>64512313</v>
      </c>
      <c r="I18" s="54">
        <f t="shared" ref="I18:L19" si="7">I14+I10+I6</f>
        <v>0</v>
      </c>
      <c r="J18" s="52">
        <f t="shared" si="7"/>
        <v>319086</v>
      </c>
      <c r="K18" s="51">
        <f t="shared" si="7"/>
        <v>0</v>
      </c>
      <c r="L18" s="52">
        <f t="shared" si="7"/>
        <v>10892.575000000001</v>
      </c>
      <c r="M18" s="36">
        <f>M6+M10+M14</f>
        <v>65761544</v>
      </c>
      <c r="N18" s="54">
        <f t="shared" ref="N18:Q19" si="8">N14+N10+N6</f>
        <v>15617</v>
      </c>
      <c r="O18" s="52">
        <f t="shared" si="8"/>
        <v>318349</v>
      </c>
      <c r="P18" s="51">
        <f t="shared" si="8"/>
        <v>0</v>
      </c>
      <c r="Q18" s="52">
        <f t="shared" si="8"/>
        <v>10878.833333333334</v>
      </c>
      <c r="R18" s="36">
        <f>R6+R10+R14</f>
        <v>65258847</v>
      </c>
      <c r="S18" s="54">
        <f t="shared" ref="S18:V19" si="9">S14+S10+S6</f>
        <v>15844</v>
      </c>
      <c r="T18" s="52">
        <f t="shared" si="9"/>
        <v>318061</v>
      </c>
      <c r="U18" s="51">
        <f t="shared" si="9"/>
        <v>0</v>
      </c>
      <c r="V18" s="52">
        <f t="shared" si="9"/>
        <v>10859.933333333332</v>
      </c>
      <c r="W18" s="36">
        <f>W6+W10+W14</f>
        <v>68205345</v>
      </c>
      <c r="X18" s="54">
        <f t="shared" ref="X18:AA19" si="10">X14+X10+X6</f>
        <v>15871</v>
      </c>
      <c r="Y18" s="52">
        <f t="shared" si="10"/>
        <v>326381</v>
      </c>
      <c r="Z18" s="51">
        <f t="shared" si="10"/>
        <v>0</v>
      </c>
      <c r="AA18" s="52">
        <f t="shared" si="10"/>
        <v>11160.158333333335</v>
      </c>
      <c r="AB18" s="36">
        <f>AB6+AB10+AB14</f>
        <v>71900313</v>
      </c>
      <c r="AC18" s="54">
        <f t="shared" ref="AC18:AF19" si="11">AC14+AC10+AC6</f>
        <v>15891</v>
      </c>
      <c r="AD18" s="52">
        <f t="shared" si="11"/>
        <v>328072</v>
      </c>
      <c r="AE18" s="51">
        <f t="shared" si="11"/>
        <v>0</v>
      </c>
      <c r="AF18" s="52">
        <f t="shared" si="11"/>
        <v>11219.375</v>
      </c>
      <c r="AG18" s="36">
        <f>AG6+AG10+AG14</f>
        <v>79507788</v>
      </c>
      <c r="AH18" s="54">
        <f t="shared" ref="AH18:AK19" si="12">AH14+AH10+AH6</f>
        <v>15659</v>
      </c>
      <c r="AI18" s="52">
        <f t="shared" si="12"/>
        <v>323119</v>
      </c>
      <c r="AJ18" s="51">
        <f t="shared" si="12"/>
        <v>0</v>
      </c>
      <c r="AK18" s="52">
        <f t="shared" si="12"/>
        <v>11045.650000000001</v>
      </c>
      <c r="AL18" s="36">
        <f>AL6+AL10+AL14</f>
        <v>82038070</v>
      </c>
      <c r="AM18" s="54">
        <f t="shared" ref="AM18:AP19" si="13">AM14+AM10+AM6</f>
        <v>15363</v>
      </c>
      <c r="AN18" s="52">
        <f t="shared" si="13"/>
        <v>320335</v>
      </c>
      <c r="AO18" s="51">
        <f t="shared" si="13"/>
        <v>0</v>
      </c>
      <c r="AP18" s="52">
        <f t="shared" si="13"/>
        <v>10953.366666666667</v>
      </c>
      <c r="AQ18" s="36">
        <f>AQ6+AQ10+AQ14</f>
        <v>83623619</v>
      </c>
      <c r="AR18" s="54">
        <f t="shared" ref="AR18:AU19" si="14">AR14+AR10+AR6</f>
        <v>15871</v>
      </c>
      <c r="AS18" s="52">
        <f t="shared" si="14"/>
        <v>333466</v>
      </c>
      <c r="AT18" s="51">
        <f t="shared" si="14"/>
        <v>0</v>
      </c>
      <c r="AU18" s="52">
        <f t="shared" si="14"/>
        <v>11425.841666666665</v>
      </c>
      <c r="AV18" s="36">
        <f>AV6+AV10+AV14</f>
        <v>91271501</v>
      </c>
      <c r="AW18" s="54">
        <f t="shared" ref="AW18:AZ19" si="15">AW14+AW10+AW6</f>
        <v>15245</v>
      </c>
      <c r="AX18" s="52">
        <f t="shared" si="15"/>
        <v>320739</v>
      </c>
      <c r="AY18" s="51">
        <f t="shared" si="15"/>
        <v>0</v>
      </c>
      <c r="AZ18" s="52">
        <f t="shared" si="15"/>
        <v>10990.633333333333</v>
      </c>
      <c r="BA18" s="36">
        <f>BA6+BA10+BA14</f>
        <v>85685632</v>
      </c>
      <c r="BB18" s="54">
        <f t="shared" ref="BB18:BE19" si="16">BB14+BB10+BB6</f>
        <v>15145</v>
      </c>
      <c r="BC18" s="52">
        <f t="shared" si="16"/>
        <v>317779</v>
      </c>
      <c r="BD18" s="51">
        <f t="shared" si="16"/>
        <v>0</v>
      </c>
      <c r="BE18" s="52">
        <f t="shared" si="16"/>
        <v>10874</v>
      </c>
      <c r="BF18" s="36">
        <f>BF6+BF10+BF14</f>
        <v>84306701</v>
      </c>
    </row>
    <row r="19" spans="2:58" x14ac:dyDescent="0.25">
      <c r="B19" s="391"/>
      <c r="C19" s="60" t="s">
        <v>22</v>
      </c>
      <c r="D19" s="54">
        <f t="shared" si="6"/>
        <v>0</v>
      </c>
      <c r="E19" s="52">
        <f t="shared" si="6"/>
        <v>43599</v>
      </c>
      <c r="F19" s="51">
        <f t="shared" si="6"/>
        <v>0</v>
      </c>
      <c r="G19" s="52">
        <f t="shared" si="6"/>
        <v>1526.7166666666667</v>
      </c>
      <c r="H19" s="36">
        <f>H7+H11+H15</f>
        <v>22370807</v>
      </c>
      <c r="I19" s="54">
        <f t="shared" si="7"/>
        <v>0</v>
      </c>
      <c r="J19" s="52">
        <f t="shared" si="7"/>
        <v>44851</v>
      </c>
      <c r="K19" s="51">
        <f t="shared" si="7"/>
        <v>0</v>
      </c>
      <c r="L19" s="52">
        <f t="shared" si="7"/>
        <v>1575.3916666666667</v>
      </c>
      <c r="M19" s="36">
        <f>M7+M11+M15</f>
        <v>24548712</v>
      </c>
      <c r="N19" s="54">
        <f t="shared" si="8"/>
        <v>2574</v>
      </c>
      <c r="O19" s="52">
        <f t="shared" si="8"/>
        <v>49136</v>
      </c>
      <c r="P19" s="51">
        <f t="shared" si="8"/>
        <v>0</v>
      </c>
      <c r="Q19" s="52">
        <f t="shared" si="8"/>
        <v>1731.2416666666666</v>
      </c>
      <c r="R19" s="36">
        <f>R7+R11+R15</f>
        <v>28633290</v>
      </c>
      <c r="S19" s="54">
        <f t="shared" si="9"/>
        <v>2727</v>
      </c>
      <c r="T19" s="52">
        <f t="shared" si="9"/>
        <v>53433</v>
      </c>
      <c r="U19" s="51">
        <f t="shared" si="9"/>
        <v>0</v>
      </c>
      <c r="V19" s="52">
        <f t="shared" si="9"/>
        <v>1882.6583333333333</v>
      </c>
      <c r="W19" s="36">
        <f>W7+W11+W15</f>
        <v>32431218</v>
      </c>
      <c r="X19" s="54">
        <f t="shared" si="10"/>
        <v>2758</v>
      </c>
      <c r="Y19" s="52">
        <f t="shared" si="10"/>
        <v>54262</v>
      </c>
      <c r="Z19" s="51">
        <f t="shared" si="10"/>
        <v>0</v>
      </c>
      <c r="AA19" s="52">
        <f t="shared" si="10"/>
        <v>1907.0583333333334</v>
      </c>
      <c r="AB19" s="36">
        <f>AB7+AB11+AB15</f>
        <v>33630225</v>
      </c>
      <c r="AC19" s="54">
        <f t="shared" si="11"/>
        <v>2772</v>
      </c>
      <c r="AD19" s="52">
        <f t="shared" si="11"/>
        <v>51416</v>
      </c>
      <c r="AE19" s="51">
        <f t="shared" si="11"/>
        <v>0</v>
      </c>
      <c r="AF19" s="52">
        <f t="shared" si="11"/>
        <v>1797.1000000000001</v>
      </c>
      <c r="AG19" s="36">
        <f>AG7+AG11+AG15</f>
        <v>29524426</v>
      </c>
      <c r="AH19" s="54">
        <f t="shared" si="12"/>
        <v>2523</v>
      </c>
      <c r="AI19" s="52">
        <f t="shared" si="12"/>
        <v>50081</v>
      </c>
      <c r="AJ19" s="51">
        <f t="shared" si="12"/>
        <v>0</v>
      </c>
      <c r="AK19" s="52">
        <f t="shared" si="12"/>
        <v>1741</v>
      </c>
      <c r="AL19" s="36">
        <f>AL7+AL11+AL15</f>
        <v>30052307</v>
      </c>
      <c r="AM19" s="54">
        <f t="shared" si="13"/>
        <v>2550</v>
      </c>
      <c r="AN19" s="52">
        <f t="shared" si="13"/>
        <v>52091</v>
      </c>
      <c r="AO19" s="51">
        <f t="shared" si="13"/>
        <v>0</v>
      </c>
      <c r="AP19" s="52">
        <f t="shared" si="13"/>
        <v>1806.3333333333333</v>
      </c>
      <c r="AQ19" s="36">
        <f>AQ7+AQ11+AQ15</f>
        <v>31937281</v>
      </c>
      <c r="AR19" s="54">
        <f t="shared" si="14"/>
        <v>2761</v>
      </c>
      <c r="AS19" s="52">
        <f t="shared" si="14"/>
        <v>52134</v>
      </c>
      <c r="AT19" s="51">
        <f t="shared" si="14"/>
        <v>0</v>
      </c>
      <c r="AU19" s="52">
        <f t="shared" si="14"/>
        <v>1806.3083333333334</v>
      </c>
      <c r="AV19" s="36">
        <f>AV7+AV11+AV15</f>
        <v>26235257</v>
      </c>
      <c r="AW19" s="54">
        <f t="shared" si="15"/>
        <v>2775</v>
      </c>
      <c r="AX19" s="52">
        <f t="shared" si="15"/>
        <v>50548</v>
      </c>
      <c r="AY19" s="51">
        <f t="shared" si="15"/>
        <v>0</v>
      </c>
      <c r="AZ19" s="52">
        <f t="shared" si="15"/>
        <v>1764.3333333333333</v>
      </c>
      <c r="BA19" s="36">
        <f>BA7+BA11+BA15</f>
        <v>29106423.5</v>
      </c>
      <c r="BB19" s="54">
        <f t="shared" si="16"/>
        <v>2827</v>
      </c>
      <c r="BC19" s="52">
        <f t="shared" si="16"/>
        <v>52371</v>
      </c>
      <c r="BD19" s="51">
        <f t="shared" si="16"/>
        <v>0</v>
      </c>
      <c r="BE19" s="52">
        <f t="shared" si="16"/>
        <v>1836.4583333333335</v>
      </c>
      <c r="BF19" s="36">
        <f>BF7+BF11+BF15</f>
        <v>30755949</v>
      </c>
    </row>
    <row r="20" spans="2:58" x14ac:dyDescent="0.25">
      <c r="B20" s="392"/>
      <c r="C20" s="62" t="s">
        <v>23</v>
      </c>
      <c r="D20" s="54">
        <f t="shared" ref="D20:AI20" si="17">SUM(D18:D19)</f>
        <v>0</v>
      </c>
      <c r="E20" s="52">
        <f t="shared" si="17"/>
        <v>356572</v>
      </c>
      <c r="F20" s="51">
        <f t="shared" si="17"/>
        <v>0</v>
      </c>
      <c r="G20" s="52">
        <f t="shared" si="17"/>
        <v>12188.816666666668</v>
      </c>
      <c r="H20" s="55">
        <f t="shared" si="17"/>
        <v>86883120</v>
      </c>
      <c r="I20" s="54">
        <f t="shared" si="17"/>
        <v>0</v>
      </c>
      <c r="J20" s="52">
        <f t="shared" si="17"/>
        <v>363937</v>
      </c>
      <c r="K20" s="51">
        <f t="shared" si="17"/>
        <v>0</v>
      </c>
      <c r="L20" s="52">
        <f t="shared" si="17"/>
        <v>12467.966666666667</v>
      </c>
      <c r="M20" s="55">
        <f t="shared" si="17"/>
        <v>90310256</v>
      </c>
      <c r="N20" s="54">
        <f t="shared" si="17"/>
        <v>18191</v>
      </c>
      <c r="O20" s="52">
        <f t="shared" si="17"/>
        <v>367485</v>
      </c>
      <c r="P20" s="51">
        <f t="shared" si="17"/>
        <v>0</v>
      </c>
      <c r="Q20" s="52">
        <f t="shared" si="17"/>
        <v>12610.075000000001</v>
      </c>
      <c r="R20" s="55">
        <f t="shared" si="17"/>
        <v>93892137</v>
      </c>
      <c r="S20" s="54">
        <f t="shared" si="17"/>
        <v>18571</v>
      </c>
      <c r="T20" s="52">
        <f t="shared" si="17"/>
        <v>371494</v>
      </c>
      <c r="U20" s="51">
        <f t="shared" si="17"/>
        <v>0</v>
      </c>
      <c r="V20" s="52">
        <f t="shared" si="17"/>
        <v>12742.591666666665</v>
      </c>
      <c r="W20" s="55">
        <f t="shared" si="17"/>
        <v>100636563</v>
      </c>
      <c r="X20" s="54">
        <f t="shared" si="17"/>
        <v>18629</v>
      </c>
      <c r="Y20" s="52">
        <f t="shared" si="17"/>
        <v>380643</v>
      </c>
      <c r="Z20" s="51">
        <f t="shared" si="17"/>
        <v>0</v>
      </c>
      <c r="AA20" s="52">
        <f t="shared" si="17"/>
        <v>13067.216666666667</v>
      </c>
      <c r="AB20" s="55">
        <f t="shared" si="17"/>
        <v>105530538</v>
      </c>
      <c r="AC20" s="54">
        <f t="shared" si="17"/>
        <v>18663</v>
      </c>
      <c r="AD20" s="52">
        <f t="shared" si="17"/>
        <v>379488</v>
      </c>
      <c r="AE20" s="51">
        <f t="shared" si="17"/>
        <v>0</v>
      </c>
      <c r="AF20" s="52">
        <f t="shared" si="17"/>
        <v>13016.475</v>
      </c>
      <c r="AG20" s="55">
        <f t="shared" si="17"/>
        <v>109032214</v>
      </c>
      <c r="AH20" s="54">
        <f t="shared" si="17"/>
        <v>18182</v>
      </c>
      <c r="AI20" s="52">
        <f t="shared" si="17"/>
        <v>373200</v>
      </c>
      <c r="AJ20" s="51">
        <f t="shared" ref="AJ20:BF20" si="18">SUM(AJ18:AJ19)</f>
        <v>0</v>
      </c>
      <c r="AK20" s="52">
        <f t="shared" si="18"/>
        <v>12786.650000000001</v>
      </c>
      <c r="AL20" s="55">
        <f t="shared" si="18"/>
        <v>112090377</v>
      </c>
      <c r="AM20" s="54">
        <f t="shared" si="18"/>
        <v>17913</v>
      </c>
      <c r="AN20" s="52">
        <f t="shared" si="18"/>
        <v>372426</v>
      </c>
      <c r="AO20" s="51">
        <f t="shared" si="18"/>
        <v>0</v>
      </c>
      <c r="AP20" s="52">
        <f t="shared" si="18"/>
        <v>12759.7</v>
      </c>
      <c r="AQ20" s="55">
        <f t="shared" si="18"/>
        <v>115560900</v>
      </c>
      <c r="AR20" s="54">
        <f t="shared" si="18"/>
        <v>18632</v>
      </c>
      <c r="AS20" s="52">
        <f t="shared" si="18"/>
        <v>385600</v>
      </c>
      <c r="AT20" s="51">
        <f t="shared" si="18"/>
        <v>0</v>
      </c>
      <c r="AU20" s="52">
        <f t="shared" si="18"/>
        <v>13232.149999999998</v>
      </c>
      <c r="AV20" s="55">
        <f t="shared" si="18"/>
        <v>117506758</v>
      </c>
      <c r="AW20" s="54">
        <f t="shared" si="18"/>
        <v>18020</v>
      </c>
      <c r="AX20" s="52">
        <f t="shared" si="18"/>
        <v>371287</v>
      </c>
      <c r="AY20" s="51">
        <f t="shared" si="18"/>
        <v>0</v>
      </c>
      <c r="AZ20" s="52">
        <f t="shared" si="18"/>
        <v>12754.966666666667</v>
      </c>
      <c r="BA20" s="55">
        <f t="shared" si="18"/>
        <v>114792055.5</v>
      </c>
      <c r="BB20" s="54">
        <f t="shared" si="18"/>
        <v>17972</v>
      </c>
      <c r="BC20" s="52">
        <f t="shared" si="18"/>
        <v>370150</v>
      </c>
      <c r="BD20" s="51">
        <f t="shared" si="18"/>
        <v>0</v>
      </c>
      <c r="BE20" s="52">
        <f t="shared" si="18"/>
        <v>12710.458333333334</v>
      </c>
      <c r="BF20" s="55">
        <f t="shared" si="18"/>
        <v>115062650</v>
      </c>
    </row>
    <row r="21" spans="2:58" ht="24.75" customHeight="1" x14ac:dyDescent="0.25">
      <c r="B21" s="63" t="s">
        <v>27</v>
      </c>
      <c r="D21" s="58"/>
      <c r="E21" s="59"/>
      <c r="F21" s="59"/>
      <c r="G21" s="59"/>
      <c r="H21" s="64"/>
      <c r="I21" s="65"/>
      <c r="J21" s="59"/>
      <c r="K21" s="59"/>
      <c r="L21" s="59"/>
      <c r="M21" s="66"/>
      <c r="N21" s="58"/>
      <c r="O21" s="59"/>
      <c r="P21" s="59"/>
      <c r="Q21" s="59"/>
      <c r="R21" s="66"/>
      <c r="S21" s="58"/>
      <c r="T21" s="59"/>
      <c r="U21" s="59"/>
      <c r="V21" s="59"/>
      <c r="W21" s="66"/>
      <c r="X21" s="58"/>
      <c r="Y21" s="59"/>
      <c r="Z21" s="59"/>
      <c r="AA21" s="59"/>
      <c r="AB21" s="66"/>
      <c r="AC21" s="58"/>
      <c r="AD21" s="59"/>
      <c r="AE21" s="59"/>
      <c r="AF21" s="59"/>
      <c r="AG21" s="66"/>
      <c r="AH21" s="58"/>
      <c r="AI21" s="59"/>
      <c r="AJ21" s="59"/>
      <c r="AK21" s="59"/>
      <c r="AL21" s="66"/>
      <c r="AM21" s="58"/>
      <c r="AN21" s="59"/>
      <c r="AO21" s="59"/>
      <c r="AP21" s="59"/>
      <c r="AQ21" s="66"/>
      <c r="AR21" s="58"/>
      <c r="AS21" s="59"/>
      <c r="AT21" s="59"/>
      <c r="AU21" s="59"/>
      <c r="AV21" s="66"/>
      <c r="AW21" s="58"/>
      <c r="AX21" s="59"/>
      <c r="AY21" s="59"/>
      <c r="AZ21" s="59"/>
      <c r="BA21" s="66"/>
      <c r="BB21" s="58"/>
      <c r="BC21" s="59"/>
      <c r="BD21" s="59"/>
      <c r="BE21" s="59"/>
      <c r="BF21" s="66"/>
    </row>
    <row r="22" spans="2:58" x14ac:dyDescent="0.25">
      <c r="B22" s="67" t="s">
        <v>28</v>
      </c>
      <c r="D22" s="58"/>
      <c r="E22" s="59"/>
      <c r="F22" s="59"/>
      <c r="G22" s="59"/>
      <c r="H22" s="68">
        <v>1347131</v>
      </c>
      <c r="I22" s="65"/>
      <c r="J22" s="59"/>
      <c r="K22" s="59"/>
      <c r="L22" s="59"/>
      <c r="M22" s="69">
        <v>2192353</v>
      </c>
      <c r="N22" s="58"/>
      <c r="O22" s="59"/>
      <c r="P22" s="59"/>
      <c r="Q22" s="59"/>
      <c r="R22" s="69">
        <v>1847282</v>
      </c>
      <c r="S22" s="58"/>
      <c r="T22" s="59"/>
      <c r="U22" s="59"/>
      <c r="V22" s="59"/>
      <c r="W22" s="69">
        <v>1838320</v>
      </c>
      <c r="X22" s="58"/>
      <c r="Y22" s="59"/>
      <c r="Z22" s="59"/>
      <c r="AA22" s="59"/>
      <c r="AB22" s="69">
        <v>3039904</v>
      </c>
      <c r="AC22" s="58"/>
      <c r="AD22" s="59"/>
      <c r="AE22" s="59"/>
      <c r="AF22" s="59"/>
      <c r="AG22" s="69">
        <v>2335518</v>
      </c>
      <c r="AH22" s="58"/>
      <c r="AI22" s="59"/>
      <c r="AJ22" s="59"/>
      <c r="AK22" s="59"/>
      <c r="AL22" s="69">
        <v>2903265</v>
      </c>
      <c r="AM22" s="58"/>
      <c r="AN22" s="59"/>
      <c r="AO22" s="59"/>
      <c r="AP22" s="59"/>
      <c r="AQ22" s="69">
        <v>2034972</v>
      </c>
      <c r="AR22" s="58"/>
      <c r="AS22" s="59"/>
      <c r="AT22" s="59"/>
      <c r="AU22" s="59"/>
      <c r="AV22" s="69">
        <v>2350135</v>
      </c>
      <c r="AW22" s="58"/>
      <c r="AX22" s="59"/>
      <c r="AY22" s="59"/>
      <c r="AZ22" s="59"/>
      <c r="BA22" s="69">
        <v>2693834</v>
      </c>
      <c r="BB22" s="58"/>
      <c r="BC22" s="59"/>
      <c r="BD22" s="59"/>
      <c r="BE22" s="59"/>
      <c r="BF22" s="6">
        <v>2337361</v>
      </c>
    </row>
    <row r="23" spans="2:58" x14ac:dyDescent="0.25">
      <c r="B23" s="67" t="s">
        <v>29</v>
      </c>
      <c r="D23" s="58"/>
      <c r="E23" s="59"/>
      <c r="F23" s="59"/>
      <c r="G23" s="59"/>
      <c r="H23" s="68">
        <v>16773858</v>
      </c>
      <c r="I23" s="65"/>
      <c r="J23" s="59"/>
      <c r="K23" s="59"/>
      <c r="L23" s="59"/>
      <c r="M23" s="69">
        <v>17803935</v>
      </c>
      <c r="N23" s="58"/>
      <c r="O23" s="59"/>
      <c r="P23" s="59"/>
      <c r="Q23" s="59"/>
      <c r="R23" s="69">
        <v>18661893</v>
      </c>
      <c r="S23" s="58"/>
      <c r="T23" s="65"/>
      <c r="U23" s="59"/>
      <c r="V23" s="65"/>
      <c r="W23" s="69">
        <v>20320382</v>
      </c>
      <c r="X23" s="58"/>
      <c r="Y23" s="65"/>
      <c r="Z23" s="59"/>
      <c r="AA23" s="65"/>
      <c r="AB23" s="69">
        <v>21556177</v>
      </c>
      <c r="AC23" s="58"/>
      <c r="AD23" s="65"/>
      <c r="AE23" s="59"/>
      <c r="AF23" s="65"/>
      <c r="AG23" s="69">
        <v>23288433</v>
      </c>
      <c r="AH23" s="58"/>
      <c r="AI23" s="65"/>
      <c r="AJ23" s="59"/>
      <c r="AK23" s="65"/>
      <c r="AL23" s="69">
        <v>24349067</v>
      </c>
      <c r="AM23" s="58"/>
      <c r="AN23" s="65"/>
      <c r="AO23" s="59"/>
      <c r="AP23" s="65"/>
      <c r="AQ23" s="69">
        <f>3986587+21843086</f>
        <v>25829673</v>
      </c>
      <c r="AR23" s="58"/>
      <c r="AS23" s="65"/>
      <c r="AT23" s="59"/>
      <c r="AU23" s="65"/>
      <c r="AV23" s="69">
        <v>25151330.709999993</v>
      </c>
      <c r="AW23" s="58"/>
      <c r="AX23" s="65"/>
      <c r="AY23" s="59"/>
      <c r="AZ23" s="65"/>
      <c r="BA23" s="69">
        <v>28087231.350000001</v>
      </c>
      <c r="BB23" s="58"/>
      <c r="BC23" s="65"/>
      <c r="BD23" s="59"/>
      <c r="BE23" s="65"/>
      <c r="BF23" s="6">
        <v>25881236</v>
      </c>
    </row>
    <row r="24" spans="2:58" x14ac:dyDescent="0.25">
      <c r="B24" s="67" t="s">
        <v>30</v>
      </c>
      <c r="D24" s="58"/>
      <c r="E24" s="59"/>
      <c r="F24" s="59"/>
      <c r="G24" s="59"/>
      <c r="H24" s="70">
        <f>H20-H22-H23</f>
        <v>68762131</v>
      </c>
      <c r="I24" s="65"/>
      <c r="J24" s="59"/>
      <c r="K24" s="59"/>
      <c r="L24" s="59"/>
      <c r="M24" s="70">
        <f>M20-M22-M23</f>
        <v>70313968</v>
      </c>
      <c r="N24" s="58"/>
      <c r="O24" s="59"/>
      <c r="P24" s="59"/>
      <c r="Q24" s="59"/>
      <c r="R24" s="70">
        <f>R20-R22-R23</f>
        <v>73382962</v>
      </c>
      <c r="S24" s="58"/>
      <c r="T24" s="59"/>
      <c r="U24" s="59"/>
      <c r="V24" s="59"/>
      <c r="W24" s="70">
        <f>W20-W22-W23</f>
        <v>78477861</v>
      </c>
      <c r="X24" s="58"/>
      <c r="Y24" s="59"/>
      <c r="Z24" s="59"/>
      <c r="AA24" s="59"/>
      <c r="AB24" s="70">
        <f>AB20-AB22-AB23</f>
        <v>80934457</v>
      </c>
      <c r="AC24" s="58"/>
      <c r="AD24" s="59"/>
      <c r="AE24" s="59"/>
      <c r="AF24" s="59"/>
      <c r="AG24" s="70">
        <f>AG20-AG22-AG23</f>
        <v>83408263</v>
      </c>
      <c r="AH24" s="58"/>
      <c r="AI24" s="59"/>
      <c r="AJ24" s="59"/>
      <c r="AK24" s="59"/>
      <c r="AL24" s="70">
        <f>AL20-AL22-AL23</f>
        <v>84838045</v>
      </c>
      <c r="AM24" s="58"/>
      <c r="AN24" s="59"/>
      <c r="AO24" s="59"/>
      <c r="AP24" s="59"/>
      <c r="AQ24" s="70">
        <f>AQ20-AQ22-AQ23</f>
        <v>87696255</v>
      </c>
      <c r="AR24" s="58"/>
      <c r="AS24" s="59"/>
      <c r="AT24" s="59"/>
      <c r="AU24" s="59"/>
      <c r="AV24" s="70">
        <f>AV20-AV22-AV23</f>
        <v>90005292.290000007</v>
      </c>
      <c r="AW24" s="58"/>
      <c r="AX24" s="59"/>
      <c r="AY24" s="59"/>
      <c r="AZ24" s="59"/>
      <c r="BA24" s="70">
        <f>BA20-BA22-BA23</f>
        <v>84010990.150000006</v>
      </c>
      <c r="BB24" s="58"/>
      <c r="BC24" s="59"/>
      <c r="BD24" s="59"/>
      <c r="BE24" s="59"/>
      <c r="BF24" s="70">
        <f>BF20-BF22-BF23</f>
        <v>86844053</v>
      </c>
    </row>
    <row r="25" spans="2:58" x14ac:dyDescent="0.25">
      <c r="B25" s="67"/>
      <c r="D25" s="58"/>
      <c r="E25" s="59"/>
      <c r="F25" s="59"/>
      <c r="G25" s="59"/>
      <c r="H25" s="64"/>
      <c r="I25" s="65"/>
      <c r="J25" s="59"/>
      <c r="K25" s="59"/>
      <c r="L25" s="59"/>
      <c r="M25" s="66"/>
      <c r="N25" s="58"/>
      <c r="O25" s="59"/>
      <c r="P25" s="59"/>
      <c r="Q25" s="59"/>
      <c r="R25" s="66"/>
      <c r="S25" s="58"/>
      <c r="T25" s="59"/>
      <c r="U25" s="59"/>
      <c r="V25" s="59"/>
      <c r="W25" s="66"/>
      <c r="X25" s="58"/>
      <c r="Y25" s="59"/>
      <c r="Z25" s="59"/>
      <c r="AA25" s="59"/>
      <c r="AB25" s="66"/>
      <c r="AC25" s="58"/>
      <c r="AD25" s="59"/>
      <c r="AE25" s="59"/>
      <c r="AF25" s="59"/>
      <c r="AG25" s="66"/>
      <c r="AH25" s="58"/>
      <c r="AI25" s="59"/>
      <c r="AJ25" s="59"/>
      <c r="AK25" s="59"/>
      <c r="AL25" s="66"/>
      <c r="AM25" s="58"/>
      <c r="AN25" s="59"/>
      <c r="AO25" s="59"/>
      <c r="AP25" s="59"/>
      <c r="AQ25" s="66"/>
      <c r="AR25" s="58"/>
      <c r="AS25" s="59"/>
      <c r="AT25" s="59"/>
      <c r="AU25" s="59"/>
      <c r="AV25" s="66"/>
      <c r="AW25" s="58"/>
      <c r="AX25" s="59"/>
      <c r="AY25" s="59"/>
      <c r="AZ25" s="59"/>
      <c r="BA25" s="66"/>
      <c r="BB25" s="58"/>
      <c r="BC25" s="59"/>
      <c r="BD25" s="59"/>
      <c r="BE25" s="59"/>
      <c r="BF25" s="66"/>
    </row>
    <row r="26" spans="2:58" ht="11.25" customHeight="1" x14ac:dyDescent="0.25">
      <c r="B26" s="71"/>
      <c r="C26" s="71"/>
      <c r="D26" s="72"/>
      <c r="E26" s="71"/>
      <c r="F26" s="71"/>
      <c r="G26" s="71"/>
      <c r="H26" s="73"/>
      <c r="I26" s="74"/>
      <c r="J26" s="71"/>
      <c r="K26" s="71"/>
      <c r="L26" s="71"/>
      <c r="M26" s="75"/>
      <c r="N26" s="72"/>
      <c r="O26" s="71"/>
      <c r="P26" s="71"/>
      <c r="Q26" s="71"/>
      <c r="R26" s="75"/>
      <c r="S26" s="72"/>
      <c r="T26" s="71"/>
      <c r="U26" s="71"/>
      <c r="V26" s="71"/>
      <c r="W26" s="75"/>
      <c r="X26" s="72"/>
      <c r="Y26" s="71"/>
      <c r="Z26" s="71"/>
      <c r="AA26" s="71"/>
      <c r="AB26" s="75"/>
      <c r="AC26" s="72"/>
      <c r="AD26" s="71"/>
      <c r="AE26" s="71"/>
      <c r="AF26" s="71"/>
      <c r="AG26" s="75"/>
      <c r="AH26" s="72"/>
      <c r="AI26" s="71"/>
      <c r="AJ26" s="71"/>
      <c r="AK26" s="71"/>
      <c r="AL26" s="75"/>
      <c r="AM26" s="72"/>
      <c r="AN26" s="71"/>
      <c r="AO26" s="71"/>
      <c r="AP26" s="71"/>
      <c r="AQ26" s="75"/>
      <c r="AR26" s="72"/>
      <c r="AS26" s="71"/>
      <c r="AT26" s="71"/>
      <c r="AU26" s="71"/>
      <c r="AV26" s="75"/>
      <c r="AW26" s="72"/>
      <c r="AX26" s="71"/>
      <c r="AY26" s="71"/>
      <c r="AZ26" s="71"/>
      <c r="BA26" s="75"/>
      <c r="BB26" s="72"/>
      <c r="BC26" s="71"/>
      <c r="BD26" s="71"/>
      <c r="BE26" s="71"/>
      <c r="BF26" s="75"/>
    </row>
    <row r="27" spans="2:58" ht="51" customHeight="1" x14ac:dyDescent="0.25">
      <c r="B27" s="393" t="s">
        <v>31</v>
      </c>
      <c r="C27" s="393"/>
      <c r="D27" s="76"/>
      <c r="I27" s="78"/>
      <c r="M27" s="79"/>
      <c r="N27" s="76"/>
      <c r="R27" s="79"/>
      <c r="S27" s="76"/>
      <c r="W27" s="79"/>
      <c r="X27" s="76"/>
      <c r="AB27" s="79"/>
      <c r="AC27" s="76"/>
      <c r="AG27" s="79"/>
      <c r="AH27" s="76"/>
      <c r="AL27" s="79"/>
      <c r="AM27" s="76"/>
      <c r="AQ27" s="79"/>
      <c r="AR27" s="76"/>
      <c r="AV27" s="79"/>
      <c r="AW27" s="76"/>
      <c r="BA27" s="79"/>
      <c r="BB27" s="76"/>
      <c r="BF27" s="79"/>
    </row>
    <row r="28" spans="2:58" x14ac:dyDescent="0.25">
      <c r="B28" s="394" t="s">
        <v>32</v>
      </c>
      <c r="C28" s="60" t="s">
        <v>21</v>
      </c>
      <c r="D28" s="49">
        <v>0</v>
      </c>
      <c r="E28" s="50">
        <v>0</v>
      </c>
      <c r="F28" s="51"/>
      <c r="G28" s="52">
        <f>IF($B$4="quarter",SUM((E28/45),(F28/900)),IF($B$4="semester",SUM((E28/30),F28/900)))</f>
        <v>0</v>
      </c>
      <c r="H28" s="80"/>
      <c r="I28" s="61">
        <v>0</v>
      </c>
      <c r="J28" s="50">
        <v>0</v>
      </c>
      <c r="K28" s="51"/>
      <c r="L28" s="52">
        <f>IF($B$4="quarter",SUM((J28/45),(K28/900)),IF($B$4="semester",SUM((J28/30),K28/900)))</f>
        <v>0</v>
      </c>
      <c r="M28" s="80"/>
      <c r="N28" s="49">
        <v>0</v>
      </c>
      <c r="O28" s="50">
        <v>0</v>
      </c>
      <c r="P28" s="51"/>
      <c r="Q28" s="52">
        <f>IF($B$4="quarter",SUM((O28/45),(P28/900)),IF($B$4="semester",SUM((O28/30),P28/900)))</f>
        <v>0</v>
      </c>
      <c r="R28" s="80"/>
      <c r="S28" s="49">
        <v>0</v>
      </c>
      <c r="T28" s="50">
        <v>0</v>
      </c>
      <c r="U28" s="51"/>
      <c r="V28" s="52">
        <f>IF($B$4="quarter",SUM((T28/45),(U28/900)),IF($B$4="semester",SUM((T28/30),U28/900)))</f>
        <v>0</v>
      </c>
      <c r="W28" s="80"/>
      <c r="X28" s="49">
        <v>0</v>
      </c>
      <c r="Y28" s="50">
        <v>0</v>
      </c>
      <c r="Z28" s="51"/>
      <c r="AA28" s="52">
        <f>IF($B$4="quarter",SUM((Y28/45),(Z28/900)),IF($B$4="semester",SUM((Y28/30),Z28/900)))</f>
        <v>0</v>
      </c>
      <c r="AB28" s="80"/>
      <c r="AC28" s="49">
        <v>0</v>
      </c>
      <c r="AD28" s="50">
        <v>0</v>
      </c>
      <c r="AE28" s="51"/>
      <c r="AF28" s="52">
        <f>IF($B$4="quarter",SUM((AD28/45),(AE28/900)),IF($B$4="semester",SUM((AD28/30),AE28/900)))</f>
        <v>0</v>
      </c>
      <c r="AG28" s="80"/>
      <c r="AH28" s="49">
        <v>0</v>
      </c>
      <c r="AI28" s="50">
        <v>0</v>
      </c>
      <c r="AJ28" s="51"/>
      <c r="AK28" s="52">
        <f>IF($B$4="quarter",SUM((AI28/45),(AJ28/900)),IF($B$4="semester",SUM((AI28/30),AJ28/900)))</f>
        <v>0</v>
      </c>
      <c r="AL28" s="80"/>
      <c r="AM28" s="49">
        <v>0</v>
      </c>
      <c r="AN28" s="50">
        <v>0</v>
      </c>
      <c r="AO28" s="51"/>
      <c r="AP28" s="52">
        <f>IF($B$4="quarter",SUM((AN28/45),(AO28/900)),IF($B$4="semester",SUM((AN28/30),AO28/900)))</f>
        <v>0</v>
      </c>
      <c r="AQ28" s="80"/>
      <c r="AR28" s="49">
        <v>0</v>
      </c>
      <c r="AS28" s="50">
        <v>0</v>
      </c>
      <c r="AT28" s="51"/>
      <c r="AU28" s="52">
        <f>IF($B$4="quarter",SUM((AS28/45),(AT28/900)),IF($B$4="semester",SUM((AS28/30),AT28/900)))</f>
        <v>0</v>
      </c>
      <c r="AV28" s="80"/>
      <c r="AW28" s="49" t="s">
        <v>138</v>
      </c>
      <c r="AX28" s="50"/>
      <c r="AY28" s="51"/>
      <c r="AZ28" s="52">
        <f>IF($B$4="quarter",SUM((AX28/45),(AY28/900)),IF($B$4="semester",SUM((AX28/30),AY28/900)))</f>
        <v>0</v>
      </c>
      <c r="BA28" s="80"/>
      <c r="BB28" s="1">
        <v>0</v>
      </c>
      <c r="BC28" s="2">
        <v>0</v>
      </c>
      <c r="BD28" s="51"/>
      <c r="BE28" s="52">
        <f>IF($B$4="quarter",SUM((BC28/45),(BD28/900)),IF($B$4="semester",SUM((BC28/30),BD28/900)))</f>
        <v>0</v>
      </c>
      <c r="BF28" s="80"/>
    </row>
    <row r="29" spans="2:58" x14ac:dyDescent="0.25">
      <c r="B29" s="395"/>
      <c r="C29" s="60" t="s">
        <v>22</v>
      </c>
      <c r="D29" s="49">
        <v>0</v>
      </c>
      <c r="E29" s="50">
        <v>0</v>
      </c>
      <c r="F29" s="51"/>
      <c r="G29" s="52">
        <f>IF($B$4="quarter",SUM((E29/45),(F29/900)),IF($B$4="semester",SUM((E29/30),F29/900)))</f>
        <v>0</v>
      </c>
      <c r="H29" s="80"/>
      <c r="I29" s="61">
        <v>0</v>
      </c>
      <c r="J29" s="50">
        <v>0</v>
      </c>
      <c r="K29" s="51"/>
      <c r="L29" s="52">
        <f>IF($B$4="quarter",SUM((J29/45),(K29/900)),IF($B$4="semester",SUM((J29/30),K29/900)))</f>
        <v>0</v>
      </c>
      <c r="M29" s="80"/>
      <c r="N29" s="49">
        <v>0</v>
      </c>
      <c r="O29" s="50">
        <v>0</v>
      </c>
      <c r="P29" s="51"/>
      <c r="Q29" s="52">
        <f>IF($B$4="quarter",SUM((O29/45),(P29/900)),IF($B$4="semester",SUM((O29/30),P29/900)))</f>
        <v>0</v>
      </c>
      <c r="R29" s="80"/>
      <c r="S29" s="49">
        <v>0</v>
      </c>
      <c r="T29" s="50">
        <v>0</v>
      </c>
      <c r="U29" s="51"/>
      <c r="V29" s="52">
        <f>IF($B$4="quarter",SUM((T29/45),(U29/900)),IF($B$4="semester",SUM((T29/30),U29/900)))</f>
        <v>0</v>
      </c>
      <c r="W29" s="80"/>
      <c r="X29" s="49">
        <v>0</v>
      </c>
      <c r="Y29" s="50">
        <v>0</v>
      </c>
      <c r="Z29" s="51"/>
      <c r="AA29" s="52">
        <f>IF($B$4="quarter",SUM((Y29/45),(Z29/900)),IF($B$4="semester",SUM((Y29/30),Z29/900)))</f>
        <v>0</v>
      </c>
      <c r="AB29" s="80"/>
      <c r="AC29" s="49">
        <v>0</v>
      </c>
      <c r="AD29" s="50">
        <v>0</v>
      </c>
      <c r="AE29" s="51"/>
      <c r="AF29" s="52">
        <f>IF($B$4="quarter",SUM((AD29/45),(AE29/900)),IF($B$4="semester",SUM((AD29/30),AE29/900)))</f>
        <v>0</v>
      </c>
      <c r="AG29" s="80"/>
      <c r="AH29" s="49">
        <v>0</v>
      </c>
      <c r="AI29" s="50">
        <v>0</v>
      </c>
      <c r="AJ29" s="51"/>
      <c r="AK29" s="52">
        <f>IF($B$4="quarter",SUM((AI29/45),(AJ29/900)),IF($B$4="semester",SUM((AI29/30),AJ29/900)))</f>
        <v>0</v>
      </c>
      <c r="AL29" s="80"/>
      <c r="AM29" s="49">
        <v>0</v>
      </c>
      <c r="AN29" s="50">
        <v>0</v>
      </c>
      <c r="AO29" s="51"/>
      <c r="AP29" s="52">
        <f>IF($B$4="quarter",SUM((AN29/45),(AO29/900)),IF($B$4="semester",SUM((AN29/30),AO29/900)))</f>
        <v>0</v>
      </c>
      <c r="AQ29" s="80"/>
      <c r="AR29" s="49">
        <v>0</v>
      </c>
      <c r="AS29" s="50">
        <v>0</v>
      </c>
      <c r="AT29" s="51"/>
      <c r="AU29" s="52">
        <f>IF($B$4="quarter",SUM((AS29/45),(AT29/900)),IF($B$4="semester",SUM((AS29/30),AT29/900)))</f>
        <v>0</v>
      </c>
      <c r="AV29" s="80"/>
      <c r="AW29" s="49">
        <v>5</v>
      </c>
      <c r="AX29" s="50">
        <v>25</v>
      </c>
      <c r="AY29" s="51"/>
      <c r="AZ29" s="52">
        <f>IF($B$4="quarter",SUM((AX29/45),(AY29/900)),IF($B$4="semester",SUM((AX29/30),AY29/900)))</f>
        <v>0.83333333333333337</v>
      </c>
      <c r="BA29" s="80"/>
      <c r="BB29" s="1">
        <v>0</v>
      </c>
      <c r="BC29" s="2">
        <v>0</v>
      </c>
      <c r="BD29" s="51"/>
      <c r="BE29" s="52">
        <f>IF($B$4="quarter",SUM((BC29/45),(BD29/900)),IF($B$4="semester",SUM((BC29/30),BD29/900)))</f>
        <v>0</v>
      </c>
      <c r="BF29" s="80"/>
    </row>
    <row r="30" spans="2:58" x14ac:dyDescent="0.25">
      <c r="B30" s="395"/>
      <c r="C30" s="62" t="s">
        <v>23</v>
      </c>
      <c r="D30" s="54">
        <f>SUM(D28:D29)</f>
        <v>0</v>
      </c>
      <c r="E30" s="52">
        <f>SUM(E28:E29)</f>
        <v>0</v>
      </c>
      <c r="F30" s="51">
        <f>SUM(F28:F29)</f>
        <v>0</v>
      </c>
      <c r="G30" s="52">
        <f>SUM(G28:G29)</f>
        <v>0</v>
      </c>
      <c r="H30" s="80"/>
      <c r="I30" s="81">
        <f>SUM(I28:I29)</f>
        <v>0</v>
      </c>
      <c r="J30" s="52">
        <f>SUM(J28:J29)</f>
        <v>0</v>
      </c>
      <c r="K30" s="51">
        <f>SUM(K28:K29)</f>
        <v>0</v>
      </c>
      <c r="L30" s="52">
        <f>SUM(L28:L29)</f>
        <v>0</v>
      </c>
      <c r="M30" s="80"/>
      <c r="N30" s="54">
        <f>SUM(N28:N29)</f>
        <v>0</v>
      </c>
      <c r="O30" s="52">
        <f>SUM(O28:O29)</f>
        <v>0</v>
      </c>
      <c r="P30" s="51">
        <f>SUM(P28:P29)</f>
        <v>0</v>
      </c>
      <c r="Q30" s="52">
        <f>SUM(Q28:Q29)</f>
        <v>0</v>
      </c>
      <c r="R30" s="80"/>
      <c r="S30" s="54">
        <f>SUM(S28:S29)</f>
        <v>0</v>
      </c>
      <c r="T30" s="52">
        <f>SUM(T28:T29)</f>
        <v>0</v>
      </c>
      <c r="U30" s="51">
        <f>SUM(U28:U29)</f>
        <v>0</v>
      </c>
      <c r="V30" s="52">
        <f>SUM(V28:V29)</f>
        <v>0</v>
      </c>
      <c r="W30" s="80"/>
      <c r="X30" s="54">
        <f>SUM(X28:X29)</f>
        <v>0</v>
      </c>
      <c r="Y30" s="52">
        <f>SUM(Y28:Y29)</f>
        <v>0</v>
      </c>
      <c r="Z30" s="51">
        <f>SUM(Z28:Z29)</f>
        <v>0</v>
      </c>
      <c r="AA30" s="52">
        <f>SUM(AA28:AA29)</f>
        <v>0</v>
      </c>
      <c r="AB30" s="80"/>
      <c r="AC30" s="54">
        <f>SUM(AC28:AC29)</f>
        <v>0</v>
      </c>
      <c r="AD30" s="52">
        <f>SUM(AD28:AD29)</f>
        <v>0</v>
      </c>
      <c r="AE30" s="51">
        <f>SUM(AE28:AE29)</f>
        <v>0</v>
      </c>
      <c r="AF30" s="52">
        <f>SUM(AF28:AF29)</f>
        <v>0</v>
      </c>
      <c r="AG30" s="80"/>
      <c r="AH30" s="54">
        <f>SUM(AH28:AH29)</f>
        <v>0</v>
      </c>
      <c r="AI30" s="52">
        <f>SUM(AI28:AI29)</f>
        <v>0</v>
      </c>
      <c r="AJ30" s="51">
        <f>SUM(AJ28:AJ29)</f>
        <v>0</v>
      </c>
      <c r="AK30" s="52">
        <f>SUM(AK28:AK29)</f>
        <v>0</v>
      </c>
      <c r="AL30" s="80"/>
      <c r="AM30" s="54">
        <f>SUM(AM28:AM29)</f>
        <v>0</v>
      </c>
      <c r="AN30" s="52">
        <f>SUM(AN28:AN29)</f>
        <v>0</v>
      </c>
      <c r="AO30" s="51">
        <f>SUM(AO28:AO29)</f>
        <v>0</v>
      </c>
      <c r="AP30" s="52">
        <f>SUM(AP28:AP29)</f>
        <v>0</v>
      </c>
      <c r="AQ30" s="80"/>
      <c r="AR30" s="54">
        <f>SUM(AR28:AR29)</f>
        <v>0</v>
      </c>
      <c r="AS30" s="52">
        <f>SUM(AS28:AS29)</f>
        <v>0</v>
      </c>
      <c r="AT30" s="51">
        <f>SUM(AT28:AT29)</f>
        <v>0</v>
      </c>
      <c r="AU30" s="52">
        <f>SUM(AU28:AU29)</f>
        <v>0</v>
      </c>
      <c r="AV30" s="80"/>
      <c r="AW30" s="54">
        <f>SUM(AW28:AW29)</f>
        <v>5</v>
      </c>
      <c r="AX30" s="52">
        <f>SUM(AX28:AX29)</f>
        <v>25</v>
      </c>
      <c r="AY30" s="51">
        <f>SUM(AY28:AY29)</f>
        <v>0</v>
      </c>
      <c r="AZ30" s="52">
        <f>SUM(AZ28:AZ29)</f>
        <v>0.83333333333333337</v>
      </c>
      <c r="BA30" s="80"/>
      <c r="BB30" s="54">
        <f>SUM(BB28:BB29)</f>
        <v>0</v>
      </c>
      <c r="BC30" s="52">
        <f>SUM(BC28:BC29)</f>
        <v>0</v>
      </c>
      <c r="BD30" s="51">
        <f>SUM(BD28:BD29)</f>
        <v>0</v>
      </c>
      <c r="BE30" s="52">
        <f>SUM(BE28:BE29)</f>
        <v>0</v>
      </c>
      <c r="BF30" s="80"/>
    </row>
    <row r="31" spans="2:58" x14ac:dyDescent="0.25">
      <c r="B31" s="82"/>
      <c r="D31" s="83"/>
      <c r="E31" s="82"/>
      <c r="F31" s="82"/>
      <c r="G31" s="82"/>
      <c r="H31" s="84"/>
      <c r="I31" s="85"/>
      <c r="J31" s="82"/>
      <c r="K31" s="82"/>
      <c r="L31" s="82"/>
      <c r="M31" s="84"/>
      <c r="N31" s="83"/>
      <c r="O31" s="86"/>
      <c r="P31" s="82"/>
      <c r="Q31" s="82"/>
      <c r="R31" s="84"/>
      <c r="S31" s="83"/>
      <c r="T31" s="86"/>
      <c r="U31" s="82"/>
      <c r="V31" s="82"/>
      <c r="W31" s="84"/>
      <c r="X31" s="83"/>
      <c r="Y31" s="86"/>
      <c r="Z31" s="82"/>
      <c r="AA31" s="82"/>
      <c r="AB31" s="84"/>
      <c r="AC31" s="83"/>
      <c r="AD31" s="86"/>
      <c r="AE31" s="82"/>
      <c r="AF31" s="82"/>
      <c r="AG31" s="84"/>
      <c r="AH31" s="83"/>
      <c r="AI31" s="86"/>
      <c r="AJ31" s="82"/>
      <c r="AK31" s="82"/>
      <c r="AL31" s="84"/>
      <c r="AM31" s="83"/>
      <c r="AN31" s="86"/>
      <c r="AO31" s="82"/>
      <c r="AP31" s="82"/>
      <c r="AQ31" s="84"/>
      <c r="AR31" s="83"/>
      <c r="AS31" s="86"/>
      <c r="AT31" s="82"/>
      <c r="AU31" s="82"/>
      <c r="AV31" s="84"/>
      <c r="AW31" s="83"/>
      <c r="AX31" s="86"/>
      <c r="AY31" s="82"/>
      <c r="AZ31" s="82"/>
      <c r="BA31" s="84"/>
      <c r="BB31" s="83"/>
      <c r="BC31" s="86"/>
      <c r="BD31" s="82"/>
      <c r="BE31" s="82"/>
      <c r="BF31" s="84"/>
    </row>
    <row r="32" spans="2:58" x14ac:dyDescent="0.25">
      <c r="B32" s="396" t="s">
        <v>33</v>
      </c>
      <c r="C32" s="60" t="s">
        <v>21</v>
      </c>
      <c r="D32" s="49"/>
      <c r="E32" s="50"/>
      <c r="F32" s="51"/>
      <c r="G32" s="52">
        <f>IF($B$4="quarter",SUM((E32/45),(F32/900)),IF($B$4="semester",SUM((E32/30),F32/900)))</f>
        <v>0</v>
      </c>
      <c r="H32" s="80"/>
      <c r="I32" s="61"/>
      <c r="J32" s="50"/>
      <c r="K32" s="51"/>
      <c r="L32" s="52">
        <f>IF($B$4="quarter",SUM((J32/45),(K32/900)),IF($B$4="semester",SUM((J32/30),K32/900)))</f>
        <v>0</v>
      </c>
      <c r="M32" s="80"/>
      <c r="N32" s="49"/>
      <c r="O32" s="50"/>
      <c r="P32" s="51"/>
      <c r="Q32" s="52">
        <f>IF($B$4="quarter",SUM((O32/45),(P32/900)),IF($B$4="semester",SUM((O32/30),P32/900)))</f>
        <v>0</v>
      </c>
      <c r="R32" s="80"/>
      <c r="S32" s="49"/>
      <c r="T32" s="50"/>
      <c r="U32" s="51"/>
      <c r="V32" s="52">
        <f>IF($B$4="quarter",SUM((T32/45),(U32/900)),IF($B$4="semester",SUM((T32/30),U32/900)))</f>
        <v>0</v>
      </c>
      <c r="W32" s="80"/>
      <c r="X32" s="49"/>
      <c r="Y32" s="50"/>
      <c r="Z32" s="51"/>
      <c r="AA32" s="52">
        <f>IF($B$4="quarter",SUM((Y32/45),(Z32/900)),IF($B$4="semester",SUM((Y32/30),Z32/900)))</f>
        <v>0</v>
      </c>
      <c r="AB32" s="80"/>
      <c r="AC32" s="49">
        <v>0</v>
      </c>
      <c r="AD32" s="50">
        <v>0</v>
      </c>
      <c r="AE32" s="51"/>
      <c r="AF32" s="52">
        <f>IF($B$4="quarter",SUM((AD32/45),(AE32/900)),IF($B$4="semester",SUM((AD32/30),AE32/900)))</f>
        <v>0</v>
      </c>
      <c r="AG32" s="80"/>
      <c r="AH32" s="49">
        <v>0</v>
      </c>
      <c r="AI32" s="50">
        <v>0</v>
      </c>
      <c r="AJ32" s="51"/>
      <c r="AK32" s="52">
        <f>IF($B$4="quarter",SUM((AI32/45),(AJ32/900)),IF($B$4="semester",SUM((AI32/30),AJ32/900)))</f>
        <v>0</v>
      </c>
      <c r="AL32" s="80"/>
      <c r="AM32" s="49">
        <v>0</v>
      </c>
      <c r="AN32" s="50">
        <v>0</v>
      </c>
      <c r="AO32" s="51"/>
      <c r="AP32" s="52">
        <f>IF($B$4="quarter",SUM((AN32/45),(AO32/900)),IF($B$4="semester",SUM((AN32/30),AO32/900)))</f>
        <v>0</v>
      </c>
      <c r="AQ32" s="80"/>
      <c r="AR32" s="1">
        <v>0</v>
      </c>
      <c r="AS32" s="2">
        <v>0</v>
      </c>
      <c r="AT32" s="51"/>
      <c r="AU32" s="52">
        <f>IF($B$4="quarter",SUM((AS32/45),(AT32/900)),IF($B$4="semester",SUM((AS32/30),AT32/900)))</f>
        <v>0</v>
      </c>
      <c r="AV32" s="80"/>
      <c r="AW32" s="1">
        <v>0</v>
      </c>
      <c r="AX32" s="2">
        <v>0</v>
      </c>
      <c r="AY32" s="51"/>
      <c r="AZ32" s="52">
        <f>IF($B$4="quarter",SUM((AX32/45),(AY32/900)),IF($B$4="semester",SUM((AX32/30),AY32/900)))</f>
        <v>0</v>
      </c>
      <c r="BA32" s="80"/>
      <c r="BB32" s="1">
        <v>0</v>
      </c>
      <c r="BC32" s="2">
        <v>0</v>
      </c>
      <c r="BD32" s="51"/>
      <c r="BE32" s="52">
        <f>IF($B$4="quarter",SUM((BC32/45),(BD32/900)),IF($B$4="semester",SUM((BC32/30),BD32/900)))</f>
        <v>0</v>
      </c>
      <c r="BF32" s="80"/>
    </row>
    <row r="33" spans="2:58" x14ac:dyDescent="0.25">
      <c r="B33" s="396"/>
      <c r="C33" s="60" t="s">
        <v>22</v>
      </c>
      <c r="D33" s="49">
        <v>0</v>
      </c>
      <c r="E33" s="50">
        <v>0</v>
      </c>
      <c r="F33" s="51"/>
      <c r="G33" s="52">
        <f>IF($B$4="quarter",SUM((E33/45),(F33/900)),IF($B$4="semester",SUM((E33/30),F33/900)))</f>
        <v>0</v>
      </c>
      <c r="H33" s="80"/>
      <c r="I33" s="61">
        <v>0</v>
      </c>
      <c r="J33" s="50">
        <v>0</v>
      </c>
      <c r="K33" s="51"/>
      <c r="L33" s="52">
        <f>IF($B$4="quarter",SUM((J33/45),(K33/900)),IF($B$4="semester",SUM((J33/30),K33/900)))</f>
        <v>0</v>
      </c>
      <c r="M33" s="80"/>
      <c r="N33" s="49">
        <v>0</v>
      </c>
      <c r="O33" s="50">
        <v>0</v>
      </c>
      <c r="P33" s="51"/>
      <c r="Q33" s="52">
        <f>IF($B$4="quarter",SUM((O33/45),(P33/900)),IF($B$4="semester",SUM((O33/30),P33/900)))</f>
        <v>0</v>
      </c>
      <c r="R33" s="80"/>
      <c r="S33" s="49">
        <v>0</v>
      </c>
      <c r="T33" s="50">
        <v>0</v>
      </c>
      <c r="U33" s="51"/>
      <c r="V33" s="52">
        <f>IF($B$4="quarter",SUM((T33/45),(U33/900)),IF($B$4="semester",SUM((T33/30),U33/900)))</f>
        <v>0</v>
      </c>
      <c r="W33" s="80"/>
      <c r="X33" s="49">
        <v>0</v>
      </c>
      <c r="Y33" s="50">
        <v>0</v>
      </c>
      <c r="Z33" s="51"/>
      <c r="AA33" s="52">
        <f>IF($B$4="quarter",SUM((Y33/45),(Z33/900)),IF($B$4="semester",SUM((Y33/30),Z33/900)))</f>
        <v>0</v>
      </c>
      <c r="AB33" s="80"/>
      <c r="AC33" s="49">
        <v>0</v>
      </c>
      <c r="AD33" s="50">
        <v>0</v>
      </c>
      <c r="AE33" s="51"/>
      <c r="AF33" s="52">
        <f>IF($B$4="quarter",SUM((AD33/45),(AE33/900)),IF($B$4="semester",SUM((AD33/30),AE33/900)))</f>
        <v>0</v>
      </c>
      <c r="AG33" s="80"/>
      <c r="AH33" s="49">
        <v>0</v>
      </c>
      <c r="AI33" s="50">
        <v>0</v>
      </c>
      <c r="AJ33" s="51"/>
      <c r="AK33" s="52">
        <f>IF($B$4="quarter",SUM((AI33/45),(AJ33/900)),IF($B$4="semester",SUM((AI33/30),AJ33/900)))</f>
        <v>0</v>
      </c>
      <c r="AL33" s="80"/>
      <c r="AM33" s="49">
        <v>0</v>
      </c>
      <c r="AN33" s="50">
        <v>0</v>
      </c>
      <c r="AO33" s="51"/>
      <c r="AP33" s="52">
        <f>IF($B$4="quarter",SUM((AN33/45),(AO33/900)),IF($B$4="semester",SUM((AN33/30),AO33/900)))</f>
        <v>0</v>
      </c>
      <c r="AQ33" s="80"/>
      <c r="AR33" s="1">
        <v>0</v>
      </c>
      <c r="AS33" s="2">
        <v>0</v>
      </c>
      <c r="AT33" s="51"/>
      <c r="AU33" s="52">
        <f>IF($B$4="quarter",SUM((AS33/45),(AT33/900)),IF($B$4="semester",SUM((AS33/30),AT33/900)))</f>
        <v>0</v>
      </c>
      <c r="AV33" s="80"/>
      <c r="AW33" s="1">
        <v>0</v>
      </c>
      <c r="AX33" s="2">
        <v>0</v>
      </c>
      <c r="AY33" s="51"/>
      <c r="AZ33" s="52">
        <f>IF($B$4="quarter",SUM((AX33/45),(AY33/900)),IF($B$4="semester",SUM((AX33/30),AY33/900)))</f>
        <v>0</v>
      </c>
      <c r="BA33" s="80"/>
      <c r="BB33" s="1">
        <v>0</v>
      </c>
      <c r="BC33" s="2">
        <v>0</v>
      </c>
      <c r="BD33" s="51"/>
      <c r="BE33" s="52">
        <f>IF($B$4="quarter",SUM((BC33/45),(BD33/900)),IF($B$4="semester",SUM((BC33/30),BD33/900)))</f>
        <v>0</v>
      </c>
      <c r="BF33" s="80"/>
    </row>
    <row r="34" spans="2:58" x14ac:dyDescent="0.25">
      <c r="B34" s="396"/>
      <c r="C34" s="62" t="s">
        <v>23</v>
      </c>
      <c r="D34" s="54">
        <f>SUM(D32:D33)</f>
        <v>0</v>
      </c>
      <c r="E34" s="52">
        <f>SUM(E32:E33)</f>
        <v>0</v>
      </c>
      <c r="F34" s="51">
        <f>SUM(F32:F33)</f>
        <v>0</v>
      </c>
      <c r="G34" s="52">
        <f>SUM(G32:G33)</f>
        <v>0</v>
      </c>
      <c r="H34" s="80"/>
      <c r="I34" s="81">
        <f>SUM(I32:I33)</f>
        <v>0</v>
      </c>
      <c r="J34" s="52">
        <f>SUM(J32:J33)</f>
        <v>0</v>
      </c>
      <c r="K34" s="51">
        <f>SUM(K32:K33)</f>
        <v>0</v>
      </c>
      <c r="L34" s="52">
        <f>SUM(L32:L33)</f>
        <v>0</v>
      </c>
      <c r="M34" s="80"/>
      <c r="N34" s="54">
        <f>SUM(N32:N33)</f>
        <v>0</v>
      </c>
      <c r="O34" s="52">
        <f>SUM(O32:O33)</f>
        <v>0</v>
      </c>
      <c r="P34" s="51">
        <f>SUM(P32:P33)</f>
        <v>0</v>
      </c>
      <c r="Q34" s="52">
        <f>SUM(Q32:Q33)</f>
        <v>0</v>
      </c>
      <c r="R34" s="80"/>
      <c r="S34" s="54">
        <f>SUM(S32:S33)</f>
        <v>0</v>
      </c>
      <c r="T34" s="52">
        <f>SUM(T32:T33)</f>
        <v>0</v>
      </c>
      <c r="U34" s="51">
        <f>SUM(U32:U33)</f>
        <v>0</v>
      </c>
      <c r="V34" s="52">
        <f>SUM(V32:V33)</f>
        <v>0</v>
      </c>
      <c r="W34" s="80"/>
      <c r="X34" s="54">
        <f>SUM(X32:X33)</f>
        <v>0</v>
      </c>
      <c r="Y34" s="52">
        <f>SUM(Y32:Y33)</f>
        <v>0</v>
      </c>
      <c r="Z34" s="51">
        <f>SUM(Z32:Z33)</f>
        <v>0</v>
      </c>
      <c r="AA34" s="52">
        <f>SUM(AA32:AA33)</f>
        <v>0</v>
      </c>
      <c r="AB34" s="80"/>
      <c r="AC34" s="54">
        <f>SUM(AC32:AC33)</f>
        <v>0</v>
      </c>
      <c r="AD34" s="52">
        <f>SUM(AD32:AD33)</f>
        <v>0</v>
      </c>
      <c r="AE34" s="51">
        <f>SUM(AE32:AE33)</f>
        <v>0</v>
      </c>
      <c r="AF34" s="52">
        <f>SUM(AF32:AF33)</f>
        <v>0</v>
      </c>
      <c r="AG34" s="80"/>
      <c r="AH34" s="54">
        <f>SUM(AH32:AH33)</f>
        <v>0</v>
      </c>
      <c r="AI34" s="52">
        <f>SUM(AI32:AI33)</f>
        <v>0</v>
      </c>
      <c r="AJ34" s="51">
        <f>SUM(AJ32:AJ33)</f>
        <v>0</v>
      </c>
      <c r="AK34" s="52">
        <f>SUM(AK32:AK33)</f>
        <v>0</v>
      </c>
      <c r="AL34" s="80"/>
      <c r="AM34" s="54">
        <f>SUM(AM32:AM33)</f>
        <v>0</v>
      </c>
      <c r="AN34" s="52">
        <f>SUM(AN32:AN33)</f>
        <v>0</v>
      </c>
      <c r="AO34" s="51">
        <f>SUM(AO32:AO33)</f>
        <v>0</v>
      </c>
      <c r="AP34" s="52">
        <f>SUM(AP32:AP33)</f>
        <v>0</v>
      </c>
      <c r="AQ34" s="80"/>
      <c r="AR34" s="54">
        <f>SUM(AR32:AR33)</f>
        <v>0</v>
      </c>
      <c r="AS34" s="52">
        <f>SUM(AS32:AS33)</f>
        <v>0</v>
      </c>
      <c r="AT34" s="51">
        <f>SUM(AT32:AT33)</f>
        <v>0</v>
      </c>
      <c r="AU34" s="52">
        <f>SUM(AU32:AU33)</f>
        <v>0</v>
      </c>
      <c r="AV34" s="80"/>
      <c r="AW34" s="54">
        <f>SUM(AW32:AW33)</f>
        <v>0</v>
      </c>
      <c r="AX34" s="52">
        <f>SUM(AX32:AX33)</f>
        <v>0</v>
      </c>
      <c r="AY34" s="51">
        <f>SUM(AY32:AY33)</f>
        <v>0</v>
      </c>
      <c r="AZ34" s="52">
        <f>SUM(AZ32:AZ33)</f>
        <v>0</v>
      </c>
      <c r="BA34" s="80"/>
      <c r="BB34" s="54">
        <f>SUM(BB32:BB33)</f>
        <v>0</v>
      </c>
      <c r="BC34" s="52">
        <f>SUM(BC32:BC33)</f>
        <v>0</v>
      </c>
      <c r="BD34" s="51">
        <f>SUM(BD32:BD33)</f>
        <v>0</v>
      </c>
      <c r="BE34" s="52">
        <f>SUM(BE32:BE33)</f>
        <v>0</v>
      </c>
      <c r="BF34" s="80"/>
    </row>
    <row r="35" spans="2:58" x14ac:dyDescent="0.25">
      <c r="B35" s="87"/>
      <c r="C35" s="47"/>
      <c r="D35" s="65"/>
      <c r="E35" s="59"/>
      <c r="F35" s="59"/>
      <c r="G35" s="59"/>
      <c r="H35" s="64"/>
      <c r="I35" s="65"/>
      <c r="J35" s="59"/>
      <c r="K35" s="59"/>
      <c r="L35" s="59"/>
      <c r="M35" s="64"/>
      <c r="N35" s="65"/>
      <c r="O35" s="59"/>
      <c r="P35" s="59"/>
      <c r="Q35" s="59"/>
      <c r="R35" s="64"/>
      <c r="S35" s="65"/>
      <c r="T35" s="59"/>
      <c r="U35" s="59"/>
      <c r="V35" s="59"/>
      <c r="W35" s="64"/>
      <c r="X35" s="65"/>
      <c r="Y35" s="59"/>
      <c r="Z35" s="59"/>
      <c r="AA35" s="59"/>
      <c r="AB35" s="64"/>
      <c r="AC35" s="65"/>
      <c r="AD35" s="59"/>
      <c r="AE35" s="59"/>
      <c r="AF35" s="59"/>
      <c r="AG35" s="64"/>
      <c r="AH35" s="65"/>
      <c r="AI35" s="59"/>
      <c r="AJ35" s="59"/>
      <c r="AK35" s="59"/>
      <c r="AL35" s="64"/>
      <c r="AM35" s="65"/>
      <c r="AN35" s="59"/>
      <c r="AO35" s="59"/>
      <c r="AP35" s="59"/>
      <c r="AQ35" s="64"/>
      <c r="AR35" s="65"/>
      <c r="AS35" s="59"/>
      <c r="AT35" s="59"/>
      <c r="AU35" s="59"/>
      <c r="AV35" s="64"/>
      <c r="AW35" s="65"/>
      <c r="AX35" s="59"/>
      <c r="AY35" s="59"/>
      <c r="AZ35" s="59"/>
      <c r="BA35" s="64"/>
      <c r="BB35" s="65"/>
      <c r="BC35" s="59"/>
      <c r="BD35" s="59"/>
      <c r="BE35" s="59"/>
      <c r="BF35" s="64"/>
    </row>
    <row r="37" spans="2:58" s="88" customFormat="1" x14ac:dyDescent="0.25">
      <c r="D37" s="88" t="str">
        <f>D2&amp;" COMMENTS"</f>
        <v>2012-13 COMMENTS</v>
      </c>
      <c r="H37" s="89"/>
      <c r="I37" s="88" t="str">
        <f>I2&amp;" COMMENTS"</f>
        <v>2013-14 COMMENTS</v>
      </c>
      <c r="M37" s="89"/>
      <c r="N37" s="88" t="str">
        <f>N2&amp;" COMMENTS"</f>
        <v>2014-15 COMMENTS</v>
      </c>
      <c r="R37" s="89"/>
      <c r="S37" s="88" t="str">
        <f>S2&amp;" COMMENTS"</f>
        <v>2015-16 COMMENTS</v>
      </c>
      <c r="W37" s="89"/>
      <c r="X37" s="88" t="str">
        <f>X2&amp;" COMMENTS"</f>
        <v>2016-17 COMMENTS</v>
      </c>
      <c r="AB37" s="89"/>
      <c r="AC37" s="88" t="str">
        <f>AC2&amp;" COMMENTS"</f>
        <v>2017-18 COMMENTS</v>
      </c>
      <c r="AG37" s="89"/>
      <c r="AH37" s="88" t="str">
        <f>AH2&amp;" COMMENTS"</f>
        <v>2018-19 COMMENTS</v>
      </c>
      <c r="AL37" s="89"/>
      <c r="AM37" s="88" t="str">
        <f>AM2&amp;" COMMENTS"</f>
        <v>2019-20 COMMENTS</v>
      </c>
      <c r="AQ37" s="89"/>
      <c r="AR37" s="88" t="str">
        <f>AR2&amp;" COMMENTS"</f>
        <v>2020-21 COMMENTS</v>
      </c>
      <c r="AV37" s="89"/>
      <c r="AW37" s="88" t="str">
        <f>AW2&amp;" COMMENTS"</f>
        <v>2021-22 COMMENTS</v>
      </c>
      <c r="BA37" s="89"/>
      <c r="BB37" s="88" t="str">
        <f>BB2&amp;" COMMENTS"</f>
        <v>2022-23 COMMENTS</v>
      </c>
      <c r="BF37" s="89"/>
    </row>
    <row r="38" spans="2:58" s="90" customFormat="1" ht="243.75" customHeight="1" x14ac:dyDescent="0.2">
      <c r="D38" s="397"/>
      <c r="E38" s="398"/>
      <c r="F38" s="398"/>
      <c r="G38" s="398"/>
      <c r="H38" s="399"/>
      <c r="I38" s="397"/>
      <c r="J38" s="398"/>
      <c r="K38" s="398"/>
      <c r="L38" s="398"/>
      <c r="M38" s="399"/>
      <c r="N38" s="397"/>
      <c r="O38" s="398"/>
      <c r="P38" s="398"/>
      <c r="Q38" s="398"/>
      <c r="R38" s="399"/>
      <c r="S38" s="400"/>
      <c r="T38" s="401"/>
      <c r="U38" s="401"/>
      <c r="V38" s="401"/>
      <c r="W38" s="402"/>
      <c r="X38" s="400"/>
      <c r="Y38" s="401"/>
      <c r="Z38" s="401"/>
      <c r="AA38" s="401"/>
      <c r="AB38" s="402"/>
      <c r="AC38" s="400"/>
      <c r="AD38" s="401"/>
      <c r="AE38" s="401"/>
      <c r="AF38" s="401"/>
      <c r="AG38" s="402"/>
      <c r="AH38" s="400"/>
      <c r="AI38" s="401"/>
      <c r="AJ38" s="401"/>
      <c r="AK38" s="401"/>
      <c r="AL38" s="402"/>
      <c r="AM38" s="400"/>
      <c r="AN38" s="401"/>
      <c r="AO38" s="401"/>
      <c r="AP38" s="401"/>
      <c r="AQ38" s="402"/>
      <c r="AR38" s="400"/>
      <c r="AS38" s="401"/>
      <c r="AT38" s="401"/>
      <c r="AU38" s="401"/>
      <c r="AV38" s="402"/>
      <c r="AW38" s="400"/>
      <c r="AX38" s="401"/>
      <c r="AY38" s="401"/>
      <c r="AZ38" s="401"/>
      <c r="BA38" s="402"/>
      <c r="BB38" s="403"/>
      <c r="BC38" s="404"/>
      <c r="BD38" s="404"/>
      <c r="BE38" s="404"/>
      <c r="BF38" s="405"/>
    </row>
  </sheetData>
  <sheetProtection formatColumns="0"/>
  <mergeCells count="84">
    <mergeCell ref="N38:R38"/>
    <mergeCell ref="AW38:BA38"/>
    <mergeCell ref="BB38:BF38"/>
    <mergeCell ref="S38:W38"/>
    <mergeCell ref="X38:AB38"/>
    <mergeCell ref="AC38:AG38"/>
    <mergeCell ref="AH38:AL38"/>
    <mergeCell ref="AM38:AQ38"/>
    <mergeCell ref="AR38:AV38"/>
    <mergeCell ref="B27:C27"/>
    <mergeCell ref="B28:B30"/>
    <mergeCell ref="B32:B34"/>
    <mergeCell ref="D38:H38"/>
    <mergeCell ref="I38:M38"/>
    <mergeCell ref="B18:B20"/>
    <mergeCell ref="AY3:AY5"/>
    <mergeCell ref="AZ3:AZ5"/>
    <mergeCell ref="BA3:BA5"/>
    <mergeCell ref="BB3:BB5"/>
    <mergeCell ref="AG3:AG5"/>
    <mergeCell ref="BE3:BE5"/>
    <mergeCell ref="BF3:BF5"/>
    <mergeCell ref="B6:B8"/>
    <mergeCell ref="B10:B12"/>
    <mergeCell ref="B14:B16"/>
    <mergeCell ref="BD3:BD5"/>
    <mergeCell ref="AS3:AS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BC3:BC5"/>
    <mergeCell ref="AW2:BA2"/>
    <mergeCell ref="I3:I5"/>
    <mergeCell ref="J3:J5"/>
    <mergeCell ref="K3:K5"/>
    <mergeCell ref="L3:L5"/>
    <mergeCell ref="M3:M5"/>
    <mergeCell ref="X3:X5"/>
    <mergeCell ref="Y3:Y5"/>
    <mergeCell ref="AL3:AL5"/>
    <mergeCell ref="AA3:AA5"/>
    <mergeCell ref="AB3:AB5"/>
    <mergeCell ref="AC3:AC5"/>
    <mergeCell ref="AD3:AD5"/>
    <mergeCell ref="AE3:AE5"/>
    <mergeCell ref="AF3:AF5"/>
    <mergeCell ref="AR2:AV2"/>
    <mergeCell ref="BB2:BF2"/>
    <mergeCell ref="D3:D5"/>
    <mergeCell ref="E3:E5"/>
    <mergeCell ref="F3:F5"/>
    <mergeCell ref="G3:G5"/>
    <mergeCell ref="H3:H5"/>
    <mergeCell ref="D2:H2"/>
    <mergeCell ref="I2:M2"/>
    <mergeCell ref="N2:R2"/>
    <mergeCell ref="S2:W2"/>
    <mergeCell ref="Z3:Z5"/>
    <mergeCell ref="O3:O5"/>
    <mergeCell ref="P3:P5"/>
    <mergeCell ref="Q3:Q5"/>
    <mergeCell ref="R3:R5"/>
    <mergeCell ref="X2:AB2"/>
    <mergeCell ref="AC2:AG2"/>
    <mergeCell ref="N3:N5"/>
    <mergeCell ref="AH2:AL2"/>
    <mergeCell ref="AM2:AQ2"/>
    <mergeCell ref="S3:S5"/>
    <mergeCell ref="T3:T5"/>
    <mergeCell ref="U3:U5"/>
    <mergeCell ref="V3:V5"/>
    <mergeCell ref="W3:W5"/>
    <mergeCell ref="AH3:AH5"/>
    <mergeCell ref="AI3:AI5"/>
    <mergeCell ref="AJ3:AJ5"/>
    <mergeCell ref="AK3:AK5"/>
    <mergeCell ref="AM3:AM5"/>
    <mergeCell ref="AN3:AN5"/>
  </mergeCells>
  <dataValidations disablePrompts="1" count="2">
    <dataValidation type="decimal" operator="greaterThanOrEqual" allowBlank="1" showInputMessage="1" showErrorMessage="1" errorTitle="data type error" error="value must be number greater than or equal to 0" sqref="S10:T11 X10:Y11" xr:uid="{00000000-0002-0000-0000-000000000000}">
      <formula1>0</formula1>
    </dataValidation>
    <dataValidation type="list" allowBlank="1" showInputMessage="1" showErrorMessage="1" sqref="B4" xr:uid="{00000000-0002-0000-0000-000001000000}">
      <formula1>"Semester,Quarter"</formula1>
    </dataValidation>
  </dataValidations>
  <pageMargins left="0.3" right="0.3" top="0.75" bottom="0.5" header="0.3" footer="0.3"/>
  <pageSetup scale="23" orientation="landscape" r:id="rId1"/>
  <headerFooter>
    <oddHeader>&amp;C&amp;"-,Bold"&amp;22University of Nebraska at Omaha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N5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AB7" sqref="AAB7"/>
    </sheetView>
  </sheetViews>
  <sheetFormatPr defaultColWidth="21.28515625" defaultRowHeight="15" x14ac:dyDescent="0.25"/>
  <cols>
    <col min="1" max="1" width="1.5703125" style="148" customWidth="1"/>
    <col min="2" max="2" width="56" style="148" customWidth="1"/>
    <col min="3" max="3" width="20.28515625" style="148" bestFit="1" customWidth="1"/>
    <col min="4" max="4" width="15.42578125" style="164" customWidth="1"/>
    <col min="5" max="5" width="14.28515625" style="148" hidden="1" customWidth="1"/>
    <col min="6" max="6" width="10.28515625" style="148" hidden="1" customWidth="1"/>
    <col min="7" max="7" width="14.28515625" style="148" hidden="1" customWidth="1"/>
    <col min="8" max="8" width="10.28515625" style="148" hidden="1" customWidth="1"/>
    <col min="9" max="9" width="14.28515625" style="148" hidden="1" customWidth="1"/>
    <col min="10" max="10" width="10.28515625" style="148" hidden="1" customWidth="1"/>
    <col min="11" max="11" width="14.28515625" style="148" hidden="1" customWidth="1"/>
    <col min="12" max="12" width="10.28515625" style="148" hidden="1" customWidth="1"/>
    <col min="13" max="13" width="14.28515625" style="148" hidden="1" customWidth="1"/>
    <col min="14" max="14" width="10.28515625" style="148" hidden="1" customWidth="1"/>
    <col min="15" max="15" width="14.42578125" style="148" hidden="1" customWidth="1"/>
    <col min="16" max="16" width="10.28515625" style="148" hidden="1" customWidth="1"/>
    <col min="17" max="17" width="14.42578125" style="148" hidden="1" customWidth="1"/>
    <col min="18" max="18" width="10.28515625" style="148" hidden="1" customWidth="1"/>
    <col min="19" max="19" width="14.42578125" style="148" customWidth="1"/>
    <col min="20" max="20" width="10.28515625" style="148" customWidth="1"/>
    <col min="21" max="21" width="12.85546875" style="148" customWidth="1"/>
    <col min="22" max="22" width="10.28515625" style="148" customWidth="1"/>
    <col min="23" max="23" width="12.85546875" style="148" customWidth="1"/>
    <col min="24" max="24" width="10.28515625" style="148" customWidth="1"/>
    <col min="25" max="25" width="12.85546875" style="148" customWidth="1"/>
    <col min="26" max="26" width="10.28515625" style="148" customWidth="1"/>
    <col min="27" max="27" width="1.7109375" style="148" customWidth="1"/>
    <col min="28" max="33" width="16" style="148" hidden="1" customWidth="1"/>
    <col min="34" max="34" width="16" style="148" customWidth="1"/>
    <col min="35" max="35" width="18" style="148" customWidth="1"/>
    <col min="36" max="37" width="16" style="148" customWidth="1"/>
    <col min="38" max="38" width="14.140625" style="148" customWidth="1"/>
    <col min="39" max="16384" width="21.28515625" style="148"/>
  </cols>
  <sheetData>
    <row r="1" spans="2:39" s="91" customFormat="1" ht="15.75" customHeight="1" thickBot="1" x14ac:dyDescent="0.3">
      <c r="C1" s="92"/>
      <c r="D1" s="93"/>
      <c r="E1" s="406" t="s">
        <v>35</v>
      </c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94"/>
      <c r="Z1" s="94"/>
      <c r="AA1" s="94"/>
      <c r="AB1" s="406" t="s">
        <v>36</v>
      </c>
      <c r="AC1" s="406"/>
      <c r="AD1" s="406"/>
      <c r="AE1" s="406"/>
      <c r="AF1" s="406"/>
      <c r="AG1" s="406"/>
      <c r="AH1" s="406"/>
      <c r="AI1" s="406"/>
      <c r="AJ1" s="406"/>
      <c r="AK1" s="406"/>
      <c r="AL1" s="95"/>
    </row>
    <row r="2" spans="2:39" s="91" customFormat="1" ht="15.75" thickBot="1" x14ac:dyDescent="0.3">
      <c r="D2" s="96"/>
      <c r="E2" s="407" t="s">
        <v>1</v>
      </c>
      <c r="F2" s="408"/>
      <c r="G2" s="409" t="s">
        <v>2</v>
      </c>
      <c r="H2" s="410"/>
      <c r="I2" s="411" t="s">
        <v>3</v>
      </c>
      <c r="J2" s="412"/>
      <c r="K2" s="413" t="s">
        <v>4</v>
      </c>
      <c r="L2" s="414"/>
      <c r="M2" s="415" t="s">
        <v>5</v>
      </c>
      <c r="N2" s="416"/>
      <c r="O2" s="417" t="s">
        <v>6</v>
      </c>
      <c r="P2" s="418"/>
      <c r="Q2" s="407" t="s">
        <v>7</v>
      </c>
      <c r="R2" s="408"/>
      <c r="S2" s="409" t="s">
        <v>8</v>
      </c>
      <c r="T2" s="410"/>
      <c r="U2" s="411" t="s">
        <v>9</v>
      </c>
      <c r="V2" s="412"/>
      <c r="W2" s="413" t="s">
        <v>10</v>
      </c>
      <c r="X2" s="419"/>
      <c r="Y2" s="420" t="s">
        <v>137</v>
      </c>
      <c r="Z2" s="421"/>
      <c r="AA2" s="96"/>
      <c r="AB2" s="97"/>
      <c r="AC2" s="98"/>
      <c r="AD2" s="99"/>
      <c r="AE2" s="100"/>
      <c r="AF2" s="100"/>
      <c r="AG2" s="100"/>
      <c r="AH2" s="100"/>
      <c r="AI2" s="100"/>
      <c r="AJ2" s="100"/>
      <c r="AK2" s="101"/>
      <c r="AL2" s="102"/>
      <c r="AM2" s="103"/>
    </row>
    <row r="3" spans="2:39" s="117" customFormat="1" ht="15.75" thickBot="1" x14ac:dyDescent="0.3">
      <c r="B3" s="104" t="s">
        <v>37</v>
      </c>
      <c r="C3" s="105" t="s">
        <v>38</v>
      </c>
      <c r="D3" s="106" t="s">
        <v>39</v>
      </c>
      <c r="E3" s="107" t="s">
        <v>40</v>
      </c>
      <c r="F3" s="105" t="s">
        <v>41</v>
      </c>
      <c r="G3" s="105" t="s">
        <v>40</v>
      </c>
      <c r="H3" s="105" t="s">
        <v>41</v>
      </c>
      <c r="I3" s="105" t="s">
        <v>40</v>
      </c>
      <c r="J3" s="105" t="s">
        <v>41</v>
      </c>
      <c r="K3" s="105" t="s">
        <v>40</v>
      </c>
      <c r="L3" s="105" t="s">
        <v>41</v>
      </c>
      <c r="M3" s="105" t="s">
        <v>40</v>
      </c>
      <c r="N3" s="105" t="s">
        <v>41</v>
      </c>
      <c r="O3" s="105" t="s">
        <v>40</v>
      </c>
      <c r="P3" s="105" t="s">
        <v>41</v>
      </c>
      <c r="Q3" s="105" t="s">
        <v>40</v>
      </c>
      <c r="R3" s="105" t="s">
        <v>41</v>
      </c>
      <c r="S3" s="105" t="s">
        <v>40</v>
      </c>
      <c r="T3" s="105" t="s">
        <v>41</v>
      </c>
      <c r="U3" s="105" t="s">
        <v>40</v>
      </c>
      <c r="V3" s="105" t="s">
        <v>41</v>
      </c>
      <c r="W3" s="105" t="s">
        <v>40</v>
      </c>
      <c r="X3" s="108" t="s">
        <v>41</v>
      </c>
      <c r="Y3" s="105" t="s">
        <v>40</v>
      </c>
      <c r="Z3" s="108" t="s">
        <v>41</v>
      </c>
      <c r="AA3" s="109"/>
      <c r="AB3" s="110" t="s">
        <v>1</v>
      </c>
      <c r="AC3" s="111" t="s">
        <v>2</v>
      </c>
      <c r="AD3" s="112" t="s">
        <v>3</v>
      </c>
      <c r="AE3" s="113" t="s">
        <v>4</v>
      </c>
      <c r="AF3" s="114" t="s">
        <v>5</v>
      </c>
      <c r="AG3" s="115" t="s">
        <v>6</v>
      </c>
      <c r="AH3" s="110" t="s">
        <v>7</v>
      </c>
      <c r="AI3" s="111" t="s">
        <v>8</v>
      </c>
      <c r="AJ3" s="112" t="s">
        <v>9</v>
      </c>
      <c r="AK3" s="113" t="s">
        <v>10</v>
      </c>
      <c r="AL3" s="116"/>
      <c r="AM3" s="116"/>
    </row>
    <row r="4" spans="2:39" customFormat="1" ht="19.5" customHeight="1" x14ac:dyDescent="0.25">
      <c r="B4" s="118" t="s">
        <v>42</v>
      </c>
      <c r="C4" s="63"/>
      <c r="D4" s="119"/>
      <c r="E4" s="173"/>
      <c r="F4" s="175"/>
      <c r="G4" s="172"/>
      <c r="H4" s="174"/>
      <c r="I4" s="173"/>
      <c r="J4" s="175"/>
      <c r="K4" s="172"/>
      <c r="L4" s="174"/>
      <c r="M4" s="172"/>
      <c r="N4" s="174"/>
      <c r="O4" s="172"/>
      <c r="P4" s="174"/>
      <c r="Q4" s="172"/>
      <c r="R4" s="174"/>
      <c r="S4" s="172"/>
      <c r="T4" s="174"/>
      <c r="U4" s="172"/>
      <c r="V4" s="174"/>
      <c r="W4" s="172"/>
      <c r="X4" s="174"/>
      <c r="Y4" s="172"/>
      <c r="Z4" s="174"/>
      <c r="AA4" s="63"/>
      <c r="AB4" s="173"/>
      <c r="AC4" s="172"/>
      <c r="AD4" s="120"/>
      <c r="AE4" s="171"/>
      <c r="AF4" s="171"/>
      <c r="AG4" s="171"/>
      <c r="AH4" s="171"/>
      <c r="AI4" s="171"/>
      <c r="AJ4" s="171"/>
      <c r="AK4" s="171"/>
    </row>
    <row r="5" spans="2:39" customFormat="1" x14ac:dyDescent="0.25">
      <c r="B5" s="121" t="s">
        <v>43</v>
      </c>
      <c r="C5" s="122" t="s">
        <v>44</v>
      </c>
      <c r="D5" s="123">
        <v>5.2</v>
      </c>
      <c r="E5" s="124">
        <v>5</v>
      </c>
      <c r="F5" s="122" t="s">
        <v>45</v>
      </c>
      <c r="G5" s="124">
        <v>5</v>
      </c>
      <c r="H5" s="122" t="s">
        <v>45</v>
      </c>
      <c r="I5" s="124">
        <v>5</v>
      </c>
      <c r="J5" s="122" t="s">
        <v>45</v>
      </c>
      <c r="K5" s="124">
        <v>5</v>
      </c>
      <c r="L5" s="122" t="s">
        <v>45</v>
      </c>
      <c r="M5" s="124">
        <v>7.5</v>
      </c>
      <c r="N5" s="122" t="s">
        <v>45</v>
      </c>
      <c r="O5" s="124">
        <v>7.5</v>
      </c>
      <c r="P5" s="122" t="s">
        <v>45</v>
      </c>
      <c r="Q5" s="124">
        <v>7.5</v>
      </c>
      <c r="R5" s="122" t="s">
        <v>45</v>
      </c>
      <c r="S5" s="124">
        <v>7.5</v>
      </c>
      <c r="T5" s="122" t="s">
        <v>45</v>
      </c>
      <c r="U5" s="124">
        <v>7.5</v>
      </c>
      <c r="V5" s="122" t="s">
        <v>45</v>
      </c>
      <c r="W5" s="124">
        <v>7.5</v>
      </c>
      <c r="X5" s="122" t="s">
        <v>45</v>
      </c>
      <c r="Y5" s="37">
        <v>7.5</v>
      </c>
      <c r="Z5" s="8" t="s">
        <v>45</v>
      </c>
      <c r="AA5" s="125"/>
      <c r="AB5" s="126">
        <v>165705</v>
      </c>
      <c r="AC5" s="126">
        <v>162233</v>
      </c>
      <c r="AD5" s="126">
        <v>160430</v>
      </c>
      <c r="AE5" s="126">
        <v>160519</v>
      </c>
      <c r="AF5" s="126">
        <v>236395</v>
      </c>
      <c r="AG5" s="126">
        <v>226490</v>
      </c>
      <c r="AH5" s="126"/>
      <c r="AI5" s="124">
        <v>283815</v>
      </c>
      <c r="AJ5" s="126">
        <v>272653.75</v>
      </c>
      <c r="AK5" s="7">
        <v>269775.40000000002</v>
      </c>
      <c r="AL5" s="127"/>
    </row>
    <row r="6" spans="2:39" customFormat="1" x14ac:dyDescent="0.25">
      <c r="B6" s="121" t="s">
        <v>46</v>
      </c>
      <c r="C6" s="122" t="s">
        <v>44</v>
      </c>
      <c r="D6" s="123">
        <v>6.8</v>
      </c>
      <c r="E6" s="124">
        <v>57.75</v>
      </c>
      <c r="F6" s="122" t="s">
        <v>45</v>
      </c>
      <c r="G6" s="124">
        <v>0</v>
      </c>
      <c r="H6" s="122" t="s">
        <v>47</v>
      </c>
      <c r="I6" s="124">
        <v>0</v>
      </c>
      <c r="J6" s="122" t="s">
        <v>47</v>
      </c>
      <c r="K6" s="124">
        <v>0</v>
      </c>
      <c r="L6" s="122" t="s">
        <v>47</v>
      </c>
      <c r="M6" s="124">
        <v>0</v>
      </c>
      <c r="N6" s="122" t="s">
        <v>47</v>
      </c>
      <c r="O6" s="124">
        <v>0</v>
      </c>
      <c r="P6" s="122" t="s">
        <v>47</v>
      </c>
      <c r="Q6" s="124">
        <v>0</v>
      </c>
      <c r="R6" s="122" t="s">
        <v>47</v>
      </c>
      <c r="S6" s="124">
        <v>0</v>
      </c>
      <c r="T6" s="122" t="s">
        <v>47</v>
      </c>
      <c r="U6" s="124">
        <v>0</v>
      </c>
      <c r="V6" s="122" t="s">
        <v>47</v>
      </c>
      <c r="W6" s="124">
        <v>0</v>
      </c>
      <c r="X6" s="122" t="s">
        <v>47</v>
      </c>
      <c r="Y6" s="37">
        <v>0</v>
      </c>
      <c r="Z6" s="8" t="s">
        <v>47</v>
      </c>
      <c r="AA6" s="125"/>
      <c r="AB6" s="126">
        <v>2165642</v>
      </c>
      <c r="AC6" s="126">
        <v>0</v>
      </c>
      <c r="AD6" s="126">
        <v>0</v>
      </c>
      <c r="AE6" s="126">
        <v>0</v>
      </c>
      <c r="AF6" s="126">
        <v>0</v>
      </c>
      <c r="AG6" s="126">
        <v>0</v>
      </c>
      <c r="AH6" s="126"/>
      <c r="AI6" s="124">
        <v>0</v>
      </c>
      <c r="AJ6" s="126"/>
      <c r="AK6" s="7"/>
    </row>
    <row r="7" spans="2:39" customFormat="1" x14ac:dyDescent="0.25">
      <c r="B7" s="121" t="s">
        <v>48</v>
      </c>
      <c r="C7" s="122" t="s">
        <v>44</v>
      </c>
      <c r="D7" s="123">
        <v>4.0999999999999996</v>
      </c>
      <c r="E7" s="124">
        <v>4</v>
      </c>
      <c r="F7" s="122" t="s">
        <v>49</v>
      </c>
      <c r="G7" s="124">
        <v>4</v>
      </c>
      <c r="H7" s="122" t="s">
        <v>49</v>
      </c>
      <c r="I7" s="124">
        <v>4</v>
      </c>
      <c r="J7" s="122" t="s">
        <v>49</v>
      </c>
      <c r="K7" s="124">
        <v>6.25</v>
      </c>
      <c r="L7" s="122" t="s">
        <v>49</v>
      </c>
      <c r="M7" s="124">
        <v>6.25</v>
      </c>
      <c r="N7" s="122" t="s">
        <v>49</v>
      </c>
      <c r="O7" s="124">
        <v>6.25</v>
      </c>
      <c r="P7" s="122" t="s">
        <v>49</v>
      </c>
      <c r="Q7" s="124">
        <v>6.25</v>
      </c>
      <c r="R7" s="122" t="s">
        <v>49</v>
      </c>
      <c r="S7" s="124">
        <v>6.25</v>
      </c>
      <c r="T7" s="122" t="s">
        <v>49</v>
      </c>
      <c r="U7" s="124">
        <v>6.25</v>
      </c>
      <c r="V7" s="122" t="s">
        <v>49</v>
      </c>
      <c r="W7" s="124">
        <v>6.25</v>
      </c>
      <c r="X7" s="122" t="s">
        <v>49</v>
      </c>
      <c r="Y7" s="37">
        <v>8.25</v>
      </c>
      <c r="Z7" s="8" t="s">
        <v>49</v>
      </c>
      <c r="AA7" s="125"/>
      <c r="AB7" s="126">
        <v>1478298</v>
      </c>
      <c r="AC7" s="126">
        <v>1482249</v>
      </c>
      <c r="AD7" s="126">
        <v>1496959</v>
      </c>
      <c r="AE7" s="126">
        <v>2370885</v>
      </c>
      <c r="AF7" s="126">
        <v>2359760.4</v>
      </c>
      <c r="AG7" s="126">
        <v>2310553.63</v>
      </c>
      <c r="AH7" s="126">
        <v>2330920</v>
      </c>
      <c r="AI7" s="124">
        <v>2390018.5099999998</v>
      </c>
      <c r="AJ7" s="126">
        <v>2303566.5299999998</v>
      </c>
      <c r="AK7" s="7">
        <v>2297233.87</v>
      </c>
      <c r="AL7" s="127"/>
    </row>
    <row r="8" spans="2:39" customFormat="1" x14ac:dyDescent="0.25">
      <c r="B8" s="121" t="s">
        <v>50</v>
      </c>
      <c r="C8" s="122" t="s">
        <v>51</v>
      </c>
      <c r="D8" s="123">
        <v>5.5</v>
      </c>
      <c r="E8" s="124">
        <v>7</v>
      </c>
      <c r="F8" s="122" t="s">
        <v>45</v>
      </c>
      <c r="G8" s="124">
        <v>7.25</v>
      </c>
      <c r="H8" s="122" t="s">
        <v>45</v>
      </c>
      <c r="I8" s="124">
        <v>7.5</v>
      </c>
      <c r="J8" s="122" t="s">
        <v>45</v>
      </c>
      <c r="K8" s="124">
        <v>7.75</v>
      </c>
      <c r="L8" s="122" t="s">
        <v>45</v>
      </c>
      <c r="M8" s="124">
        <v>7.75</v>
      </c>
      <c r="N8" s="122" t="s">
        <v>45</v>
      </c>
      <c r="O8" s="124">
        <v>7.75</v>
      </c>
      <c r="P8" s="122" t="s">
        <v>45</v>
      </c>
      <c r="Q8" s="124">
        <v>7.75</v>
      </c>
      <c r="R8" s="122" t="s">
        <v>45</v>
      </c>
      <c r="S8" s="124">
        <v>7.75</v>
      </c>
      <c r="T8" s="122" t="s">
        <v>45</v>
      </c>
      <c r="U8" s="124">
        <v>7.75</v>
      </c>
      <c r="V8" s="122" t="s">
        <v>45</v>
      </c>
      <c r="W8" s="124">
        <v>7.75</v>
      </c>
      <c r="X8" s="122" t="s">
        <v>45</v>
      </c>
      <c r="Y8" s="37">
        <v>7.75</v>
      </c>
      <c r="Z8" s="8" t="s">
        <v>45</v>
      </c>
      <c r="AA8" s="125"/>
      <c r="AB8" s="126">
        <v>286570</v>
      </c>
      <c r="AC8" s="126">
        <v>235488</v>
      </c>
      <c r="AD8" s="126">
        <v>241704</v>
      </c>
      <c r="AE8" s="126">
        <v>250476</v>
      </c>
      <c r="AF8" s="126">
        <v>249005.68</v>
      </c>
      <c r="AG8" s="126">
        <v>245367.46</v>
      </c>
      <c r="AH8" s="126">
        <v>221882</v>
      </c>
      <c r="AI8" s="124">
        <v>293275.94</v>
      </c>
      <c r="AJ8" s="126">
        <v>281740.46999999997</v>
      </c>
      <c r="AK8" s="7">
        <v>278661.96999999997</v>
      </c>
      <c r="AL8" s="127"/>
    </row>
    <row r="9" spans="2:39" customFormat="1" x14ac:dyDescent="0.25">
      <c r="B9" s="121" t="s">
        <v>52</v>
      </c>
      <c r="C9" s="122" t="s">
        <v>44</v>
      </c>
      <c r="D9" s="123">
        <v>5.3</v>
      </c>
      <c r="E9" s="124">
        <v>0</v>
      </c>
      <c r="F9" s="122" t="s">
        <v>53</v>
      </c>
      <c r="G9" s="124">
        <v>81.25</v>
      </c>
      <c r="H9" s="122" t="s">
        <v>45</v>
      </c>
      <c r="I9" s="124">
        <v>85.3</v>
      </c>
      <c r="J9" s="122" t="s">
        <v>45</v>
      </c>
      <c r="K9" s="124">
        <v>88.3</v>
      </c>
      <c r="L9" s="122" t="s">
        <v>45</v>
      </c>
      <c r="M9" s="124">
        <v>92.95</v>
      </c>
      <c r="N9" s="122" t="s">
        <v>45</v>
      </c>
      <c r="O9" s="124">
        <v>98.05</v>
      </c>
      <c r="P9" s="122" t="s">
        <v>45</v>
      </c>
      <c r="Q9" s="124">
        <v>104.15</v>
      </c>
      <c r="R9" s="122" t="s">
        <v>45</v>
      </c>
      <c r="S9" s="124">
        <v>109</v>
      </c>
      <c r="T9" s="122" t="s">
        <v>45</v>
      </c>
      <c r="U9" s="124">
        <v>110.7</v>
      </c>
      <c r="V9" s="122" t="s">
        <v>45</v>
      </c>
      <c r="W9" s="124">
        <v>114</v>
      </c>
      <c r="X9" s="122" t="s">
        <v>45</v>
      </c>
      <c r="Y9" s="37">
        <v>120</v>
      </c>
      <c r="Z9" s="8" t="s">
        <v>45</v>
      </c>
      <c r="AA9" s="125"/>
      <c r="AB9" s="126">
        <v>0</v>
      </c>
      <c r="AC9" s="126">
        <v>3068957</v>
      </c>
      <c r="AD9" s="126">
        <v>3252801</v>
      </c>
      <c r="AE9" s="126">
        <v>3397877</v>
      </c>
      <c r="AF9" s="126">
        <v>3530436.35</v>
      </c>
      <c r="AG9" s="126">
        <v>3621929.15</v>
      </c>
      <c r="AH9" s="126">
        <v>3841363</v>
      </c>
      <c r="AI9" s="124">
        <v>4132286.85</v>
      </c>
      <c r="AJ9" s="126">
        <v>4042511.65</v>
      </c>
      <c r="AK9" s="7">
        <v>4131019.08</v>
      </c>
      <c r="AL9" s="127"/>
    </row>
    <row r="10" spans="2:39" customFormat="1" x14ac:dyDescent="0.25">
      <c r="B10" s="121" t="s">
        <v>54</v>
      </c>
      <c r="C10" s="122" t="s">
        <v>44</v>
      </c>
      <c r="D10" s="123">
        <v>2.2000000000000002</v>
      </c>
      <c r="E10" s="124">
        <v>1.5</v>
      </c>
      <c r="F10" s="122" t="s">
        <v>49</v>
      </c>
      <c r="G10" s="124">
        <v>1.5</v>
      </c>
      <c r="H10" s="122" t="s">
        <v>49</v>
      </c>
      <c r="I10" s="124">
        <v>1.5</v>
      </c>
      <c r="J10" s="122" t="s">
        <v>49</v>
      </c>
      <c r="K10" s="124">
        <v>1.5</v>
      </c>
      <c r="L10" s="122" t="s">
        <v>49</v>
      </c>
      <c r="M10" s="124">
        <v>1.5</v>
      </c>
      <c r="N10" s="122" t="s">
        <v>49</v>
      </c>
      <c r="O10" s="124">
        <v>1.5</v>
      </c>
      <c r="P10" s="122" t="s">
        <v>49</v>
      </c>
      <c r="Q10" s="124">
        <v>1.5</v>
      </c>
      <c r="R10" s="122" t="s">
        <v>49</v>
      </c>
      <c r="S10" s="124">
        <v>1.5</v>
      </c>
      <c r="T10" s="122" t="s">
        <v>49</v>
      </c>
      <c r="U10" s="124">
        <v>1.5</v>
      </c>
      <c r="V10" s="122" t="s">
        <v>49</v>
      </c>
      <c r="W10" s="124">
        <v>1.5</v>
      </c>
      <c r="X10" s="122" t="s">
        <v>49</v>
      </c>
      <c r="Y10" s="37">
        <v>3</v>
      </c>
      <c r="Z10" s="8" t="s">
        <v>49</v>
      </c>
      <c r="AA10" s="125"/>
      <c r="AB10" s="126">
        <v>559811</v>
      </c>
      <c r="AC10" s="126">
        <v>561390</v>
      </c>
      <c r="AD10" s="126">
        <v>566286</v>
      </c>
      <c r="AE10" s="126">
        <v>572942</v>
      </c>
      <c r="AF10" s="126">
        <v>570859.5</v>
      </c>
      <c r="AG10" s="126">
        <v>558171</v>
      </c>
      <c r="AH10" s="126">
        <v>564070</v>
      </c>
      <c r="AI10" s="124">
        <v>578705.31999999995</v>
      </c>
      <c r="AJ10" s="126">
        <v>556931.63</v>
      </c>
      <c r="AK10" s="7">
        <v>555239.63</v>
      </c>
      <c r="AL10" s="127"/>
    </row>
    <row r="11" spans="2:39" customFormat="1" x14ac:dyDescent="0.25">
      <c r="B11" s="121" t="s">
        <v>55</v>
      </c>
      <c r="C11" s="122" t="s">
        <v>44</v>
      </c>
      <c r="D11" s="123">
        <v>1.1000000000000001</v>
      </c>
      <c r="E11" s="124">
        <v>10</v>
      </c>
      <c r="F11" s="122" t="s">
        <v>49</v>
      </c>
      <c r="G11" s="124">
        <v>10</v>
      </c>
      <c r="H11" s="122" t="s">
        <v>49</v>
      </c>
      <c r="I11" s="124">
        <v>11</v>
      </c>
      <c r="J11" s="122" t="s">
        <v>49</v>
      </c>
      <c r="K11" s="124">
        <v>11</v>
      </c>
      <c r="L11" s="122" t="s">
        <v>49</v>
      </c>
      <c r="M11" s="124">
        <v>11</v>
      </c>
      <c r="N11" s="122" t="s">
        <v>49</v>
      </c>
      <c r="O11" s="124">
        <v>11</v>
      </c>
      <c r="P11" s="122" t="s">
        <v>49</v>
      </c>
      <c r="Q11" s="124">
        <v>11</v>
      </c>
      <c r="R11" s="122" t="s">
        <v>49</v>
      </c>
      <c r="S11" s="124">
        <v>11</v>
      </c>
      <c r="T11" s="122" t="s">
        <v>49</v>
      </c>
      <c r="U11" s="124">
        <v>11</v>
      </c>
      <c r="V11" s="122" t="s">
        <v>49</v>
      </c>
      <c r="W11" s="124">
        <v>11</v>
      </c>
      <c r="X11" s="122" t="s">
        <v>49</v>
      </c>
      <c r="Y11" s="37">
        <v>11</v>
      </c>
      <c r="Z11" s="8" t="s">
        <v>49</v>
      </c>
      <c r="AA11" s="125"/>
      <c r="AB11" s="126">
        <v>3681996</v>
      </c>
      <c r="AC11" s="126">
        <v>3716889</v>
      </c>
      <c r="AD11" s="126">
        <v>4132659</v>
      </c>
      <c r="AE11" s="126">
        <v>4192515</v>
      </c>
      <c r="AF11" s="126">
        <v>4176822.16</v>
      </c>
      <c r="AG11" s="126">
        <v>4183872</v>
      </c>
      <c r="AH11" s="126">
        <v>4153717</v>
      </c>
      <c r="AI11" s="124">
        <v>4219870.08</v>
      </c>
      <c r="AJ11" s="126">
        <v>4053320.84</v>
      </c>
      <c r="AK11" s="7">
        <v>4043139.15</v>
      </c>
      <c r="AL11" s="127"/>
    </row>
    <row r="12" spans="2:39" customFormat="1" x14ac:dyDescent="0.25">
      <c r="B12" s="121" t="s">
        <v>56</v>
      </c>
      <c r="C12" s="122" t="s">
        <v>57</v>
      </c>
      <c r="D12" s="123">
        <v>5.5</v>
      </c>
      <c r="E12" s="124">
        <v>0</v>
      </c>
      <c r="F12" s="122" t="s">
        <v>53</v>
      </c>
      <c r="G12" s="124">
        <v>0</v>
      </c>
      <c r="H12" s="122" t="s">
        <v>58</v>
      </c>
      <c r="I12" s="124">
        <v>0</v>
      </c>
      <c r="J12" s="122" t="s">
        <v>58</v>
      </c>
      <c r="K12" s="124">
        <v>0</v>
      </c>
      <c r="L12" s="122" t="s">
        <v>58</v>
      </c>
      <c r="M12" s="124">
        <v>0</v>
      </c>
      <c r="N12" s="122" t="s">
        <v>58</v>
      </c>
      <c r="O12" s="124">
        <v>0</v>
      </c>
      <c r="P12" s="122" t="s">
        <v>58</v>
      </c>
      <c r="Q12" s="124">
        <v>0</v>
      </c>
      <c r="R12" s="122" t="s">
        <v>58</v>
      </c>
      <c r="S12" s="124">
        <v>0</v>
      </c>
      <c r="T12" s="122" t="s">
        <v>58</v>
      </c>
      <c r="U12" s="124">
        <v>0</v>
      </c>
      <c r="V12" s="122" t="s">
        <v>58</v>
      </c>
      <c r="W12" s="124">
        <v>0</v>
      </c>
      <c r="X12" s="122" t="s">
        <v>58</v>
      </c>
      <c r="Y12" s="37">
        <v>0</v>
      </c>
      <c r="Z12" s="8" t="s">
        <v>58</v>
      </c>
      <c r="AA12" s="125"/>
      <c r="AB12" s="126">
        <v>11327736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4">
        <v>0</v>
      </c>
      <c r="AJ12" s="126"/>
      <c r="AK12" s="7"/>
    </row>
    <row r="13" spans="2:39" customFormat="1" x14ac:dyDescent="0.25">
      <c r="B13" s="121" t="s">
        <v>59</v>
      </c>
      <c r="C13" s="122" t="s">
        <v>57</v>
      </c>
      <c r="D13" s="123">
        <v>5.5</v>
      </c>
      <c r="E13" s="124">
        <v>16.32</v>
      </c>
      <c r="F13" s="122" t="s">
        <v>45</v>
      </c>
      <c r="G13" s="124">
        <v>16.7</v>
      </c>
      <c r="H13" s="122" t="s">
        <v>45</v>
      </c>
      <c r="I13" s="124">
        <v>18.39</v>
      </c>
      <c r="J13" s="122" t="s">
        <v>45</v>
      </c>
      <c r="K13" s="124">
        <v>18.39</v>
      </c>
      <c r="L13" s="122" t="s">
        <v>45</v>
      </c>
      <c r="M13" s="124">
        <v>19.600000000000001</v>
      </c>
      <c r="N13" s="122" t="s">
        <v>45</v>
      </c>
      <c r="O13" s="124">
        <v>19.600000000000001</v>
      </c>
      <c r="P13" s="122" t="s">
        <v>45</v>
      </c>
      <c r="Q13" s="124">
        <v>20.7</v>
      </c>
      <c r="R13" s="122" t="s">
        <v>45</v>
      </c>
      <c r="S13" s="124">
        <v>21.6</v>
      </c>
      <c r="T13" s="122" t="s">
        <v>45</v>
      </c>
      <c r="U13" s="124">
        <v>21.6</v>
      </c>
      <c r="V13" s="122" t="s">
        <v>45</v>
      </c>
      <c r="W13" s="124">
        <v>21.6</v>
      </c>
      <c r="X13" s="122" t="s">
        <v>45</v>
      </c>
      <c r="Y13" s="37">
        <v>23.96</v>
      </c>
      <c r="Z13" s="8" t="s">
        <v>45</v>
      </c>
      <c r="AA13" s="125"/>
      <c r="AB13" s="126">
        <v>0</v>
      </c>
      <c r="AC13" s="126">
        <v>540584</v>
      </c>
      <c r="AD13" s="126">
        <v>590812</v>
      </c>
      <c r="AE13" s="126">
        <v>588447</v>
      </c>
      <c r="AF13" s="126">
        <v>616434.18999999994</v>
      </c>
      <c r="AG13" s="126">
        <v>591153.25</v>
      </c>
      <c r="AH13" s="126">
        <v>590622</v>
      </c>
      <c r="AI13" s="124">
        <v>335741.55000000005</v>
      </c>
      <c r="AJ13" s="126">
        <v>518719.59</v>
      </c>
      <c r="AK13" s="7">
        <v>528194.44999999995</v>
      </c>
      <c r="AL13" s="127"/>
    </row>
    <row r="14" spans="2:39" customFormat="1" x14ac:dyDescent="0.25">
      <c r="B14" s="121" t="s">
        <v>60</v>
      </c>
      <c r="C14" s="122" t="s">
        <v>57</v>
      </c>
      <c r="D14" s="123">
        <v>5.5</v>
      </c>
      <c r="E14" s="124">
        <v>17.3</v>
      </c>
      <c r="F14" s="122" t="s">
        <v>49</v>
      </c>
      <c r="G14" s="124">
        <v>17.3</v>
      </c>
      <c r="H14" s="122" t="s">
        <v>49</v>
      </c>
      <c r="I14" s="124">
        <v>0</v>
      </c>
      <c r="J14" s="122" t="s">
        <v>47</v>
      </c>
      <c r="K14" s="124">
        <v>0</v>
      </c>
      <c r="L14" s="122" t="s">
        <v>47</v>
      </c>
      <c r="M14" s="124">
        <v>0</v>
      </c>
      <c r="N14" s="122" t="s">
        <v>47</v>
      </c>
      <c r="O14" s="124">
        <v>0</v>
      </c>
      <c r="P14" s="122" t="s">
        <v>47</v>
      </c>
      <c r="Q14" s="124">
        <v>0</v>
      </c>
      <c r="R14" s="122" t="s">
        <v>47</v>
      </c>
      <c r="S14" s="124">
        <v>0</v>
      </c>
      <c r="T14" s="122" t="s">
        <v>47</v>
      </c>
      <c r="U14" s="124">
        <v>0</v>
      </c>
      <c r="V14" s="122" t="s">
        <v>47</v>
      </c>
      <c r="W14" s="124"/>
      <c r="X14" s="122"/>
      <c r="Y14" s="37"/>
      <c r="Z14" s="8"/>
      <c r="AA14" s="125"/>
      <c r="AB14" s="126">
        <v>0</v>
      </c>
      <c r="AC14" s="126">
        <v>10931998</v>
      </c>
      <c r="AD14" s="126">
        <v>11513632</v>
      </c>
      <c r="AE14" s="126">
        <v>11871448</v>
      </c>
      <c r="AF14" s="126">
        <v>12184441.41</v>
      </c>
      <c r="AG14" s="126">
        <f>12599115.58-591153.25</f>
        <v>12007962.33</v>
      </c>
      <c r="AH14" s="126">
        <v>11705190</v>
      </c>
      <c r="AI14" s="124">
        <v>5319125.07</v>
      </c>
      <c r="AJ14" s="126">
        <v>9454075.9800000004</v>
      </c>
      <c r="AK14" s="7">
        <v>12020711.199999999</v>
      </c>
      <c r="AL14" s="127"/>
    </row>
    <row r="15" spans="2:39" customFormat="1" x14ac:dyDescent="0.25">
      <c r="B15" s="121" t="s">
        <v>61</v>
      </c>
      <c r="C15" s="122" t="s">
        <v>57</v>
      </c>
      <c r="D15" s="123">
        <v>5.5</v>
      </c>
      <c r="E15" s="124">
        <v>178.64</v>
      </c>
      <c r="F15" s="122" t="s">
        <v>45</v>
      </c>
      <c r="G15" s="124">
        <v>192.16</v>
      </c>
      <c r="H15" s="122" t="s">
        <v>45</v>
      </c>
      <c r="I15" s="124">
        <v>252.6</v>
      </c>
      <c r="J15" s="122" t="s">
        <v>45</v>
      </c>
      <c r="K15" s="124">
        <v>260.2</v>
      </c>
      <c r="L15" s="122" t="s">
        <v>45</v>
      </c>
      <c r="M15" s="124">
        <v>271.5</v>
      </c>
      <c r="N15" s="122" t="s">
        <v>45</v>
      </c>
      <c r="O15" s="124">
        <v>278.3</v>
      </c>
      <c r="P15" s="122" t="s">
        <v>45</v>
      </c>
      <c r="Q15" s="124">
        <v>285</v>
      </c>
      <c r="R15" s="122" t="s">
        <v>45</v>
      </c>
      <c r="S15" s="124">
        <v>292.85000000000002</v>
      </c>
      <c r="T15" s="122" t="s">
        <v>45</v>
      </c>
      <c r="U15" s="124">
        <v>315.67</v>
      </c>
      <c r="V15" s="122" t="s">
        <v>45</v>
      </c>
      <c r="W15" s="124"/>
      <c r="X15" s="122"/>
      <c r="Y15" s="37"/>
      <c r="Z15" s="8"/>
      <c r="AA15" s="125"/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4">
        <v>0</v>
      </c>
      <c r="AJ15" s="126"/>
      <c r="AK15" s="7"/>
    </row>
    <row r="16" spans="2:39" customFormat="1" x14ac:dyDescent="0.25">
      <c r="B16" s="121" t="s">
        <v>62</v>
      </c>
      <c r="C16" s="122" t="s">
        <v>57</v>
      </c>
      <c r="D16" s="123">
        <v>5.5</v>
      </c>
      <c r="E16" s="124"/>
      <c r="F16" s="122"/>
      <c r="G16" s="124"/>
      <c r="H16" s="122"/>
      <c r="I16" s="124">
        <v>418.95</v>
      </c>
      <c r="J16" s="122" t="s">
        <v>45</v>
      </c>
      <c r="K16" s="124">
        <v>431.5</v>
      </c>
      <c r="L16" s="122" t="s">
        <v>45</v>
      </c>
      <c r="M16" s="124">
        <v>450.25</v>
      </c>
      <c r="N16" s="122" t="s">
        <v>45</v>
      </c>
      <c r="O16" s="124">
        <v>461.5</v>
      </c>
      <c r="P16" s="122" t="s">
        <v>45</v>
      </c>
      <c r="Q16" s="124">
        <v>472.6</v>
      </c>
      <c r="R16" s="122" t="s">
        <v>45</v>
      </c>
      <c r="S16" s="124">
        <v>485.6</v>
      </c>
      <c r="T16" s="122" t="s">
        <v>45</v>
      </c>
      <c r="U16" s="124">
        <v>509.42</v>
      </c>
      <c r="V16" s="122" t="s">
        <v>45</v>
      </c>
      <c r="W16" s="124">
        <v>500</v>
      </c>
      <c r="X16" s="122" t="s">
        <v>45</v>
      </c>
      <c r="Y16" s="37">
        <v>520</v>
      </c>
      <c r="Z16" s="8" t="s">
        <v>45</v>
      </c>
      <c r="AA16" s="125"/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4">
        <v>0</v>
      </c>
      <c r="AJ16" s="126"/>
      <c r="AK16" s="7"/>
    </row>
    <row r="17" spans="2:38" customFormat="1" x14ac:dyDescent="0.25">
      <c r="B17" s="121" t="s">
        <v>136</v>
      </c>
      <c r="C17" s="122" t="s">
        <v>57</v>
      </c>
      <c r="D17" s="123">
        <v>5.5</v>
      </c>
      <c r="E17" s="124"/>
      <c r="F17" s="122"/>
      <c r="G17" s="124"/>
      <c r="H17" s="122"/>
      <c r="I17" s="124"/>
      <c r="J17" s="122"/>
      <c r="K17" s="124"/>
      <c r="L17" s="122"/>
      <c r="M17" s="124"/>
      <c r="N17" s="122"/>
      <c r="O17" s="124"/>
      <c r="P17" s="122"/>
      <c r="Q17" s="124"/>
      <c r="R17" s="122"/>
      <c r="S17" s="124"/>
      <c r="T17" s="122"/>
      <c r="U17" s="124"/>
      <c r="V17" s="122"/>
      <c r="W17" s="124"/>
      <c r="X17" s="122"/>
      <c r="Y17" s="37"/>
      <c r="Z17" s="8"/>
      <c r="AA17" s="125"/>
      <c r="AB17" s="126"/>
      <c r="AC17" s="126"/>
      <c r="AD17" s="126"/>
      <c r="AE17" s="126"/>
      <c r="AF17" s="126"/>
      <c r="AG17" s="126"/>
      <c r="AH17" s="126"/>
      <c r="AI17" s="124">
        <v>5925000</v>
      </c>
      <c r="AJ17" s="126"/>
      <c r="AK17" s="7"/>
    </row>
    <row r="18" spans="2:38" customFormat="1" x14ac:dyDescent="0.25">
      <c r="B18" s="10"/>
      <c r="C18" s="8"/>
      <c r="D18" s="9"/>
      <c r="E18" s="124"/>
      <c r="F18" s="122"/>
      <c r="G18" s="124"/>
      <c r="H18" s="122"/>
      <c r="I18" s="124"/>
      <c r="J18" s="122"/>
      <c r="K18" s="124"/>
      <c r="L18" s="122"/>
      <c r="M18" s="124"/>
      <c r="N18" s="122"/>
      <c r="O18" s="124"/>
      <c r="P18" s="122"/>
      <c r="Q18" s="124"/>
      <c r="R18" s="122"/>
      <c r="S18" s="124"/>
      <c r="T18" s="122"/>
      <c r="U18" s="124"/>
      <c r="V18" s="122"/>
      <c r="W18" s="124"/>
      <c r="X18" s="122"/>
      <c r="Y18" s="37"/>
      <c r="Z18" s="8"/>
      <c r="AA18" s="125"/>
      <c r="AB18" s="126"/>
      <c r="AC18" s="126"/>
      <c r="AD18" s="126"/>
      <c r="AE18" s="126"/>
      <c r="AF18" s="126"/>
      <c r="AG18" s="126"/>
      <c r="AH18" s="126"/>
      <c r="AI18" s="124"/>
      <c r="AJ18" s="126"/>
      <c r="AK18" s="7"/>
    </row>
    <row r="19" spans="2:38" customFormat="1" x14ac:dyDescent="0.25">
      <c r="B19" s="10"/>
      <c r="C19" s="8"/>
      <c r="D19" s="9"/>
      <c r="E19" s="124"/>
      <c r="F19" s="122"/>
      <c r="G19" s="124"/>
      <c r="H19" s="122"/>
      <c r="I19" s="124"/>
      <c r="J19" s="122"/>
      <c r="K19" s="124"/>
      <c r="L19" s="122"/>
      <c r="M19" s="124"/>
      <c r="N19" s="122"/>
      <c r="O19" s="124"/>
      <c r="P19" s="122"/>
      <c r="Q19" s="124"/>
      <c r="R19" s="122"/>
      <c r="S19" s="124"/>
      <c r="T19" s="122"/>
      <c r="U19" s="124"/>
      <c r="V19" s="122"/>
      <c r="W19" s="124"/>
      <c r="X19" s="122"/>
      <c r="Y19" s="37"/>
      <c r="Z19" s="8"/>
      <c r="AA19" s="125"/>
      <c r="AB19" s="126"/>
      <c r="AC19" s="126"/>
      <c r="AD19" s="126"/>
      <c r="AE19" s="126"/>
      <c r="AF19" s="126"/>
      <c r="AG19" s="126"/>
      <c r="AH19" s="126"/>
      <c r="AI19" s="124"/>
      <c r="AJ19" s="126"/>
      <c r="AK19" s="7"/>
    </row>
    <row r="20" spans="2:38" customFormat="1" x14ac:dyDescent="0.25">
      <c r="B20" s="10"/>
      <c r="C20" s="8"/>
      <c r="D20" s="9"/>
      <c r="E20" s="124"/>
      <c r="F20" s="122"/>
      <c r="G20" s="124"/>
      <c r="H20" s="122"/>
      <c r="I20" s="124"/>
      <c r="J20" s="122"/>
      <c r="K20" s="124"/>
      <c r="L20" s="122"/>
      <c r="M20" s="124"/>
      <c r="N20" s="122"/>
      <c r="O20" s="124"/>
      <c r="P20" s="122"/>
      <c r="Q20" s="124"/>
      <c r="R20" s="122"/>
      <c r="S20" s="124"/>
      <c r="T20" s="122"/>
      <c r="U20" s="124"/>
      <c r="V20" s="122"/>
      <c r="W20" s="124"/>
      <c r="X20" s="122"/>
      <c r="Y20" s="37"/>
      <c r="Z20" s="8"/>
      <c r="AA20" s="125"/>
      <c r="AB20" s="126"/>
      <c r="AC20" s="126"/>
      <c r="AD20" s="126"/>
      <c r="AE20" s="126"/>
      <c r="AF20" s="126"/>
      <c r="AG20" s="126"/>
      <c r="AH20" s="126"/>
      <c r="AI20" s="124"/>
      <c r="AJ20" s="126"/>
      <c r="AK20" s="7"/>
    </row>
    <row r="21" spans="2:38" customFormat="1" x14ac:dyDescent="0.25">
      <c r="B21" s="10"/>
      <c r="C21" s="8"/>
      <c r="D21" s="9"/>
      <c r="E21" s="124"/>
      <c r="F21" s="122"/>
      <c r="G21" s="124"/>
      <c r="H21" s="122"/>
      <c r="I21" s="124"/>
      <c r="J21" s="122"/>
      <c r="K21" s="124"/>
      <c r="L21" s="122"/>
      <c r="M21" s="124"/>
      <c r="N21" s="122"/>
      <c r="O21" s="124"/>
      <c r="P21" s="122"/>
      <c r="Q21" s="124"/>
      <c r="R21" s="122"/>
      <c r="S21" s="124"/>
      <c r="T21" s="122"/>
      <c r="U21" s="124"/>
      <c r="V21" s="122"/>
      <c r="W21" s="124"/>
      <c r="X21" s="122"/>
      <c r="Y21" s="37"/>
      <c r="Z21" s="8"/>
      <c r="AA21" s="125"/>
      <c r="AB21" s="126"/>
      <c r="AC21" s="126"/>
      <c r="AD21" s="126"/>
      <c r="AE21" s="126"/>
      <c r="AF21" s="126"/>
      <c r="AG21" s="126"/>
      <c r="AH21" s="126"/>
      <c r="AI21" s="124"/>
      <c r="AJ21" s="126"/>
      <c r="AK21" s="7"/>
    </row>
    <row r="22" spans="2:38" customFormat="1" x14ac:dyDescent="0.25">
      <c r="B22" s="10"/>
      <c r="C22" s="8"/>
      <c r="D22" s="9"/>
      <c r="E22" s="124"/>
      <c r="F22" s="122"/>
      <c r="G22" s="124"/>
      <c r="H22" s="122"/>
      <c r="I22" s="124"/>
      <c r="J22" s="122"/>
      <c r="K22" s="124"/>
      <c r="L22" s="122"/>
      <c r="M22" s="124"/>
      <c r="N22" s="122"/>
      <c r="O22" s="124"/>
      <c r="P22" s="122"/>
      <c r="Q22" s="124"/>
      <c r="R22" s="122"/>
      <c r="S22" s="124"/>
      <c r="T22" s="122"/>
      <c r="U22" s="124"/>
      <c r="V22" s="122"/>
      <c r="W22" s="124"/>
      <c r="X22" s="122"/>
      <c r="Y22" s="37"/>
      <c r="Z22" s="8"/>
      <c r="AA22" s="125"/>
      <c r="AB22" s="126"/>
      <c r="AC22" s="126"/>
      <c r="AD22" s="126"/>
      <c r="AE22" s="126"/>
      <c r="AF22" s="126"/>
      <c r="AG22" s="126"/>
      <c r="AH22" s="126"/>
      <c r="AI22" s="124"/>
      <c r="AJ22" s="126"/>
      <c r="AK22" s="7"/>
      <c r="AL22" s="127"/>
    </row>
    <row r="23" spans="2:38" customFormat="1" x14ac:dyDescent="0.25">
      <c r="B23" s="10"/>
      <c r="C23" s="8"/>
      <c r="D23" s="9"/>
      <c r="E23" s="124"/>
      <c r="F23" s="122"/>
      <c r="G23" s="124"/>
      <c r="H23" s="122"/>
      <c r="I23" s="124"/>
      <c r="J23" s="122"/>
      <c r="K23" s="124"/>
      <c r="L23" s="122"/>
      <c r="M23" s="124"/>
      <c r="N23" s="122"/>
      <c r="O23" s="124"/>
      <c r="P23" s="122"/>
      <c r="Q23" s="124"/>
      <c r="R23" s="122"/>
      <c r="S23" s="124"/>
      <c r="T23" s="122"/>
      <c r="U23" s="124"/>
      <c r="V23" s="122"/>
      <c r="W23" s="124"/>
      <c r="X23" s="122"/>
      <c r="Y23" s="37"/>
      <c r="Z23" s="8"/>
      <c r="AA23" s="125"/>
      <c r="AB23" s="126"/>
      <c r="AC23" s="126"/>
      <c r="AD23" s="126"/>
      <c r="AE23" s="126"/>
      <c r="AF23" s="126"/>
      <c r="AG23" s="126"/>
      <c r="AH23" s="126"/>
      <c r="AI23" s="124"/>
      <c r="AJ23" s="126"/>
      <c r="AK23" s="7"/>
    </row>
    <row r="24" spans="2:38" customFormat="1" x14ac:dyDescent="0.25">
      <c r="B24" s="128" t="s">
        <v>63</v>
      </c>
      <c r="C24" s="122"/>
      <c r="D24" s="123"/>
      <c r="E24" s="124"/>
      <c r="F24" s="122"/>
      <c r="G24" s="124"/>
      <c r="H24" s="122"/>
      <c r="I24" s="124"/>
      <c r="J24" s="122"/>
      <c r="K24" s="124"/>
      <c r="L24" s="122"/>
      <c r="M24" s="124"/>
      <c r="N24" s="122"/>
      <c r="O24" s="124"/>
      <c r="P24" s="122"/>
      <c r="Q24" s="124"/>
      <c r="R24" s="122"/>
      <c r="S24" s="124"/>
      <c r="T24" s="122"/>
      <c r="U24" s="124"/>
      <c r="V24" s="122"/>
      <c r="W24" s="124"/>
      <c r="X24" s="122"/>
      <c r="Y24" s="124"/>
      <c r="Z24" s="122"/>
      <c r="AA24" s="125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</row>
    <row r="25" spans="2:38" customFormat="1" x14ac:dyDescent="0.25">
      <c r="B25" s="63"/>
      <c r="C25" s="63"/>
      <c r="D25" s="119"/>
      <c r="E25" s="129"/>
      <c r="F25" s="63"/>
      <c r="G25" s="129"/>
      <c r="H25" s="63"/>
      <c r="I25" s="129"/>
      <c r="J25" s="63"/>
      <c r="K25" s="129"/>
      <c r="L25" s="63"/>
      <c r="M25" s="129"/>
      <c r="N25" s="63"/>
      <c r="O25" s="129"/>
      <c r="P25" s="63"/>
      <c r="Q25" s="129"/>
      <c r="R25" s="63"/>
      <c r="S25" s="129"/>
      <c r="T25" s="63"/>
      <c r="U25" s="129"/>
      <c r="V25" s="63"/>
      <c r="W25" s="129"/>
      <c r="X25" s="63"/>
      <c r="Y25" s="129"/>
      <c r="Z25" s="63"/>
      <c r="AA25" s="63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</row>
    <row r="26" spans="2:38" s="138" customFormat="1" ht="17.25" customHeight="1" x14ac:dyDescent="0.25">
      <c r="B26" s="131" t="s">
        <v>64</v>
      </c>
      <c r="C26" s="132"/>
      <c r="D26" s="133"/>
      <c r="E26" s="134"/>
      <c r="F26" s="135"/>
      <c r="G26" s="134"/>
      <c r="H26" s="135"/>
      <c r="I26" s="134"/>
      <c r="J26" s="135"/>
      <c r="K26" s="134"/>
      <c r="L26" s="135"/>
      <c r="M26" s="134"/>
      <c r="N26" s="136"/>
      <c r="O26" s="137"/>
      <c r="Q26" s="139"/>
      <c r="S26" s="139"/>
      <c r="U26" s="139"/>
      <c r="W26" s="139"/>
      <c r="Y26" s="139"/>
      <c r="AB26" s="140">
        <f>SUM(AB$4:AB25)</f>
        <v>19665758</v>
      </c>
      <c r="AC26" s="140">
        <f>SUM(AC$4:AC25)</f>
        <v>20699788</v>
      </c>
      <c r="AD26" s="140">
        <f>SUM(AD$4:AD25)</f>
        <v>21955283</v>
      </c>
      <c r="AE26" s="140">
        <f>SUM(AE$4:AE25)</f>
        <v>23405109</v>
      </c>
      <c r="AF26" s="140">
        <f>SUM(AF$4:AF25)</f>
        <v>23924154.689999998</v>
      </c>
      <c r="AG26" s="140">
        <f>SUM(AG$4:AG25)</f>
        <v>23745498.82</v>
      </c>
      <c r="AH26" s="140">
        <f>SUM(AH$4:AH25)</f>
        <v>23407764</v>
      </c>
      <c r="AI26" s="140">
        <f>SUM(AI$4:AI25)</f>
        <v>23477838.32</v>
      </c>
      <c r="AJ26" s="140">
        <f>SUM(AJ$4:AJ25)</f>
        <v>21483520.440000001</v>
      </c>
      <c r="AK26" s="140">
        <f>SUM(AK$4:AK25)</f>
        <v>24123974.75</v>
      </c>
    </row>
    <row r="27" spans="2:38" customFormat="1" ht="17.25" customHeight="1" x14ac:dyDescent="0.25">
      <c r="B27" s="141"/>
      <c r="C27" s="142"/>
      <c r="D27" s="133"/>
      <c r="E27" s="134"/>
      <c r="F27" s="135"/>
      <c r="G27" s="134"/>
      <c r="H27" s="135"/>
      <c r="I27" s="134"/>
      <c r="J27" s="135"/>
      <c r="K27" s="134"/>
      <c r="L27" s="135"/>
      <c r="M27" s="134"/>
      <c r="N27" s="136"/>
      <c r="O27" s="137"/>
      <c r="Q27" s="137"/>
      <c r="S27" s="137"/>
      <c r="U27" s="137"/>
      <c r="W27" s="137"/>
      <c r="Y27" s="137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</row>
    <row r="28" spans="2:38" s="138" customFormat="1" ht="17.25" customHeight="1" x14ac:dyDescent="0.25">
      <c r="B28" s="131" t="s">
        <v>65</v>
      </c>
      <c r="C28" s="132"/>
      <c r="D28" s="133"/>
      <c r="E28" s="134"/>
      <c r="F28" s="135"/>
      <c r="G28" s="134"/>
      <c r="H28" s="135"/>
      <c r="I28" s="134"/>
      <c r="J28" s="135"/>
      <c r="K28" s="134"/>
      <c r="L28" s="135"/>
      <c r="M28" s="134"/>
      <c r="N28" s="136"/>
      <c r="O28" s="137"/>
      <c r="Q28" s="139"/>
      <c r="S28" s="139"/>
      <c r="U28" s="139"/>
      <c r="W28" s="139"/>
      <c r="Y28" s="139"/>
      <c r="AB28" s="126">
        <v>17181513</v>
      </c>
      <c r="AC28" s="126">
        <v>17858287</v>
      </c>
      <c r="AD28" s="126">
        <v>18711008</v>
      </c>
      <c r="AE28" s="126">
        <v>19989364</v>
      </c>
      <c r="AF28" s="126">
        <v>20621166</v>
      </c>
      <c r="AG28" s="126">
        <v>20512456</v>
      </c>
      <c r="AH28" s="126">
        <v>20094722</v>
      </c>
      <c r="AI28" s="126">
        <v>21065786</v>
      </c>
      <c r="AJ28" s="126">
        <v>18402305.465328384</v>
      </c>
      <c r="AK28" s="7">
        <v>21016808</v>
      </c>
    </row>
    <row r="29" spans="2:38" s="138" customFormat="1" ht="17.25" customHeight="1" x14ac:dyDescent="0.25">
      <c r="B29" s="131" t="s">
        <v>66</v>
      </c>
      <c r="C29" s="132"/>
      <c r="D29" s="133"/>
      <c r="E29" s="134"/>
      <c r="F29" s="135"/>
      <c r="G29" s="134"/>
      <c r="H29" s="135"/>
      <c r="I29" s="134"/>
      <c r="J29" s="135"/>
      <c r="K29" s="134"/>
      <c r="L29" s="135"/>
      <c r="M29" s="134"/>
      <c r="N29" s="136"/>
      <c r="O29" s="137"/>
      <c r="Q29" s="139"/>
      <c r="S29" s="139"/>
      <c r="U29" s="139"/>
      <c r="W29" s="139"/>
      <c r="Y29" s="139"/>
      <c r="AB29" s="126">
        <v>2484245</v>
      </c>
      <c r="AC29" s="126">
        <v>2841501</v>
      </c>
      <c r="AD29" s="126">
        <v>3244275</v>
      </c>
      <c r="AE29" s="126">
        <v>3415745</v>
      </c>
      <c r="AF29" s="126">
        <v>3302989</v>
      </c>
      <c r="AG29" s="126">
        <v>3233043</v>
      </c>
      <c r="AH29" s="126">
        <v>3313042</v>
      </c>
      <c r="AI29" s="126">
        <v>2412052</v>
      </c>
      <c r="AJ29" s="126">
        <v>3081214.5346716158</v>
      </c>
      <c r="AK29" s="7">
        <v>3107167</v>
      </c>
    </row>
    <row r="30" spans="2:38" s="138" customFormat="1" ht="17.25" customHeight="1" x14ac:dyDescent="0.25">
      <c r="B30" s="131" t="s">
        <v>64</v>
      </c>
      <c r="C30" s="132"/>
      <c r="D30" s="133"/>
      <c r="E30" s="134"/>
      <c r="F30" s="135"/>
      <c r="G30" s="134"/>
      <c r="H30" s="135"/>
      <c r="I30" s="134"/>
      <c r="J30" s="135"/>
      <c r="K30" s="134"/>
      <c r="L30" s="135"/>
      <c r="M30" s="134"/>
      <c r="N30" s="136"/>
      <c r="O30" s="137"/>
      <c r="Q30" s="139"/>
      <c r="S30" s="139"/>
      <c r="U30" s="139"/>
      <c r="W30" s="139"/>
      <c r="Y30" s="139"/>
      <c r="AB30" s="140">
        <f t="shared" ref="AB30:AK30" si="0">SUM(AB28:AB29)</f>
        <v>19665758</v>
      </c>
      <c r="AC30" s="140">
        <f t="shared" si="0"/>
        <v>20699788</v>
      </c>
      <c r="AD30" s="140">
        <f t="shared" si="0"/>
        <v>21955283</v>
      </c>
      <c r="AE30" s="140">
        <f t="shared" si="0"/>
        <v>23405109</v>
      </c>
      <c r="AF30" s="140">
        <f t="shared" si="0"/>
        <v>23924155</v>
      </c>
      <c r="AG30" s="140">
        <f t="shared" si="0"/>
        <v>23745499</v>
      </c>
      <c r="AH30" s="140">
        <f t="shared" si="0"/>
        <v>23407764</v>
      </c>
      <c r="AI30" s="140">
        <f t="shared" si="0"/>
        <v>23477838</v>
      </c>
      <c r="AJ30" s="140">
        <f t="shared" si="0"/>
        <v>21483520</v>
      </c>
      <c r="AK30" s="140">
        <f t="shared" si="0"/>
        <v>24123975</v>
      </c>
    </row>
    <row r="31" spans="2:38" ht="23.25" customHeight="1" thickBot="1" x14ac:dyDescent="0.3">
      <c r="B31" s="143" t="s">
        <v>67</v>
      </c>
      <c r="C31" s="143"/>
      <c r="D31" s="144" t="s">
        <v>67</v>
      </c>
      <c r="E31" s="145" t="s">
        <v>67</v>
      </c>
      <c r="F31" s="146" t="s">
        <v>67</v>
      </c>
      <c r="G31" s="145" t="s">
        <v>67</v>
      </c>
      <c r="H31" s="146" t="s">
        <v>67</v>
      </c>
      <c r="I31" s="145" t="s">
        <v>67</v>
      </c>
      <c r="J31" s="146" t="s">
        <v>67</v>
      </c>
      <c r="K31" s="145" t="s">
        <v>67</v>
      </c>
      <c r="L31" s="146" t="s">
        <v>67</v>
      </c>
      <c r="M31" s="145"/>
      <c r="N31" s="146"/>
      <c r="O31" s="145"/>
      <c r="P31" s="146"/>
      <c r="Q31" s="145"/>
      <c r="R31" s="146"/>
      <c r="S31" s="145"/>
      <c r="T31" s="146"/>
      <c r="U31" s="145"/>
      <c r="V31" s="146"/>
      <c r="W31" s="145"/>
      <c r="X31" s="146"/>
      <c r="Y31" s="145"/>
      <c r="Z31" s="146"/>
      <c r="AA31" s="146"/>
      <c r="AB31" s="147" t="s">
        <v>67</v>
      </c>
      <c r="AC31" s="147" t="s">
        <v>67</v>
      </c>
      <c r="AD31" s="147" t="s">
        <v>67</v>
      </c>
      <c r="AE31" s="147" t="s">
        <v>67</v>
      </c>
      <c r="AF31" s="147" t="s">
        <v>67</v>
      </c>
      <c r="AG31" s="147" t="s">
        <v>67</v>
      </c>
      <c r="AH31" s="147" t="s">
        <v>67</v>
      </c>
      <c r="AI31" s="147" t="s">
        <v>67</v>
      </c>
      <c r="AJ31" s="147" t="s">
        <v>67</v>
      </c>
      <c r="AK31" s="147" t="s">
        <v>67</v>
      </c>
    </row>
    <row r="32" spans="2:38" customFormat="1" ht="21.75" customHeight="1" x14ac:dyDescent="0.25">
      <c r="B32" s="118" t="s">
        <v>68</v>
      </c>
      <c r="C32" s="149"/>
      <c r="D32" s="150"/>
      <c r="E32" s="151"/>
      <c r="F32" s="149"/>
      <c r="G32" s="151"/>
      <c r="H32" s="149"/>
      <c r="I32" s="151"/>
      <c r="J32" s="149"/>
      <c r="K32" s="151"/>
      <c r="L32" s="149"/>
      <c r="M32" s="151"/>
      <c r="N32" s="149"/>
      <c r="O32" s="151"/>
      <c r="P32" s="149"/>
      <c r="Q32" s="151"/>
      <c r="R32" s="149"/>
      <c r="S32" s="151"/>
      <c r="T32" s="149"/>
      <c r="U32" s="151"/>
      <c r="V32" s="149"/>
      <c r="W32" s="151"/>
      <c r="X32" s="149"/>
      <c r="Y32" s="151"/>
      <c r="Z32" s="149"/>
      <c r="AA32" s="152"/>
      <c r="AB32" s="153"/>
      <c r="AC32" s="153"/>
      <c r="AD32" s="154"/>
      <c r="AE32" s="154"/>
      <c r="AF32" s="155"/>
      <c r="AG32" s="156"/>
      <c r="AH32" s="156"/>
      <c r="AI32" s="156"/>
      <c r="AJ32" s="156"/>
      <c r="AK32" s="156"/>
    </row>
    <row r="33" spans="2:38" s="90" customFormat="1" ht="14.25" x14ac:dyDescent="0.2">
      <c r="B33" s="121" t="s">
        <v>69</v>
      </c>
      <c r="C33" s="122" t="s">
        <v>44</v>
      </c>
      <c r="D33" s="123">
        <v>0.2</v>
      </c>
      <c r="E33" s="124">
        <v>45</v>
      </c>
      <c r="F33" s="122" t="s">
        <v>70</v>
      </c>
      <c r="G33" s="124">
        <v>45</v>
      </c>
      <c r="H33" s="122" t="s">
        <v>70</v>
      </c>
      <c r="I33" s="124">
        <v>45</v>
      </c>
      <c r="J33" s="122" t="s">
        <v>70</v>
      </c>
      <c r="K33" s="124">
        <v>45</v>
      </c>
      <c r="L33" s="122" t="s">
        <v>70</v>
      </c>
      <c r="M33" s="124">
        <v>45</v>
      </c>
      <c r="N33" s="122" t="s">
        <v>70</v>
      </c>
      <c r="O33" s="124">
        <v>45</v>
      </c>
      <c r="P33" s="122" t="s">
        <v>70</v>
      </c>
      <c r="Q33" s="124">
        <v>50</v>
      </c>
      <c r="R33" s="122" t="s">
        <v>70</v>
      </c>
      <c r="S33" s="124">
        <v>50</v>
      </c>
      <c r="T33" s="122" t="s">
        <v>70</v>
      </c>
      <c r="U33" s="157">
        <v>45</v>
      </c>
      <c r="V33" s="122" t="s">
        <v>70</v>
      </c>
      <c r="W33" s="157">
        <v>50</v>
      </c>
      <c r="X33" s="122" t="s">
        <v>70</v>
      </c>
      <c r="Y33" s="39">
        <v>50</v>
      </c>
      <c r="Z33" s="8" t="s">
        <v>70</v>
      </c>
      <c r="AA33" s="125"/>
      <c r="AB33" s="126">
        <v>131721</v>
      </c>
      <c r="AC33" s="126">
        <v>136862</v>
      </c>
      <c r="AD33" s="126">
        <v>124621</v>
      </c>
      <c r="AE33" s="126">
        <v>114180</v>
      </c>
      <c r="AF33" s="126">
        <v>100035</v>
      </c>
      <c r="AG33" s="126">
        <v>96330</v>
      </c>
      <c r="AH33" s="126">
        <v>80787</v>
      </c>
      <c r="AI33" s="126">
        <v>62905.75</v>
      </c>
      <c r="AJ33" s="126">
        <v>68629</v>
      </c>
      <c r="AK33" s="7">
        <v>95393.5</v>
      </c>
      <c r="AL33" s="158"/>
    </row>
    <row r="34" spans="2:38" s="90" customFormat="1" ht="14.25" x14ac:dyDescent="0.2">
      <c r="B34" s="121" t="s">
        <v>71</v>
      </c>
      <c r="C34" s="122" t="s">
        <v>44</v>
      </c>
      <c r="D34" s="123">
        <v>0.2</v>
      </c>
      <c r="E34" s="124">
        <v>45</v>
      </c>
      <c r="F34" s="122" t="s">
        <v>70</v>
      </c>
      <c r="G34" s="124">
        <v>45</v>
      </c>
      <c r="H34" s="122" t="s">
        <v>70</v>
      </c>
      <c r="I34" s="124">
        <v>45</v>
      </c>
      <c r="J34" s="122" t="s">
        <v>70</v>
      </c>
      <c r="K34" s="124">
        <v>45</v>
      </c>
      <c r="L34" s="122" t="s">
        <v>70</v>
      </c>
      <c r="M34" s="124">
        <v>45</v>
      </c>
      <c r="N34" s="122" t="s">
        <v>70</v>
      </c>
      <c r="O34" s="124">
        <v>45</v>
      </c>
      <c r="P34" s="122" t="s">
        <v>70</v>
      </c>
      <c r="Q34" s="124">
        <v>45</v>
      </c>
      <c r="R34" s="122" t="s">
        <v>70</v>
      </c>
      <c r="S34" s="124">
        <v>45</v>
      </c>
      <c r="T34" s="122" t="s">
        <v>70</v>
      </c>
      <c r="U34" s="157">
        <v>45</v>
      </c>
      <c r="V34" s="122" t="s">
        <v>70</v>
      </c>
      <c r="W34" s="157">
        <v>45</v>
      </c>
      <c r="X34" s="122" t="s">
        <v>70</v>
      </c>
      <c r="Y34" s="39">
        <v>45</v>
      </c>
      <c r="Z34" s="8" t="s">
        <v>70</v>
      </c>
      <c r="AA34" s="125"/>
      <c r="AB34" s="126">
        <v>248321</v>
      </c>
      <c r="AC34" s="126">
        <v>296670</v>
      </c>
      <c r="AD34" s="126">
        <v>255160</v>
      </c>
      <c r="AE34" s="126">
        <v>145051</v>
      </c>
      <c r="AF34" s="126">
        <v>196675</v>
      </c>
      <c r="AG34" s="126">
        <v>196470</v>
      </c>
      <c r="AH34" s="126">
        <v>227255</v>
      </c>
      <c r="AI34" s="126">
        <v>168157</v>
      </c>
      <c r="AJ34" s="126">
        <v>120948</v>
      </c>
      <c r="AK34" s="7">
        <v>129545</v>
      </c>
      <c r="AL34" s="158"/>
    </row>
    <row r="35" spans="2:38" s="90" customFormat="1" ht="14.25" x14ac:dyDescent="0.2">
      <c r="B35" s="121" t="s">
        <v>72</v>
      </c>
      <c r="C35" s="122" t="s">
        <v>44</v>
      </c>
      <c r="D35" s="123">
        <v>0.2</v>
      </c>
      <c r="E35" s="124">
        <v>35</v>
      </c>
      <c r="F35" s="122" t="s">
        <v>58</v>
      </c>
      <c r="G35" s="124">
        <v>35</v>
      </c>
      <c r="H35" s="122" t="s">
        <v>58</v>
      </c>
      <c r="I35" s="124">
        <v>35</v>
      </c>
      <c r="J35" s="122" t="s">
        <v>58</v>
      </c>
      <c r="K35" s="124">
        <v>35</v>
      </c>
      <c r="L35" s="122" t="s">
        <v>58</v>
      </c>
      <c r="M35" s="124">
        <v>35</v>
      </c>
      <c r="N35" s="122" t="s">
        <v>58</v>
      </c>
      <c r="O35" s="124">
        <v>35</v>
      </c>
      <c r="P35" s="122" t="s">
        <v>58</v>
      </c>
      <c r="Q35" s="124">
        <v>35</v>
      </c>
      <c r="R35" s="122" t="s">
        <v>58</v>
      </c>
      <c r="S35" s="124">
        <v>35</v>
      </c>
      <c r="T35" s="122" t="s">
        <v>58</v>
      </c>
      <c r="U35" s="157">
        <v>35</v>
      </c>
      <c r="V35" s="122" t="s">
        <v>58</v>
      </c>
      <c r="W35" s="157">
        <v>35</v>
      </c>
      <c r="X35" s="122" t="s">
        <v>58</v>
      </c>
      <c r="Y35" s="39">
        <v>35</v>
      </c>
      <c r="Z35" s="8" t="s">
        <v>58</v>
      </c>
      <c r="AA35" s="125"/>
      <c r="AB35" s="126">
        <v>113251</v>
      </c>
      <c r="AC35" s="126">
        <v>113440</v>
      </c>
      <c r="AD35" s="126">
        <v>120880</v>
      </c>
      <c r="AE35" s="126">
        <v>119830</v>
      </c>
      <c r="AF35" s="126">
        <v>124189.5</v>
      </c>
      <c r="AG35" s="126">
        <v>120786.5</v>
      </c>
      <c r="AH35" s="126">
        <v>119945</v>
      </c>
      <c r="AI35" s="126">
        <v>129108</v>
      </c>
      <c r="AJ35" s="126">
        <v>128580</v>
      </c>
      <c r="AK35" s="7">
        <v>129675</v>
      </c>
      <c r="AL35" s="158"/>
    </row>
    <row r="36" spans="2:38" s="90" customFormat="1" ht="14.25" x14ac:dyDescent="0.2">
      <c r="B36" s="121" t="s">
        <v>73</v>
      </c>
      <c r="C36" s="122" t="s">
        <v>51</v>
      </c>
      <c r="D36" s="123">
        <v>1.1000000000000001</v>
      </c>
      <c r="E36" s="124">
        <v>25</v>
      </c>
      <c r="F36" s="122" t="s">
        <v>45</v>
      </c>
      <c r="G36" s="124">
        <v>26.25</v>
      </c>
      <c r="H36" s="122" t="s">
        <v>45</v>
      </c>
      <c r="I36" s="124">
        <v>26.25</v>
      </c>
      <c r="J36" s="122" t="s">
        <v>45</v>
      </c>
      <c r="K36" s="124">
        <v>26.25</v>
      </c>
      <c r="L36" s="122" t="s">
        <v>45</v>
      </c>
      <c r="M36" s="124">
        <v>27.56</v>
      </c>
      <c r="N36" s="122" t="s">
        <v>45</v>
      </c>
      <c r="O36" s="124">
        <v>27.56</v>
      </c>
      <c r="P36" s="122" t="s">
        <v>45</v>
      </c>
      <c r="Q36" s="124">
        <v>75</v>
      </c>
      <c r="R36" s="122" t="s">
        <v>45</v>
      </c>
      <c r="S36" s="124">
        <v>75</v>
      </c>
      <c r="T36" s="122" t="s">
        <v>45</v>
      </c>
      <c r="U36" s="157">
        <v>75</v>
      </c>
      <c r="V36" s="122" t="s">
        <v>45</v>
      </c>
      <c r="W36" s="157">
        <v>75</v>
      </c>
      <c r="X36" s="122" t="s">
        <v>45</v>
      </c>
      <c r="Y36" s="39">
        <v>120</v>
      </c>
      <c r="Z36" s="8" t="s">
        <v>45</v>
      </c>
      <c r="AA36" s="125"/>
      <c r="AB36" s="126">
        <v>60498</v>
      </c>
      <c r="AC36" s="126">
        <v>70589</v>
      </c>
      <c r="AD36" s="126">
        <v>76142</v>
      </c>
      <c r="AE36" s="126">
        <v>66558</v>
      </c>
      <c r="AF36" s="126">
        <v>61810.95</v>
      </c>
      <c r="AG36" s="126">
        <v>55914.53</v>
      </c>
      <c r="AH36" s="126">
        <v>155552</v>
      </c>
      <c r="AI36" s="126">
        <v>124237.5</v>
      </c>
      <c r="AJ36" s="126">
        <v>111222.44</v>
      </c>
      <c r="AK36" s="7">
        <v>121650</v>
      </c>
      <c r="AL36" s="158"/>
    </row>
    <row r="37" spans="2:38" s="90" customFormat="1" ht="14.25" x14ac:dyDescent="0.2">
      <c r="B37" s="121" t="s">
        <v>74</v>
      </c>
      <c r="C37" s="122" t="s">
        <v>75</v>
      </c>
      <c r="D37" s="123">
        <v>0.2</v>
      </c>
      <c r="E37" s="124"/>
      <c r="F37" s="122"/>
      <c r="G37" s="124"/>
      <c r="H37" s="122"/>
      <c r="I37" s="124">
        <v>50</v>
      </c>
      <c r="J37" s="122" t="s">
        <v>45</v>
      </c>
      <c r="K37" s="124">
        <v>50</v>
      </c>
      <c r="L37" s="122" t="s">
        <v>45</v>
      </c>
      <c r="M37" s="124">
        <v>50</v>
      </c>
      <c r="N37" s="122" t="s">
        <v>45</v>
      </c>
      <c r="O37" s="124">
        <v>50</v>
      </c>
      <c r="P37" s="122" t="s">
        <v>45</v>
      </c>
      <c r="Q37" s="124">
        <v>50</v>
      </c>
      <c r="R37" s="122" t="s">
        <v>45</v>
      </c>
      <c r="S37" s="124">
        <v>50</v>
      </c>
      <c r="T37" s="122" t="s">
        <v>45</v>
      </c>
      <c r="U37" s="157">
        <v>50</v>
      </c>
      <c r="V37" s="122" t="s">
        <v>45</v>
      </c>
      <c r="W37" s="157">
        <v>50</v>
      </c>
      <c r="X37" s="122" t="s">
        <v>45</v>
      </c>
      <c r="Y37" s="39">
        <v>50</v>
      </c>
      <c r="Z37" s="8" t="s">
        <v>45</v>
      </c>
      <c r="AA37" s="125"/>
      <c r="AB37" s="126"/>
      <c r="AC37" s="126">
        <v>0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/>
      <c r="AJ37" s="126"/>
      <c r="AK37" s="7"/>
    </row>
    <row r="38" spans="2:38" s="90" customFormat="1" ht="14.25" x14ac:dyDescent="0.2">
      <c r="B38" s="121" t="s">
        <v>76</v>
      </c>
      <c r="C38" s="122" t="s">
        <v>44</v>
      </c>
      <c r="D38" s="123">
        <v>0.2</v>
      </c>
      <c r="E38" s="124">
        <v>25</v>
      </c>
      <c r="F38" s="122" t="s">
        <v>45</v>
      </c>
      <c r="G38" s="124">
        <v>25</v>
      </c>
      <c r="H38" s="122" t="s">
        <v>45</v>
      </c>
      <c r="I38" s="124">
        <v>25</v>
      </c>
      <c r="J38" s="122" t="s">
        <v>45</v>
      </c>
      <c r="K38" s="124">
        <v>25</v>
      </c>
      <c r="L38" s="122" t="s">
        <v>45</v>
      </c>
      <c r="M38" s="124">
        <v>25</v>
      </c>
      <c r="N38" s="122" t="s">
        <v>45</v>
      </c>
      <c r="O38" s="124">
        <v>25</v>
      </c>
      <c r="P38" s="122" t="s">
        <v>45</v>
      </c>
      <c r="Q38" s="124">
        <v>25</v>
      </c>
      <c r="R38" s="122" t="s">
        <v>45</v>
      </c>
      <c r="S38" s="124">
        <v>25</v>
      </c>
      <c r="T38" s="122" t="s">
        <v>45</v>
      </c>
      <c r="U38" s="157">
        <v>25</v>
      </c>
      <c r="V38" s="122" t="s">
        <v>45</v>
      </c>
      <c r="W38" s="157">
        <v>25</v>
      </c>
      <c r="X38" s="122" t="s">
        <v>45</v>
      </c>
      <c r="Y38" s="39">
        <v>25</v>
      </c>
      <c r="Z38" s="8" t="s">
        <v>45</v>
      </c>
      <c r="AA38" s="125"/>
      <c r="AB38" s="126">
        <v>623725</v>
      </c>
      <c r="AC38" s="126">
        <v>611678</v>
      </c>
      <c r="AD38" s="126">
        <v>597306</v>
      </c>
      <c r="AE38" s="126">
        <v>608290</v>
      </c>
      <c r="AF38" s="126">
        <v>657906.37</v>
      </c>
      <c r="AG38" s="126">
        <v>701730</v>
      </c>
      <c r="AH38" s="126">
        <v>486095</v>
      </c>
      <c r="AI38" s="126">
        <v>900830.1</v>
      </c>
      <c r="AJ38" s="126">
        <v>818655</v>
      </c>
      <c r="AK38" s="7">
        <v>865905</v>
      </c>
      <c r="AL38" s="158"/>
    </row>
    <row r="39" spans="2:38" s="90" customFormat="1" ht="14.25" x14ac:dyDescent="0.2">
      <c r="B39" s="121" t="s">
        <v>77</v>
      </c>
      <c r="C39" s="122" t="s">
        <v>44</v>
      </c>
      <c r="D39" s="123">
        <v>0.2</v>
      </c>
      <c r="E39" s="124">
        <v>25</v>
      </c>
      <c r="F39" s="122" t="s">
        <v>45</v>
      </c>
      <c r="G39" s="124">
        <v>25</v>
      </c>
      <c r="H39" s="122" t="s">
        <v>45</v>
      </c>
      <c r="I39" s="124">
        <v>25</v>
      </c>
      <c r="J39" s="122" t="s">
        <v>45</v>
      </c>
      <c r="K39" s="124">
        <v>25</v>
      </c>
      <c r="L39" s="122" t="s">
        <v>45</v>
      </c>
      <c r="M39" s="124">
        <v>25</v>
      </c>
      <c r="N39" s="122" t="s">
        <v>45</v>
      </c>
      <c r="O39" s="124">
        <v>25</v>
      </c>
      <c r="P39" s="122" t="s">
        <v>45</v>
      </c>
      <c r="Q39" s="124">
        <v>25</v>
      </c>
      <c r="R39" s="122" t="s">
        <v>45</v>
      </c>
      <c r="S39" s="124">
        <v>25</v>
      </c>
      <c r="T39" s="122" t="s">
        <v>45</v>
      </c>
      <c r="U39" s="157">
        <v>25</v>
      </c>
      <c r="V39" s="122" t="s">
        <v>45</v>
      </c>
      <c r="W39" s="157">
        <v>25</v>
      </c>
      <c r="X39" s="122" t="s">
        <v>45</v>
      </c>
      <c r="Y39" s="39">
        <v>25</v>
      </c>
      <c r="Z39" s="8" t="s">
        <v>45</v>
      </c>
      <c r="AA39" s="125"/>
      <c r="AB39" s="126">
        <v>29850</v>
      </c>
      <c r="AC39" s="126">
        <v>31055</v>
      </c>
      <c r="AD39" s="126">
        <v>27085</v>
      </c>
      <c r="AE39" s="126">
        <v>27315</v>
      </c>
      <c r="AF39" s="126">
        <v>25775</v>
      </c>
      <c r="AG39" s="126">
        <v>25925</v>
      </c>
      <c r="AH39" s="126">
        <v>22375</v>
      </c>
      <c r="AI39" s="126">
        <v>33275</v>
      </c>
      <c r="AJ39" s="126">
        <v>28775</v>
      </c>
      <c r="AK39" s="7">
        <v>28575</v>
      </c>
      <c r="AL39" s="158"/>
    </row>
    <row r="40" spans="2:38" s="90" customFormat="1" ht="14.25" x14ac:dyDescent="0.2">
      <c r="B40" s="121" t="s">
        <v>78</v>
      </c>
      <c r="C40" s="122" t="s">
        <v>44</v>
      </c>
      <c r="D40" s="123">
        <v>4.0999999999999996</v>
      </c>
      <c r="E40" s="124">
        <v>0</v>
      </c>
      <c r="F40" s="122" t="s">
        <v>53</v>
      </c>
      <c r="G40" s="124">
        <v>0</v>
      </c>
      <c r="H40" s="122" t="s">
        <v>79</v>
      </c>
      <c r="I40" s="124">
        <v>0</v>
      </c>
      <c r="J40" s="122" t="s">
        <v>79</v>
      </c>
      <c r="K40" s="124">
        <v>0</v>
      </c>
      <c r="L40" s="122" t="s">
        <v>79</v>
      </c>
      <c r="M40" s="124">
        <v>0</v>
      </c>
      <c r="N40" s="122" t="s">
        <v>79</v>
      </c>
      <c r="O40" s="124">
        <v>0</v>
      </c>
      <c r="P40" s="122" t="s">
        <v>79</v>
      </c>
      <c r="Q40" s="124">
        <v>0</v>
      </c>
      <c r="R40" s="122" t="s">
        <v>79</v>
      </c>
      <c r="S40" s="124">
        <v>0</v>
      </c>
      <c r="T40" s="122" t="s">
        <v>79</v>
      </c>
      <c r="U40" s="157">
        <v>0</v>
      </c>
      <c r="V40" s="122" t="s">
        <v>79</v>
      </c>
      <c r="W40" s="157">
        <v>0</v>
      </c>
      <c r="X40" s="122" t="s">
        <v>79</v>
      </c>
      <c r="Y40" s="39">
        <v>0</v>
      </c>
      <c r="Z40" s="8" t="s">
        <v>79</v>
      </c>
      <c r="AA40" s="125"/>
      <c r="AB40" s="126">
        <v>10310</v>
      </c>
      <c r="AC40" s="126">
        <v>11491</v>
      </c>
      <c r="AD40" s="126">
        <v>12906</v>
      </c>
      <c r="AE40" s="126">
        <v>8401</v>
      </c>
      <c r="AF40" s="126">
        <v>6706</v>
      </c>
      <c r="AG40" s="126">
        <v>3428.69</v>
      </c>
      <c r="AH40" s="126">
        <v>1613</v>
      </c>
      <c r="AI40" s="126">
        <v>3326.77</v>
      </c>
      <c r="AJ40" s="126">
        <v>595.1</v>
      </c>
      <c r="AK40" s="7">
        <v>1618.2</v>
      </c>
    </row>
    <row r="41" spans="2:38" s="90" customFormat="1" ht="14.25" x14ac:dyDescent="0.2">
      <c r="B41" s="121" t="s">
        <v>80</v>
      </c>
      <c r="C41" s="122" t="s">
        <v>44</v>
      </c>
      <c r="D41" s="123"/>
      <c r="E41" s="124">
        <v>151.5</v>
      </c>
      <c r="F41" s="122" t="s">
        <v>81</v>
      </c>
      <c r="G41" s="124">
        <v>0</v>
      </c>
      <c r="H41" s="122" t="s">
        <v>47</v>
      </c>
      <c r="I41" s="124">
        <v>0</v>
      </c>
      <c r="J41" s="122" t="s">
        <v>47</v>
      </c>
      <c r="K41" s="124">
        <v>0</v>
      </c>
      <c r="L41" s="122" t="s">
        <v>47</v>
      </c>
      <c r="M41" s="124">
        <v>0</v>
      </c>
      <c r="N41" s="122" t="s">
        <v>47</v>
      </c>
      <c r="O41" s="124">
        <v>0</v>
      </c>
      <c r="P41" s="122" t="s">
        <v>47</v>
      </c>
      <c r="Q41" s="124">
        <v>100</v>
      </c>
      <c r="R41" s="122" t="s">
        <v>81</v>
      </c>
      <c r="S41" s="124">
        <v>100</v>
      </c>
      <c r="T41" s="122" t="s">
        <v>81</v>
      </c>
      <c r="U41" s="157">
        <v>100</v>
      </c>
      <c r="V41" s="122" t="s">
        <v>81</v>
      </c>
      <c r="W41" s="157">
        <v>100</v>
      </c>
      <c r="X41" s="122" t="s">
        <v>81</v>
      </c>
      <c r="Y41" s="39">
        <v>100</v>
      </c>
      <c r="Z41" s="8" t="s">
        <v>81</v>
      </c>
      <c r="AA41" s="125"/>
      <c r="AB41" s="126">
        <v>731139</v>
      </c>
      <c r="AC41" s="126">
        <v>0</v>
      </c>
      <c r="AD41" s="126">
        <v>0</v>
      </c>
      <c r="AE41" s="126">
        <v>0</v>
      </c>
      <c r="AF41" s="126">
        <v>0</v>
      </c>
      <c r="AG41" s="126">
        <v>0</v>
      </c>
      <c r="AH41" s="126">
        <v>450312</v>
      </c>
      <c r="AI41" s="126">
        <v>485562</v>
      </c>
      <c r="AJ41" s="126">
        <v>479630.83</v>
      </c>
      <c r="AK41" s="7">
        <v>430969.38</v>
      </c>
    </row>
    <row r="42" spans="2:38" s="90" customFormat="1" ht="14.25" x14ac:dyDescent="0.2">
      <c r="B42" s="121" t="s">
        <v>82</v>
      </c>
      <c r="C42" s="122" t="s">
        <v>51</v>
      </c>
      <c r="D42" s="123">
        <v>5.5</v>
      </c>
      <c r="E42" s="124">
        <v>6300</v>
      </c>
      <c r="F42" s="122" t="s">
        <v>83</v>
      </c>
      <c r="G42" s="124">
        <v>6540</v>
      </c>
      <c r="H42" s="122" t="s">
        <v>83</v>
      </c>
      <c r="I42" s="124">
        <v>6780</v>
      </c>
      <c r="J42" s="122" t="s">
        <v>83</v>
      </c>
      <c r="K42" s="124">
        <v>7020</v>
      </c>
      <c r="L42" s="122" t="s">
        <v>83</v>
      </c>
      <c r="M42" s="124">
        <v>7152</v>
      </c>
      <c r="N42" s="122" t="s">
        <v>83</v>
      </c>
      <c r="O42" s="124">
        <v>7646</v>
      </c>
      <c r="P42" s="122" t="s">
        <v>83</v>
      </c>
      <c r="Q42" s="124">
        <f>ROUND(((7140+7500+8580+7465)/4),0)</f>
        <v>7671</v>
      </c>
      <c r="R42" s="122" t="s">
        <v>83</v>
      </c>
      <c r="S42" s="124">
        <v>7768</v>
      </c>
      <c r="T42" s="122" t="s">
        <v>83</v>
      </c>
      <c r="U42" s="157">
        <v>7768</v>
      </c>
      <c r="V42" s="122" t="s">
        <v>83</v>
      </c>
      <c r="W42" s="157">
        <v>7828</v>
      </c>
      <c r="X42" s="122" t="s">
        <v>83</v>
      </c>
      <c r="Y42" s="39">
        <v>8045</v>
      </c>
      <c r="Z42" s="8" t="s">
        <v>83</v>
      </c>
      <c r="AA42" s="125"/>
      <c r="AB42" s="126">
        <v>11162712</v>
      </c>
      <c r="AC42" s="126">
        <v>11413047</v>
      </c>
      <c r="AD42" s="126">
        <v>11766143</v>
      </c>
      <c r="AE42" s="126">
        <v>12104390</v>
      </c>
      <c r="AF42" s="126">
        <v>11931060.91</v>
      </c>
      <c r="AG42" s="126">
        <v>11829569.18</v>
      </c>
      <c r="AH42" s="126">
        <v>11730964</v>
      </c>
      <c r="AI42" s="126">
        <v>8892653.8200000003</v>
      </c>
      <c r="AJ42" s="126">
        <v>10195016.619999999</v>
      </c>
      <c r="AK42" s="7">
        <v>12471228.43</v>
      </c>
    </row>
    <row r="43" spans="2:38" s="90" customFormat="1" ht="14.25" x14ac:dyDescent="0.2">
      <c r="B43" s="121" t="s">
        <v>84</v>
      </c>
      <c r="C43" s="122" t="s">
        <v>44</v>
      </c>
      <c r="D43" s="123">
        <v>1.1000000000000001</v>
      </c>
      <c r="E43" s="124">
        <v>9</v>
      </c>
      <c r="F43" s="122" t="s">
        <v>58</v>
      </c>
      <c r="G43" s="124">
        <v>9</v>
      </c>
      <c r="H43" s="122" t="s">
        <v>58</v>
      </c>
      <c r="I43" s="124">
        <v>9</v>
      </c>
      <c r="J43" s="122" t="s">
        <v>58</v>
      </c>
      <c r="K43" s="124">
        <v>9</v>
      </c>
      <c r="L43" s="122" t="s">
        <v>58</v>
      </c>
      <c r="M43" s="124">
        <v>9</v>
      </c>
      <c r="N43" s="122" t="s">
        <v>58</v>
      </c>
      <c r="O43" s="124">
        <v>9</v>
      </c>
      <c r="P43" s="122" t="s">
        <v>58</v>
      </c>
      <c r="Q43" s="124">
        <v>9</v>
      </c>
      <c r="R43" s="122" t="s">
        <v>58</v>
      </c>
      <c r="S43" s="124">
        <v>9</v>
      </c>
      <c r="T43" s="122" t="s">
        <v>58</v>
      </c>
      <c r="U43" s="157"/>
      <c r="V43" s="122"/>
      <c r="W43" s="157"/>
      <c r="X43" s="122"/>
      <c r="Y43" s="39"/>
      <c r="Z43" s="8"/>
      <c r="AA43" s="125"/>
      <c r="AB43" s="126">
        <v>603</v>
      </c>
      <c r="AC43" s="126">
        <v>842</v>
      </c>
      <c r="AD43" s="126">
        <v>441</v>
      </c>
      <c r="AE43" s="126">
        <v>720</v>
      </c>
      <c r="AF43" s="126">
        <v>63</v>
      </c>
      <c r="AG43" s="126">
        <v>54</v>
      </c>
      <c r="AH43" s="126">
        <v>90</v>
      </c>
      <c r="AI43" s="126">
        <v>20</v>
      </c>
      <c r="AJ43" s="126"/>
      <c r="AK43" s="7"/>
      <c r="AL43" s="158"/>
    </row>
    <row r="44" spans="2:38" s="90" customFormat="1" ht="14.25" x14ac:dyDescent="0.2">
      <c r="B44" s="10"/>
      <c r="C44" s="8"/>
      <c r="D44" s="9"/>
      <c r="E44" s="124"/>
      <c r="F44" s="122"/>
      <c r="G44" s="124"/>
      <c r="H44" s="122"/>
      <c r="I44" s="124"/>
      <c r="J44" s="122"/>
      <c r="K44" s="124"/>
      <c r="L44" s="122"/>
      <c r="M44" s="124"/>
      <c r="N44" s="122"/>
      <c r="O44" s="124"/>
      <c r="P44" s="122"/>
      <c r="Q44" s="124"/>
      <c r="R44" s="122"/>
      <c r="S44" s="124"/>
      <c r="T44" s="122"/>
      <c r="U44" s="157"/>
      <c r="V44" s="122"/>
      <c r="W44" s="157"/>
      <c r="X44" s="122"/>
      <c r="Y44" s="39"/>
      <c r="Z44" s="8"/>
      <c r="AA44" s="125"/>
      <c r="AB44" s="126"/>
      <c r="AC44" s="126"/>
      <c r="AD44" s="126"/>
      <c r="AE44" s="126"/>
      <c r="AF44" s="126"/>
      <c r="AG44" s="126"/>
      <c r="AH44" s="126"/>
      <c r="AI44" s="126"/>
      <c r="AJ44" s="126"/>
      <c r="AK44" s="7"/>
      <c r="AL44" s="158"/>
    </row>
    <row r="45" spans="2:38" s="90" customFormat="1" ht="14.25" x14ac:dyDescent="0.2">
      <c r="B45" s="10"/>
      <c r="C45" s="8"/>
      <c r="D45" s="9"/>
      <c r="E45" s="124"/>
      <c r="F45" s="122"/>
      <c r="G45" s="124"/>
      <c r="H45" s="122"/>
      <c r="I45" s="124"/>
      <c r="J45" s="122"/>
      <c r="K45" s="124"/>
      <c r="L45" s="122"/>
      <c r="M45" s="124"/>
      <c r="N45" s="122"/>
      <c r="O45" s="124"/>
      <c r="P45" s="122"/>
      <c r="Q45" s="124"/>
      <c r="R45" s="122"/>
      <c r="S45" s="124"/>
      <c r="T45" s="122"/>
      <c r="U45" s="157"/>
      <c r="V45" s="122"/>
      <c r="W45" s="157"/>
      <c r="X45" s="122"/>
      <c r="Y45" s="39"/>
      <c r="Z45" s="8"/>
      <c r="AA45" s="125"/>
      <c r="AB45" s="126"/>
      <c r="AC45" s="126"/>
      <c r="AD45" s="126"/>
      <c r="AE45" s="126"/>
      <c r="AF45" s="126"/>
      <c r="AG45" s="126"/>
      <c r="AH45" s="126"/>
      <c r="AI45" s="126"/>
      <c r="AJ45" s="126"/>
      <c r="AK45" s="7"/>
      <c r="AL45" s="158"/>
    </row>
    <row r="46" spans="2:38" s="90" customFormat="1" ht="14.25" x14ac:dyDescent="0.2">
      <c r="B46" s="10"/>
      <c r="C46" s="8"/>
      <c r="D46" s="9"/>
      <c r="E46" s="124"/>
      <c r="F46" s="122"/>
      <c r="G46" s="124"/>
      <c r="H46" s="122"/>
      <c r="I46" s="124"/>
      <c r="J46" s="122"/>
      <c r="K46" s="124"/>
      <c r="L46" s="122"/>
      <c r="M46" s="124"/>
      <c r="N46" s="122"/>
      <c r="O46" s="124"/>
      <c r="P46" s="122"/>
      <c r="Q46" s="124"/>
      <c r="R46" s="122"/>
      <c r="S46" s="124"/>
      <c r="T46" s="122"/>
      <c r="U46" s="157"/>
      <c r="V46" s="122"/>
      <c r="W46" s="157"/>
      <c r="X46" s="122"/>
      <c r="Y46" s="39"/>
      <c r="Z46" s="8"/>
      <c r="AA46" s="125"/>
      <c r="AB46" s="126"/>
      <c r="AC46" s="126"/>
      <c r="AD46" s="126"/>
      <c r="AE46" s="126"/>
      <c r="AF46" s="126"/>
      <c r="AG46" s="126"/>
      <c r="AH46" s="126"/>
      <c r="AI46" s="126"/>
      <c r="AJ46" s="126"/>
      <c r="AK46" s="7"/>
      <c r="AL46" s="158"/>
    </row>
    <row r="47" spans="2:38" s="90" customFormat="1" ht="14.25" x14ac:dyDescent="0.2">
      <c r="B47" s="10"/>
      <c r="C47" s="8"/>
      <c r="D47" s="9"/>
      <c r="E47" s="124"/>
      <c r="F47" s="122"/>
      <c r="G47" s="124"/>
      <c r="H47" s="122"/>
      <c r="I47" s="124"/>
      <c r="J47" s="122"/>
      <c r="K47" s="124"/>
      <c r="L47" s="122"/>
      <c r="M47" s="124"/>
      <c r="N47" s="122"/>
      <c r="O47" s="124"/>
      <c r="P47" s="122"/>
      <c r="Q47" s="124"/>
      <c r="R47" s="122"/>
      <c r="S47" s="124"/>
      <c r="T47" s="122"/>
      <c r="U47" s="157"/>
      <c r="V47" s="122"/>
      <c r="W47" s="157"/>
      <c r="X47" s="122"/>
      <c r="Y47" s="39"/>
      <c r="Z47" s="8"/>
      <c r="AA47" s="125"/>
      <c r="AB47" s="126"/>
      <c r="AC47" s="126"/>
      <c r="AD47" s="126"/>
      <c r="AE47" s="126"/>
      <c r="AF47" s="126"/>
      <c r="AG47" s="126"/>
      <c r="AH47" s="126"/>
      <c r="AI47" s="126"/>
      <c r="AJ47" s="126"/>
      <c r="AK47" s="7"/>
      <c r="AL47" s="158"/>
    </row>
    <row r="48" spans="2:38" s="90" customFormat="1" ht="14.25" x14ac:dyDescent="0.2">
      <c r="B48" s="10"/>
      <c r="C48" s="8"/>
      <c r="D48" s="9"/>
      <c r="E48" s="124"/>
      <c r="F48" s="122"/>
      <c r="G48" s="124"/>
      <c r="H48" s="122"/>
      <c r="I48" s="124"/>
      <c r="J48" s="122"/>
      <c r="K48" s="124"/>
      <c r="L48" s="122"/>
      <c r="M48" s="157"/>
      <c r="N48" s="122"/>
      <c r="O48" s="157"/>
      <c r="P48" s="122"/>
      <c r="Q48" s="157"/>
      <c r="R48" s="122"/>
      <c r="S48" s="157"/>
      <c r="T48" s="122"/>
      <c r="U48" s="157"/>
      <c r="V48" s="122"/>
      <c r="W48" s="157"/>
      <c r="X48" s="122"/>
      <c r="Y48" s="39"/>
      <c r="Z48" s="8"/>
      <c r="AA48" s="125"/>
      <c r="AB48" s="126"/>
      <c r="AC48" s="126"/>
      <c r="AD48" s="126"/>
      <c r="AE48" s="126"/>
      <c r="AF48" s="126"/>
      <c r="AG48" s="126"/>
      <c r="AH48" s="126"/>
      <c r="AI48" s="126"/>
      <c r="AJ48" s="126"/>
      <c r="AK48" s="7"/>
    </row>
    <row r="49" spans="2:40" customFormat="1" x14ac:dyDescent="0.25">
      <c r="B49" s="10"/>
      <c r="C49" s="8"/>
      <c r="D49" s="9"/>
      <c r="E49" s="124"/>
      <c r="F49" s="122"/>
      <c r="G49" s="124"/>
      <c r="H49" s="122"/>
      <c r="I49" s="124"/>
      <c r="J49" s="122"/>
      <c r="K49" s="124"/>
      <c r="L49" s="122"/>
      <c r="M49" s="157"/>
      <c r="N49" s="122"/>
      <c r="O49" s="157"/>
      <c r="P49" s="122"/>
      <c r="Q49" s="159"/>
      <c r="R49" s="122"/>
      <c r="S49" s="159"/>
      <c r="T49" s="122"/>
      <c r="U49" s="159"/>
      <c r="V49" s="122"/>
      <c r="W49" s="159"/>
      <c r="X49" s="122"/>
      <c r="Y49" s="38"/>
      <c r="Z49" s="8"/>
      <c r="AA49" s="125"/>
      <c r="AB49" s="126"/>
      <c r="AC49" s="126"/>
      <c r="AD49" s="126"/>
      <c r="AE49" s="126"/>
      <c r="AF49" s="126"/>
      <c r="AG49" s="126"/>
      <c r="AH49" s="126"/>
      <c r="AI49" s="126"/>
      <c r="AJ49" s="126"/>
      <c r="AK49" s="7"/>
    </row>
    <row r="50" spans="2:40" x14ac:dyDescent="0.25">
      <c r="B50" s="128" t="s">
        <v>63</v>
      </c>
      <c r="C50" s="160"/>
      <c r="D50" s="161"/>
      <c r="E50" s="159"/>
      <c r="F50" s="160"/>
      <c r="G50" s="159"/>
      <c r="H50" s="160"/>
      <c r="I50" s="159"/>
      <c r="J50" s="160"/>
      <c r="K50" s="159"/>
      <c r="L50" s="160"/>
      <c r="M50" s="157"/>
      <c r="N50" s="160"/>
      <c r="O50" s="157"/>
      <c r="P50" s="160"/>
      <c r="Q50" s="159"/>
      <c r="R50" s="160"/>
      <c r="S50" s="159"/>
      <c r="T50" s="160"/>
      <c r="U50" s="159"/>
      <c r="V50" s="160"/>
      <c r="W50" s="159"/>
      <c r="X50" s="160"/>
      <c r="Y50" s="159"/>
      <c r="Z50" s="160"/>
      <c r="AA50" s="162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</row>
    <row r="51" spans="2:40" ht="30.75" customHeight="1" x14ac:dyDescent="0.25">
      <c r="B51" s="163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</row>
    <row r="52" spans="2:40" s="167" customFormat="1" ht="30.75" customHeight="1" x14ac:dyDescent="0.25">
      <c r="B52" s="166"/>
      <c r="D52" s="177"/>
      <c r="E52" s="424" t="str">
        <f>E2&amp;" Comments"</f>
        <v>2013-14 Comments</v>
      </c>
      <c r="F52" s="425"/>
      <c r="G52" s="424" t="str">
        <f>G2&amp;" Comments"</f>
        <v>2014-15 Comments</v>
      </c>
      <c r="H52" s="425"/>
      <c r="I52" s="424" t="str">
        <f>I2&amp;" Comments"</f>
        <v>2015-16 Comments</v>
      </c>
      <c r="J52" s="425"/>
      <c r="K52" s="424" t="str">
        <f>K2&amp;" Comments"</f>
        <v>2016-17 Comments</v>
      </c>
      <c r="L52" s="425"/>
      <c r="M52" s="424" t="str">
        <f>M2&amp;" Comments"</f>
        <v>2017-18 Comments</v>
      </c>
      <c r="N52" s="425"/>
      <c r="O52" s="424" t="str">
        <f>O2&amp;" Comments"</f>
        <v>2018-19 Comments</v>
      </c>
      <c r="P52" s="425"/>
      <c r="Q52" s="424" t="str">
        <f>Q2&amp;" Comments"</f>
        <v>2019-20 Comments</v>
      </c>
      <c r="R52" s="425"/>
      <c r="S52" s="424" t="str">
        <f>S2&amp;" Comments"</f>
        <v>2020-21 Comments</v>
      </c>
      <c r="T52" s="425"/>
      <c r="U52" s="424" t="str">
        <f>U2&amp;" Comments"</f>
        <v>2021-22 Comments</v>
      </c>
      <c r="V52" s="425"/>
      <c r="W52" s="424" t="str">
        <f>W2&amp;" Comments"</f>
        <v>2022-23 Comments</v>
      </c>
      <c r="X52" s="425"/>
      <c r="Y52" s="424" t="str">
        <f>Y2&amp;" Comments"</f>
        <v>2023-24 Comments</v>
      </c>
      <c r="Z52" s="425"/>
      <c r="AA52" s="426"/>
      <c r="AB52" s="427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154.5" customHeight="1" x14ac:dyDescent="0.25">
      <c r="B53" s="169"/>
      <c r="C53" s="169"/>
      <c r="D53" s="169"/>
      <c r="E53" s="422"/>
      <c r="F53" s="423"/>
      <c r="G53" s="422"/>
      <c r="H53" s="423"/>
      <c r="I53" s="422"/>
      <c r="J53" s="423"/>
      <c r="K53" s="422"/>
      <c r="L53" s="423"/>
      <c r="M53" s="422"/>
      <c r="N53" s="423"/>
      <c r="O53" s="422"/>
      <c r="P53" s="423"/>
      <c r="Q53" s="422"/>
      <c r="R53" s="423"/>
      <c r="S53" s="422"/>
      <c r="T53" s="423"/>
      <c r="U53" s="428"/>
      <c r="V53" s="429"/>
      <c r="W53" s="430"/>
      <c r="X53" s="431"/>
      <c r="Y53" s="434"/>
      <c r="Z53" s="435"/>
      <c r="AA53" s="432"/>
      <c r="AB53" s="433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</row>
    <row r="54" spans="2:40" x14ac:dyDescent="0.25">
      <c r="B54" s="170"/>
    </row>
  </sheetData>
  <sheetProtection formatColumns="0" insertRows="0"/>
  <mergeCells count="37">
    <mergeCell ref="W52:X52"/>
    <mergeCell ref="AA52:AB52"/>
    <mergeCell ref="M53:N53"/>
    <mergeCell ref="S53:T53"/>
    <mergeCell ref="U53:V53"/>
    <mergeCell ref="W53:X53"/>
    <mergeCell ref="AA53:AB53"/>
    <mergeCell ref="O53:P53"/>
    <mergeCell ref="Q53:R53"/>
    <mergeCell ref="U52:V52"/>
    <mergeCell ref="M52:N52"/>
    <mergeCell ref="O52:P52"/>
    <mergeCell ref="Q52:R52"/>
    <mergeCell ref="S52:T52"/>
    <mergeCell ref="Y52:Z52"/>
    <mergeCell ref="Y53:Z53"/>
    <mergeCell ref="E53:F53"/>
    <mergeCell ref="G53:H53"/>
    <mergeCell ref="I53:J53"/>
    <mergeCell ref="K53:L53"/>
    <mergeCell ref="E52:F52"/>
    <mergeCell ref="G52:H52"/>
    <mergeCell ref="I52:J52"/>
    <mergeCell ref="K52:L52"/>
    <mergeCell ref="AB1:AK1"/>
    <mergeCell ref="E2:F2"/>
    <mergeCell ref="G2:H2"/>
    <mergeCell ref="I2:J2"/>
    <mergeCell ref="K2:L2"/>
    <mergeCell ref="M2:N2"/>
    <mergeCell ref="O2:P2"/>
    <mergeCell ref="Q2:R2"/>
    <mergeCell ref="S2:T2"/>
    <mergeCell ref="E1:X1"/>
    <mergeCell ref="U2:V2"/>
    <mergeCell ref="W2:X2"/>
    <mergeCell ref="Y2:Z2"/>
  </mergeCells>
  <dataValidations count="6">
    <dataValidation type="list" allowBlank="1" showInputMessage="1" showErrorMessage="1" sqref="C32:C49 C4:C23" xr:uid="{00000000-0002-0000-0100-000000000000}">
      <formula1>"UnresGen, UnresAuxOprt, Restrct"</formula1>
    </dataValidation>
    <dataValidation type="list" allowBlank="1" showInputMessage="1" showErrorMessage="1" sqref="F32:F49 J32:J49 H32:H49 L32:L49 M32 N32:N49 O32 P32:P49 Q32 R32:R49 S32 T32:T49 U32 V32:V49 Z4:AA23 W32 F4:F23 H4:H23 J4:J23 V4:V23 L4:L23 N4:N23 P4:P23 R4:R23 T4:T23 X4:X23 X32:X49 Z32:AA49 Y32" xr:uid="{00000000-0002-0000-0100-000001000000}">
      <formula1>"SCH, QCH, SEM, SES, APP, DAY, EACH, MO, ONCE, SUM, VAR, YEAR,DSC"</formula1>
    </dataValidation>
    <dataValidation type="decimal" operator="greaterThanOrEqual" allowBlank="1" showInputMessage="1" showErrorMessage="1" errorTitle="Data Type Error" error="Value must be a number greater than or equal to 0." sqref="AB24:AK24" xr:uid="{00000000-0002-0000-0100-000002000000}">
      <formula1>0</formula1>
    </dataValidation>
    <dataValidation type="list" allowBlank="1" showInputMessage="1" showErrorMessage="1" sqref="C24" xr:uid="{00000000-0002-0000-0100-000003000000}">
      <formula1>rev_class</formula1>
    </dataValidation>
    <dataValidation type="decimal" operator="greaterThanOrEqual" allowBlank="1" showInputMessage="1" showErrorMessage="1" errorTitle="data type error" error="value must be number greater or equal to 0" sqref="D32:E49 G32:G49 I32:I49 S4:S23 AB32:AK50 W4:W23 AB4:AK23 K4:K23 I4:I23 G4:G23 D4:E23 M4:M23 U4:U23 O4:O23 Q4:Q23 AB25:AK30 Y4:Y23" xr:uid="{00000000-0002-0000-0100-000004000000}">
      <formula1>0</formula1>
    </dataValidation>
    <dataValidation type="list" allowBlank="1" showInputMessage="1" showErrorMessage="1" sqref="J24 H24 F24 L24 N24 P24 R24 T24 V24 X24 Z24:AA24" xr:uid="{00000000-0002-0000-0100-000005000000}">
      <formula1>fee_unit</formula1>
    </dataValidation>
  </dataValidations>
  <pageMargins left="0.3" right="0.3" top="0.75" bottom="0.3" header="0.3" footer="0.25"/>
  <pageSetup scale="51" orientation="landscape" r:id="rId1"/>
  <headerFooter>
    <oddHeader>&amp;C&amp;"-,Bold"&amp;16UNIVERSITY OF NEBRASKA AT OMAHA
STUDENT FEE SCHEDULE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75428-A6E1-4F83-94F1-74662F39A4B0}">
  <sheetPr>
    <pageSetUpPr fitToPage="1"/>
  </sheetPr>
  <dimension ref="A2:CC180"/>
  <sheetViews>
    <sheetView zoomScale="90" zoomScaleNormal="90" workbookViewId="0">
      <pane xSplit="1" ySplit="6" topLeftCell="BJ7" activePane="bottomRight" state="frozen"/>
      <selection pane="topRight" activeCell="B1" sqref="B1"/>
      <selection pane="bottomLeft" activeCell="A6" sqref="A6"/>
      <selection pane="bottomRight" activeCell="ZY4" sqref="ZY4"/>
    </sheetView>
  </sheetViews>
  <sheetFormatPr defaultColWidth="11.42578125" defaultRowHeight="14.25" x14ac:dyDescent="0.2"/>
  <cols>
    <col min="1" max="1" width="62.5703125" style="90" customWidth="1"/>
    <col min="2" max="10" width="17.42578125" style="90" hidden="1" customWidth="1"/>
    <col min="11" max="11" width="16.140625" style="90" hidden="1" customWidth="1"/>
    <col min="12" max="20" width="17.42578125" style="90" hidden="1" customWidth="1"/>
    <col min="21" max="21" width="15.7109375" style="90" hidden="1" customWidth="1"/>
    <col min="22" max="30" width="17.42578125" style="90" hidden="1" customWidth="1"/>
    <col min="31" max="31" width="15.7109375" style="90" hidden="1" customWidth="1"/>
    <col min="32" max="40" width="17.42578125" style="90" hidden="1" customWidth="1"/>
    <col min="41" max="41" width="16.140625" style="90" hidden="1" customWidth="1"/>
    <col min="42" max="50" width="17.42578125" style="90" hidden="1" customWidth="1"/>
    <col min="51" max="51" width="15.85546875" style="90" hidden="1" customWidth="1"/>
    <col min="52" max="60" width="17.42578125" style="90" hidden="1" customWidth="1"/>
    <col min="61" max="61" width="15.85546875" style="90" hidden="1" customWidth="1"/>
    <col min="62" max="64" width="17.42578125" style="90" customWidth="1"/>
    <col min="65" max="70" width="17.42578125" style="90" hidden="1" customWidth="1"/>
    <col min="71" max="71" width="15.85546875" style="90" hidden="1" customWidth="1"/>
    <col min="72" max="80" width="17.42578125" style="90" customWidth="1"/>
    <col min="81" max="81" width="15.85546875" style="90" customWidth="1"/>
    <col min="82" max="16384" width="11.42578125" style="90"/>
  </cols>
  <sheetData>
    <row r="2" spans="1:81" s="345" customFormat="1" ht="23.25" customHeight="1" x14ac:dyDescent="0.3">
      <c r="A2" s="347"/>
      <c r="B2" s="453" t="s">
        <v>3</v>
      </c>
      <c r="C2" s="453"/>
      <c r="D2" s="453"/>
      <c r="E2" s="453"/>
      <c r="F2" s="453"/>
      <c r="G2" s="453"/>
      <c r="H2" s="453"/>
      <c r="I2" s="453"/>
      <c r="J2" s="453"/>
      <c r="K2" s="454"/>
      <c r="L2" s="455" t="s">
        <v>4</v>
      </c>
      <c r="M2" s="456"/>
      <c r="N2" s="456"/>
      <c r="O2" s="456"/>
      <c r="P2" s="456"/>
      <c r="Q2" s="456"/>
      <c r="R2" s="456"/>
      <c r="S2" s="456"/>
      <c r="T2" s="456"/>
      <c r="U2" s="346"/>
      <c r="V2" s="457" t="s">
        <v>5</v>
      </c>
      <c r="W2" s="458"/>
      <c r="X2" s="458"/>
      <c r="Y2" s="458"/>
      <c r="Z2" s="458"/>
      <c r="AA2" s="458"/>
      <c r="AB2" s="458"/>
      <c r="AC2" s="458"/>
      <c r="AD2" s="458"/>
      <c r="AE2" s="459"/>
      <c r="AF2" s="460" t="s">
        <v>6</v>
      </c>
      <c r="AG2" s="461"/>
      <c r="AH2" s="461"/>
      <c r="AI2" s="461"/>
      <c r="AJ2" s="461"/>
      <c r="AK2" s="461"/>
      <c r="AL2" s="461"/>
      <c r="AM2" s="461"/>
      <c r="AN2" s="461"/>
      <c r="AO2" s="462"/>
      <c r="AP2" s="463" t="s">
        <v>7</v>
      </c>
      <c r="AQ2" s="464"/>
      <c r="AR2" s="464"/>
      <c r="AS2" s="464"/>
      <c r="AT2" s="464"/>
      <c r="AU2" s="464"/>
      <c r="AV2" s="464"/>
      <c r="AW2" s="464"/>
      <c r="AX2" s="464"/>
      <c r="AY2" s="465"/>
      <c r="AZ2" s="436" t="s">
        <v>8</v>
      </c>
      <c r="BA2" s="437"/>
      <c r="BB2" s="437"/>
      <c r="BC2" s="437"/>
      <c r="BD2" s="437"/>
      <c r="BE2" s="437"/>
      <c r="BF2" s="437"/>
      <c r="BG2" s="437"/>
      <c r="BH2" s="437"/>
      <c r="BI2" s="438"/>
      <c r="BJ2" s="439" t="s">
        <v>9</v>
      </c>
      <c r="BK2" s="440"/>
      <c r="BL2" s="440"/>
      <c r="BM2" s="440"/>
      <c r="BN2" s="440"/>
      <c r="BO2" s="440"/>
      <c r="BP2" s="440"/>
      <c r="BQ2" s="440"/>
      <c r="BR2" s="440"/>
      <c r="BS2" s="441"/>
      <c r="BT2" s="442" t="s">
        <v>10</v>
      </c>
      <c r="BU2" s="443"/>
      <c r="BV2" s="443"/>
      <c r="BW2" s="443"/>
      <c r="BX2" s="443"/>
      <c r="BY2" s="443"/>
      <c r="BZ2" s="443"/>
      <c r="CA2" s="443"/>
      <c r="CB2" s="443"/>
      <c r="CC2" s="444"/>
    </row>
    <row r="3" spans="1:81" s="293" customFormat="1" x14ac:dyDescent="0.2">
      <c r="A3" s="325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3"/>
      <c r="M3" s="342"/>
      <c r="N3" s="342"/>
      <c r="O3" s="342"/>
      <c r="P3" s="342"/>
      <c r="Q3" s="342"/>
      <c r="R3" s="342"/>
      <c r="S3" s="342"/>
      <c r="T3" s="342"/>
      <c r="U3" s="342"/>
      <c r="V3" s="341"/>
      <c r="W3" s="340"/>
      <c r="X3" s="340"/>
      <c r="Y3" s="340"/>
      <c r="Z3" s="340"/>
      <c r="AA3" s="340"/>
      <c r="AB3" s="340"/>
      <c r="AC3" s="340"/>
      <c r="AD3" s="340"/>
      <c r="AE3" s="340"/>
      <c r="AF3" s="339"/>
      <c r="AG3" s="338"/>
      <c r="AH3" s="338"/>
      <c r="AI3" s="338"/>
      <c r="AJ3" s="338"/>
      <c r="AK3" s="338"/>
      <c r="AL3" s="338"/>
      <c r="AM3" s="338"/>
      <c r="AN3" s="338"/>
      <c r="AO3" s="338"/>
      <c r="AP3" s="337"/>
      <c r="AQ3" s="336"/>
      <c r="AR3" s="336"/>
      <c r="AS3" s="336"/>
      <c r="AT3" s="336"/>
      <c r="AU3" s="336"/>
      <c r="AV3" s="336"/>
      <c r="AW3" s="336"/>
      <c r="AX3" s="336"/>
      <c r="AY3" s="335"/>
      <c r="AZ3" s="334"/>
      <c r="BA3" s="333"/>
      <c r="BB3" s="333"/>
      <c r="BC3" s="333"/>
      <c r="BD3" s="333"/>
      <c r="BE3" s="333"/>
      <c r="BF3" s="333"/>
      <c r="BG3" s="333"/>
      <c r="BH3" s="333"/>
      <c r="BI3" s="332"/>
      <c r="BJ3" s="331"/>
      <c r="BK3" s="330"/>
      <c r="BL3" s="330"/>
      <c r="BM3" s="330"/>
      <c r="BN3" s="330"/>
      <c r="BO3" s="330"/>
      <c r="BP3" s="330"/>
      <c r="BQ3" s="330"/>
      <c r="BR3" s="330"/>
      <c r="BS3" s="329"/>
      <c r="BT3" s="328"/>
      <c r="BU3" s="327"/>
      <c r="BV3" s="327"/>
      <c r="BW3" s="327"/>
      <c r="BX3" s="327"/>
      <c r="BY3" s="327"/>
      <c r="BZ3" s="327"/>
      <c r="CA3" s="327"/>
      <c r="CB3" s="327"/>
      <c r="CC3" s="326"/>
    </row>
    <row r="4" spans="1:81" s="293" customFormat="1" x14ac:dyDescent="0.2">
      <c r="A4" s="325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3"/>
      <c r="M4" s="342"/>
      <c r="N4" s="342"/>
      <c r="O4" s="342"/>
      <c r="P4" s="342"/>
      <c r="Q4" s="342"/>
      <c r="R4" s="342"/>
      <c r="S4" s="342"/>
      <c r="T4" s="342"/>
      <c r="U4" s="342"/>
      <c r="V4" s="341"/>
      <c r="W4" s="340"/>
      <c r="X4" s="340"/>
      <c r="Y4" s="340"/>
      <c r="Z4" s="340"/>
      <c r="AA4" s="340"/>
      <c r="AB4" s="340"/>
      <c r="AC4" s="340"/>
      <c r="AD4" s="340"/>
      <c r="AE4" s="340"/>
      <c r="AF4" s="339"/>
      <c r="AG4" s="338"/>
      <c r="AH4" s="338"/>
      <c r="AI4" s="338"/>
      <c r="AJ4" s="338"/>
      <c r="AK4" s="338"/>
      <c r="AL4" s="338"/>
      <c r="AM4" s="338"/>
      <c r="AN4" s="338"/>
      <c r="AO4" s="338"/>
      <c r="AP4" s="337"/>
      <c r="AQ4" s="336"/>
      <c r="AR4" s="336"/>
      <c r="AS4" s="336"/>
      <c r="AT4" s="336"/>
      <c r="AU4" s="336"/>
      <c r="AV4" s="336"/>
      <c r="AW4" s="336"/>
      <c r="AX4" s="336"/>
      <c r="AY4" s="335"/>
      <c r="AZ4" s="334"/>
      <c r="BA4" s="333"/>
      <c r="BB4" s="333"/>
      <c r="BC4" s="333"/>
      <c r="BD4" s="333"/>
      <c r="BE4" s="333"/>
      <c r="BF4" s="333"/>
      <c r="BG4" s="333"/>
      <c r="BH4" s="333"/>
      <c r="BI4" s="332"/>
      <c r="BJ4" s="331"/>
      <c r="BK4" s="330"/>
      <c r="BL4" s="330"/>
      <c r="BM4" s="330"/>
      <c r="BN4" s="330"/>
      <c r="BO4" s="330"/>
      <c r="BP4" s="330"/>
      <c r="BQ4" s="330"/>
      <c r="BR4" s="330"/>
      <c r="BS4" s="329"/>
      <c r="BT4" s="328"/>
      <c r="BU4" s="327"/>
      <c r="BV4" s="327"/>
      <c r="BW4" s="327"/>
      <c r="BX4" s="327"/>
      <c r="BY4" s="327"/>
      <c r="BZ4" s="327"/>
      <c r="CA4" s="327"/>
      <c r="CB4" s="327"/>
      <c r="CC4" s="326"/>
    </row>
    <row r="5" spans="1:81" s="293" customFormat="1" ht="14.25" customHeight="1" x14ac:dyDescent="0.2">
      <c r="A5" s="325"/>
      <c r="B5" s="324"/>
      <c r="C5" s="324"/>
      <c r="D5" s="324"/>
      <c r="E5" s="445" t="s">
        <v>250</v>
      </c>
      <c r="F5" s="445"/>
      <c r="G5" s="445"/>
      <c r="H5" s="445"/>
      <c r="I5" s="445"/>
      <c r="J5" s="323"/>
      <c r="K5" s="322"/>
      <c r="L5" s="321"/>
      <c r="M5" s="320"/>
      <c r="N5" s="320"/>
      <c r="O5" s="446" t="s">
        <v>250</v>
      </c>
      <c r="P5" s="446"/>
      <c r="Q5" s="446"/>
      <c r="R5" s="446"/>
      <c r="S5" s="446"/>
      <c r="T5" s="319"/>
      <c r="U5" s="318"/>
      <c r="V5" s="317"/>
      <c r="W5" s="316"/>
      <c r="X5" s="316"/>
      <c r="Y5" s="447" t="s">
        <v>250</v>
      </c>
      <c r="Z5" s="447"/>
      <c r="AA5" s="447"/>
      <c r="AB5" s="447"/>
      <c r="AC5" s="447"/>
      <c r="AD5" s="315"/>
      <c r="AE5" s="314"/>
      <c r="AF5" s="313"/>
      <c r="AG5" s="312"/>
      <c r="AH5" s="312"/>
      <c r="AI5" s="448" t="s">
        <v>250</v>
      </c>
      <c r="AJ5" s="448"/>
      <c r="AK5" s="448"/>
      <c r="AL5" s="448"/>
      <c r="AM5" s="448"/>
      <c r="AN5" s="311"/>
      <c r="AO5" s="310"/>
      <c r="AP5" s="309"/>
      <c r="AQ5" s="308"/>
      <c r="AR5" s="308"/>
      <c r="AS5" s="449" t="s">
        <v>250</v>
      </c>
      <c r="AT5" s="449"/>
      <c r="AU5" s="449"/>
      <c r="AV5" s="449"/>
      <c r="AW5" s="449"/>
      <c r="AX5" s="307"/>
      <c r="AY5" s="306"/>
      <c r="AZ5" s="305"/>
      <c r="BA5" s="304"/>
      <c r="BB5" s="304"/>
      <c r="BC5" s="450" t="s">
        <v>250</v>
      </c>
      <c r="BD5" s="450"/>
      <c r="BE5" s="450"/>
      <c r="BF5" s="450"/>
      <c r="BG5" s="450"/>
      <c r="BH5" s="303"/>
      <c r="BI5" s="302"/>
      <c r="BJ5" s="301"/>
      <c r="BK5" s="300"/>
      <c r="BL5" s="300"/>
      <c r="BM5" s="451" t="s">
        <v>250</v>
      </c>
      <c r="BN5" s="451"/>
      <c r="BO5" s="451"/>
      <c r="BP5" s="451"/>
      <c r="BQ5" s="451"/>
      <c r="BR5" s="299"/>
      <c r="BS5" s="298"/>
      <c r="BT5" s="297"/>
      <c r="BU5" s="296"/>
      <c r="BV5" s="296"/>
      <c r="BW5" s="452" t="s">
        <v>250</v>
      </c>
      <c r="BX5" s="452"/>
      <c r="BY5" s="452"/>
      <c r="BZ5" s="452"/>
      <c r="CA5" s="452"/>
      <c r="CB5" s="295"/>
      <c r="CC5" s="294"/>
    </row>
    <row r="6" spans="1:81" s="243" customFormat="1" ht="51" customHeight="1" x14ac:dyDescent="0.2">
      <c r="A6" s="292" t="s">
        <v>249</v>
      </c>
      <c r="B6" s="291" t="s">
        <v>248</v>
      </c>
      <c r="C6" s="288" t="s">
        <v>247</v>
      </c>
      <c r="D6" s="290" t="s">
        <v>246</v>
      </c>
      <c r="E6" s="289" t="s">
        <v>245</v>
      </c>
      <c r="F6" s="288" t="s">
        <v>244</v>
      </c>
      <c r="G6" s="288" t="s">
        <v>243</v>
      </c>
      <c r="H6" s="288" t="s">
        <v>242</v>
      </c>
      <c r="I6" s="288" t="s">
        <v>34</v>
      </c>
      <c r="J6" s="287" t="s">
        <v>241</v>
      </c>
      <c r="K6" s="286" t="s">
        <v>240</v>
      </c>
      <c r="L6" s="285" t="s">
        <v>248</v>
      </c>
      <c r="M6" s="282" t="s">
        <v>247</v>
      </c>
      <c r="N6" s="284" t="s">
        <v>246</v>
      </c>
      <c r="O6" s="283" t="s">
        <v>245</v>
      </c>
      <c r="P6" s="282" t="s">
        <v>244</v>
      </c>
      <c r="Q6" s="282" t="s">
        <v>243</v>
      </c>
      <c r="R6" s="282" t="s">
        <v>242</v>
      </c>
      <c r="S6" s="282" t="s">
        <v>34</v>
      </c>
      <c r="T6" s="281" t="s">
        <v>241</v>
      </c>
      <c r="U6" s="280" t="s">
        <v>240</v>
      </c>
      <c r="V6" s="279" t="s">
        <v>248</v>
      </c>
      <c r="W6" s="276" t="s">
        <v>247</v>
      </c>
      <c r="X6" s="278" t="s">
        <v>246</v>
      </c>
      <c r="Y6" s="277" t="s">
        <v>245</v>
      </c>
      <c r="Z6" s="276" t="s">
        <v>244</v>
      </c>
      <c r="AA6" s="276" t="s">
        <v>243</v>
      </c>
      <c r="AB6" s="276" t="s">
        <v>242</v>
      </c>
      <c r="AC6" s="276" t="s">
        <v>34</v>
      </c>
      <c r="AD6" s="275" t="s">
        <v>241</v>
      </c>
      <c r="AE6" s="274" t="s">
        <v>240</v>
      </c>
      <c r="AF6" s="273" t="s">
        <v>248</v>
      </c>
      <c r="AG6" s="270" t="s">
        <v>247</v>
      </c>
      <c r="AH6" s="272" t="s">
        <v>246</v>
      </c>
      <c r="AI6" s="271" t="s">
        <v>245</v>
      </c>
      <c r="AJ6" s="270" t="s">
        <v>244</v>
      </c>
      <c r="AK6" s="270" t="s">
        <v>243</v>
      </c>
      <c r="AL6" s="270" t="s">
        <v>242</v>
      </c>
      <c r="AM6" s="270" t="s">
        <v>34</v>
      </c>
      <c r="AN6" s="269" t="s">
        <v>241</v>
      </c>
      <c r="AO6" s="268" t="s">
        <v>240</v>
      </c>
      <c r="AP6" s="267" t="s">
        <v>248</v>
      </c>
      <c r="AQ6" s="264" t="s">
        <v>247</v>
      </c>
      <c r="AR6" s="266" t="s">
        <v>246</v>
      </c>
      <c r="AS6" s="265" t="s">
        <v>245</v>
      </c>
      <c r="AT6" s="264" t="s">
        <v>244</v>
      </c>
      <c r="AU6" s="264" t="s">
        <v>243</v>
      </c>
      <c r="AV6" s="264" t="s">
        <v>242</v>
      </c>
      <c r="AW6" s="264" t="s">
        <v>34</v>
      </c>
      <c r="AX6" s="263" t="s">
        <v>241</v>
      </c>
      <c r="AY6" s="262" t="s">
        <v>240</v>
      </c>
      <c r="AZ6" s="261" t="s">
        <v>248</v>
      </c>
      <c r="BA6" s="258" t="s">
        <v>247</v>
      </c>
      <c r="BB6" s="260" t="s">
        <v>246</v>
      </c>
      <c r="BC6" s="259" t="s">
        <v>245</v>
      </c>
      <c r="BD6" s="258" t="s">
        <v>244</v>
      </c>
      <c r="BE6" s="258" t="s">
        <v>243</v>
      </c>
      <c r="BF6" s="258" t="s">
        <v>242</v>
      </c>
      <c r="BG6" s="258" t="s">
        <v>34</v>
      </c>
      <c r="BH6" s="257" t="s">
        <v>241</v>
      </c>
      <c r="BI6" s="256" t="s">
        <v>240</v>
      </c>
      <c r="BJ6" s="255" t="s">
        <v>248</v>
      </c>
      <c r="BK6" s="252" t="s">
        <v>247</v>
      </c>
      <c r="BL6" s="254" t="s">
        <v>246</v>
      </c>
      <c r="BM6" s="253" t="s">
        <v>245</v>
      </c>
      <c r="BN6" s="252" t="s">
        <v>244</v>
      </c>
      <c r="BO6" s="252" t="s">
        <v>243</v>
      </c>
      <c r="BP6" s="252" t="s">
        <v>242</v>
      </c>
      <c r="BQ6" s="252" t="s">
        <v>34</v>
      </c>
      <c r="BR6" s="251" t="s">
        <v>241</v>
      </c>
      <c r="BS6" s="250" t="s">
        <v>240</v>
      </c>
      <c r="BT6" s="249" t="s">
        <v>248</v>
      </c>
      <c r="BU6" s="246" t="s">
        <v>247</v>
      </c>
      <c r="BV6" s="248" t="s">
        <v>246</v>
      </c>
      <c r="BW6" s="247" t="s">
        <v>245</v>
      </c>
      <c r="BX6" s="246" t="s">
        <v>244</v>
      </c>
      <c r="BY6" s="246" t="s">
        <v>243</v>
      </c>
      <c r="BZ6" s="246" t="s">
        <v>242</v>
      </c>
      <c r="CA6" s="246" t="s">
        <v>34</v>
      </c>
      <c r="CB6" s="245" t="s">
        <v>241</v>
      </c>
      <c r="CC6" s="244" t="s">
        <v>240</v>
      </c>
    </row>
    <row r="7" spans="1:81" ht="15.95" customHeight="1" x14ac:dyDescent="0.2">
      <c r="A7" s="242"/>
      <c r="B7" s="223"/>
      <c r="C7" s="221"/>
      <c r="D7" s="240"/>
      <c r="E7" s="220"/>
      <c r="F7" s="220"/>
      <c r="G7" s="220"/>
      <c r="H7" s="220"/>
      <c r="I7" s="220"/>
      <c r="J7" s="241"/>
      <c r="K7" s="214"/>
      <c r="L7" s="222"/>
      <c r="M7" s="221"/>
      <c r="N7" s="240"/>
      <c r="O7" s="220"/>
      <c r="P7" s="220"/>
      <c r="Q7" s="220"/>
      <c r="R7" s="220"/>
      <c r="S7" s="220"/>
      <c r="T7" s="220"/>
      <c r="U7" s="214"/>
      <c r="V7" s="222"/>
      <c r="W7" s="221"/>
      <c r="X7" s="240"/>
      <c r="Y7" s="220"/>
      <c r="Z7" s="220"/>
      <c r="AA7" s="220"/>
      <c r="AB7" s="220"/>
      <c r="AC7" s="220"/>
      <c r="AD7" s="220"/>
      <c r="AE7" s="214"/>
      <c r="AF7" s="216"/>
      <c r="AG7" s="203"/>
      <c r="AH7" s="239"/>
      <c r="AI7" s="215"/>
      <c r="AJ7" s="215"/>
      <c r="AK7" s="215"/>
      <c r="AL7" s="215"/>
      <c r="AM7" s="215"/>
      <c r="AN7" s="215"/>
      <c r="AO7" s="214"/>
      <c r="AP7" s="216"/>
      <c r="AQ7" s="203"/>
      <c r="AR7" s="239"/>
      <c r="AS7" s="215"/>
      <c r="AT7" s="215"/>
      <c r="AU7" s="215"/>
      <c r="AV7" s="215"/>
      <c r="AW7" s="215"/>
      <c r="AX7" s="215"/>
      <c r="AY7" s="214"/>
      <c r="AZ7" s="216"/>
      <c r="BA7" s="203"/>
      <c r="BB7" s="239"/>
      <c r="BC7" s="215"/>
      <c r="BD7" s="215"/>
      <c r="BE7" s="215"/>
      <c r="BF7" s="215"/>
      <c r="BG7" s="215"/>
      <c r="BH7" s="215"/>
      <c r="BI7" s="214"/>
      <c r="BJ7" s="216"/>
      <c r="BK7" s="203"/>
      <c r="BL7" s="239"/>
      <c r="BM7" s="215"/>
      <c r="BN7" s="215"/>
      <c r="BO7" s="215"/>
      <c r="BP7" s="215"/>
      <c r="BQ7" s="215"/>
      <c r="BR7" s="215"/>
      <c r="BS7" s="214"/>
      <c r="BT7" s="216"/>
      <c r="BU7" s="203"/>
      <c r="BV7" s="239"/>
      <c r="BW7" s="215"/>
      <c r="BX7" s="215"/>
      <c r="BY7" s="215"/>
      <c r="BZ7" s="215"/>
      <c r="CA7" s="215"/>
      <c r="CB7" s="215"/>
      <c r="CC7" s="214"/>
    </row>
    <row r="8" spans="1:81" s="234" customFormat="1" ht="15.95" customHeight="1" x14ac:dyDescent="0.25">
      <c r="A8" s="229" t="s">
        <v>239</v>
      </c>
      <c r="B8" s="238"/>
      <c r="C8" s="236"/>
      <c r="D8" s="236"/>
      <c r="E8" s="235"/>
      <c r="F8" s="235"/>
      <c r="G8" s="235"/>
      <c r="H8" s="235"/>
      <c r="I8" s="235"/>
      <c r="J8" s="235"/>
      <c r="K8" s="214"/>
      <c r="L8" s="237"/>
      <c r="M8" s="236"/>
      <c r="N8" s="236"/>
      <c r="O8" s="235"/>
      <c r="P8" s="235"/>
      <c r="Q8" s="235"/>
      <c r="R8" s="235"/>
      <c r="S8" s="235"/>
      <c r="T8" s="235"/>
      <c r="U8" s="214"/>
      <c r="V8" s="237"/>
      <c r="W8" s="236"/>
      <c r="X8" s="236"/>
      <c r="Y8" s="235"/>
      <c r="Z8" s="235"/>
      <c r="AA8" s="235"/>
      <c r="AB8" s="235"/>
      <c r="AC8" s="235"/>
      <c r="AD8" s="235"/>
      <c r="AE8" s="214"/>
      <c r="AF8" s="216"/>
      <c r="AG8" s="203"/>
      <c r="AH8" s="203"/>
      <c r="AI8" s="215"/>
      <c r="AJ8" s="215"/>
      <c r="AK8" s="215"/>
      <c r="AL8" s="215"/>
      <c r="AM8" s="215"/>
      <c r="AN8" s="215"/>
      <c r="AO8" s="214"/>
      <c r="AP8" s="216"/>
      <c r="AQ8" s="203"/>
      <c r="AR8" s="203"/>
      <c r="AS8" s="215"/>
      <c r="AT8" s="215"/>
      <c r="AU8" s="215"/>
      <c r="AV8" s="215"/>
      <c r="AW8" s="215"/>
      <c r="AX8" s="215"/>
      <c r="AY8" s="214"/>
      <c r="AZ8" s="216"/>
      <c r="BA8" s="203"/>
      <c r="BB8" s="203"/>
      <c r="BC8" s="215"/>
      <c r="BD8" s="215"/>
      <c r="BE8" s="215"/>
      <c r="BF8" s="215"/>
      <c r="BG8" s="215"/>
      <c r="BH8" s="215"/>
      <c r="BI8" s="214"/>
      <c r="BJ8" s="216"/>
      <c r="BK8" s="203"/>
      <c r="BL8" s="203"/>
      <c r="BM8" s="215"/>
      <c r="BN8" s="215"/>
      <c r="BO8" s="215"/>
      <c r="BP8" s="215"/>
      <c r="BQ8" s="215"/>
      <c r="BR8" s="215"/>
      <c r="BS8" s="214"/>
      <c r="BT8" s="216"/>
      <c r="BU8" s="203"/>
      <c r="BV8" s="203"/>
      <c r="BW8" s="215"/>
      <c r="BX8" s="215"/>
      <c r="BY8" s="215"/>
      <c r="BZ8" s="215"/>
      <c r="CA8" s="215"/>
      <c r="CB8" s="215"/>
      <c r="CC8" s="214"/>
    </row>
    <row r="9" spans="1:81" ht="15.95" customHeight="1" x14ac:dyDescent="0.2">
      <c r="A9" s="218"/>
      <c r="B9" s="223"/>
      <c r="C9" s="221"/>
      <c r="D9" s="221"/>
      <c r="E9" s="220"/>
      <c r="F9" s="220"/>
      <c r="G9" s="220"/>
      <c r="H9" s="220"/>
      <c r="I9" s="220"/>
      <c r="J9" s="220"/>
      <c r="K9" s="214"/>
      <c r="L9" s="222"/>
      <c r="M9" s="221"/>
      <c r="N9" s="221"/>
      <c r="O9" s="220"/>
      <c r="P9" s="220"/>
      <c r="Q9" s="220"/>
      <c r="R9" s="220"/>
      <c r="S9" s="220"/>
      <c r="T9" s="220"/>
      <c r="U9" s="214"/>
      <c r="V9" s="222"/>
      <c r="W9" s="221"/>
      <c r="X9" s="221"/>
      <c r="Y9" s="220"/>
      <c r="Z9" s="220"/>
      <c r="AA9" s="220"/>
      <c r="AB9" s="220"/>
      <c r="AC9" s="220"/>
      <c r="AD9" s="220"/>
      <c r="AE9" s="214"/>
      <c r="AF9" s="216"/>
      <c r="AG9" s="203"/>
      <c r="AH9" s="203"/>
      <c r="AI9" s="215"/>
      <c r="AJ9" s="215"/>
      <c r="AK9" s="215"/>
      <c r="AL9" s="215"/>
      <c r="AM9" s="215"/>
      <c r="AN9" s="215"/>
      <c r="AO9" s="214"/>
      <c r="AP9" s="216"/>
      <c r="AQ9" s="203"/>
      <c r="AR9" s="203"/>
      <c r="AS9" s="215"/>
      <c r="AT9" s="215"/>
      <c r="AU9" s="215"/>
      <c r="AV9" s="215"/>
      <c r="AW9" s="215"/>
      <c r="AX9" s="215"/>
      <c r="AY9" s="214"/>
      <c r="AZ9" s="216"/>
      <c r="BA9" s="203"/>
      <c r="BB9" s="203"/>
      <c r="BC9" s="215"/>
      <c r="BD9" s="215"/>
      <c r="BE9" s="215"/>
      <c r="BF9" s="215"/>
      <c r="BG9" s="215"/>
      <c r="BH9" s="215"/>
      <c r="BI9" s="214"/>
      <c r="BJ9" s="216"/>
      <c r="BK9" s="203"/>
      <c r="BL9" s="203"/>
      <c r="BM9" s="215"/>
      <c r="BN9" s="215"/>
      <c r="BO9" s="215"/>
      <c r="BP9" s="215"/>
      <c r="BQ9" s="215"/>
      <c r="BR9" s="215"/>
      <c r="BS9" s="214"/>
      <c r="BT9" s="216"/>
      <c r="BU9" s="203"/>
      <c r="BV9" s="203"/>
      <c r="BW9" s="215"/>
      <c r="BX9" s="215"/>
      <c r="BY9" s="215"/>
      <c r="BZ9" s="215"/>
      <c r="CA9" s="215"/>
      <c r="CB9" s="215"/>
      <c r="CC9" s="214"/>
    </row>
    <row r="10" spans="1:81" ht="15.95" customHeight="1" x14ac:dyDescent="0.2">
      <c r="A10" s="230" t="s">
        <v>187</v>
      </c>
      <c r="B10" s="223"/>
      <c r="C10" s="221"/>
      <c r="D10" s="221"/>
      <c r="E10" s="220"/>
      <c r="F10" s="220"/>
      <c r="G10" s="220"/>
      <c r="H10" s="220"/>
      <c r="I10" s="220"/>
      <c r="J10" s="220"/>
      <c r="K10" s="214"/>
      <c r="L10" s="222"/>
      <c r="M10" s="221"/>
      <c r="N10" s="221"/>
      <c r="O10" s="220"/>
      <c r="P10" s="220"/>
      <c r="Q10" s="220"/>
      <c r="R10" s="220"/>
      <c r="S10" s="220"/>
      <c r="T10" s="220"/>
      <c r="U10" s="214"/>
      <c r="V10" s="222"/>
      <c r="W10" s="221"/>
      <c r="X10" s="221"/>
      <c r="Y10" s="220"/>
      <c r="Z10" s="220"/>
      <c r="AA10" s="220"/>
      <c r="AB10" s="220"/>
      <c r="AC10" s="220"/>
      <c r="AD10" s="220"/>
      <c r="AE10" s="214"/>
      <c r="AF10" s="216"/>
      <c r="AG10" s="203"/>
      <c r="AH10" s="203"/>
      <c r="AI10" s="215"/>
      <c r="AJ10" s="215"/>
      <c r="AK10" s="215"/>
      <c r="AL10" s="215"/>
      <c r="AM10" s="215"/>
      <c r="AN10" s="215"/>
      <c r="AO10" s="214"/>
      <c r="AP10" s="216"/>
      <c r="AQ10" s="203"/>
      <c r="AR10" s="203"/>
      <c r="AS10" s="215"/>
      <c r="AT10" s="215"/>
      <c r="AU10" s="215"/>
      <c r="AV10" s="215"/>
      <c r="AW10" s="215"/>
      <c r="AX10" s="215"/>
      <c r="AY10" s="214"/>
      <c r="AZ10" s="216"/>
      <c r="BA10" s="203"/>
      <c r="BB10" s="203"/>
      <c r="BC10" s="215"/>
      <c r="BD10" s="215"/>
      <c r="BE10" s="215"/>
      <c r="BF10" s="215"/>
      <c r="BG10" s="215"/>
      <c r="BH10" s="215"/>
      <c r="BI10" s="214"/>
      <c r="BJ10" s="216"/>
      <c r="BK10" s="203"/>
      <c r="BL10" s="203"/>
      <c r="BM10" s="215"/>
      <c r="BN10" s="215"/>
      <c r="BO10" s="215"/>
      <c r="BP10" s="215"/>
      <c r="BQ10" s="215"/>
      <c r="BR10" s="215"/>
      <c r="BS10" s="214"/>
      <c r="BT10" s="216"/>
      <c r="BU10" s="203"/>
      <c r="BV10" s="203"/>
      <c r="BW10" s="215"/>
      <c r="BX10" s="215"/>
      <c r="BY10" s="215"/>
      <c r="BZ10" s="215"/>
      <c r="CA10" s="215"/>
      <c r="CB10" s="215"/>
      <c r="CC10" s="214"/>
    </row>
    <row r="11" spans="1:81" s="213" customFormat="1" ht="15.95" customHeight="1" x14ac:dyDescent="0.2">
      <c r="A11" s="228" t="s">
        <v>238</v>
      </c>
      <c r="B11" s="217"/>
      <c r="C11" s="203">
        <f t="shared" ref="C11:C32" si="0">SUM(E11:I11)</f>
        <v>0</v>
      </c>
      <c r="D11" s="203">
        <f t="shared" ref="D11:D32" si="1">IFERROR(C11/B11,0)</f>
        <v>0</v>
      </c>
      <c r="E11" s="215"/>
      <c r="F11" s="215"/>
      <c r="G11" s="215"/>
      <c r="H11" s="215"/>
      <c r="I11" s="215"/>
      <c r="J11" s="215"/>
      <c r="K11" s="214">
        <f t="shared" ref="K11:K32" si="2">IF(J11=0,0,(IF(E11&lt;=J11,E11,J11)))</f>
        <v>0</v>
      </c>
      <c r="L11" s="216">
        <v>375</v>
      </c>
      <c r="M11" s="203">
        <f t="shared" ref="M11:M32" si="3">SUM(O11:S11)</f>
        <v>148977</v>
      </c>
      <c r="N11" s="203">
        <f t="shared" ref="N11:N32" si="4">IFERROR(M11/L11,0)</f>
        <v>397.27199999999999</v>
      </c>
      <c r="O11" s="215">
        <v>0</v>
      </c>
      <c r="P11" s="215">
        <v>0</v>
      </c>
      <c r="Q11" s="215">
        <v>148977</v>
      </c>
      <c r="R11" s="215">
        <v>0</v>
      </c>
      <c r="S11" s="215">
        <v>0</v>
      </c>
      <c r="T11" s="215">
        <v>148977</v>
      </c>
      <c r="U11" s="214">
        <f t="shared" ref="U11:U32" si="5">IF(T11=0,0,(IF(O11&lt;=T11,O11,T11)))</f>
        <v>0</v>
      </c>
      <c r="V11" s="216">
        <v>582</v>
      </c>
      <c r="W11" s="203">
        <f t="shared" ref="W11:W32" si="6">SUM(Y11:AC11)</f>
        <v>220308</v>
      </c>
      <c r="X11" s="203">
        <f t="shared" ref="X11:X32" si="7">IFERROR(W11/V11,0)</f>
        <v>378.53608247422682</v>
      </c>
      <c r="Y11" s="215"/>
      <c r="Z11" s="215"/>
      <c r="AA11" s="215">
        <v>220308</v>
      </c>
      <c r="AB11" s="215"/>
      <c r="AC11" s="215"/>
      <c r="AD11" s="215">
        <v>220308</v>
      </c>
      <c r="AE11" s="214">
        <f t="shared" ref="AE11:AE32" si="8">IF(AD11=0,0,(IF(Y11&lt;=AD11,Y11,AD11)))</f>
        <v>0</v>
      </c>
      <c r="AF11" s="216">
        <v>426</v>
      </c>
      <c r="AG11" s="203">
        <f t="shared" ref="AG11:AG32" si="9">SUM(AI11:AM11)</f>
        <v>158034</v>
      </c>
      <c r="AH11" s="203">
        <f t="shared" ref="AH11:AH32" si="10">IFERROR(AG11/AF11,0)</f>
        <v>370.97183098591552</v>
      </c>
      <c r="AI11" s="215"/>
      <c r="AJ11" s="215"/>
      <c r="AK11" s="215">
        <v>158034</v>
      </c>
      <c r="AL11" s="215"/>
      <c r="AM11" s="215"/>
      <c r="AN11" s="215">
        <v>158034</v>
      </c>
      <c r="AO11" s="214">
        <f t="shared" ref="AO11:AO32" si="11">IF(AN11=0,0,(IF(AI11&lt;=AN11,AI11,AN11)))</f>
        <v>0</v>
      </c>
      <c r="AP11" s="216">
        <v>474</v>
      </c>
      <c r="AQ11" s="203">
        <f t="shared" ref="AQ11:AQ32" si="12">SUM(AS11:AW11)</f>
        <v>175592</v>
      </c>
      <c r="AR11" s="203">
        <f t="shared" ref="AR11:AR32" si="13">IFERROR(AQ11/AP11,0)</f>
        <v>370.44725738396625</v>
      </c>
      <c r="AS11" s="215"/>
      <c r="AT11" s="215"/>
      <c r="AU11" s="215">
        <v>175592</v>
      </c>
      <c r="AV11" s="215"/>
      <c r="AW11" s="215"/>
      <c r="AX11" s="215">
        <v>175592</v>
      </c>
      <c r="AY11" s="214">
        <f t="shared" ref="AY11:AY32" si="14">IF(AX11=0,0,(IF(AS11&lt;=AX11,AS11,AX11)))</f>
        <v>0</v>
      </c>
      <c r="AZ11" s="216">
        <v>398</v>
      </c>
      <c r="BA11" s="203">
        <f t="shared" ref="BA11:BA32" si="15">SUM(BC11:BG11)</f>
        <v>159054</v>
      </c>
      <c r="BB11" s="203">
        <f t="shared" ref="BB11:BB32" si="16">IFERROR(BA11/AZ11,0)</f>
        <v>399.63316582914575</v>
      </c>
      <c r="BC11" s="215"/>
      <c r="BD11" s="215"/>
      <c r="BE11" s="215">
        <v>159054</v>
      </c>
      <c r="BF11" s="215"/>
      <c r="BG11" s="215"/>
      <c r="BH11" s="215">
        <v>159504</v>
      </c>
      <c r="BI11" s="214">
        <f t="shared" ref="BI11:BI32" si="17">IF(BH11=0,0,(IF(BC11&lt;=BH11,BC11,BH11)))</f>
        <v>0</v>
      </c>
      <c r="BJ11" s="216">
        <v>394</v>
      </c>
      <c r="BK11" s="203">
        <f t="shared" ref="BK11:BK32" si="18">SUM(BM11:BQ11)</f>
        <v>175937</v>
      </c>
      <c r="BL11" s="203">
        <f t="shared" ref="BL11:BL32" si="19">IFERROR(BK11/BJ11,0)</f>
        <v>446.54060913705581</v>
      </c>
      <c r="BM11" s="215"/>
      <c r="BN11" s="215"/>
      <c r="BO11" s="215">
        <v>175937</v>
      </c>
      <c r="BP11" s="215"/>
      <c r="BQ11" s="215"/>
      <c r="BR11" s="215">
        <v>175937</v>
      </c>
      <c r="BS11" s="214">
        <f t="shared" ref="BS11:BS32" si="20">IF(BR11=0,0,(IF(BM11&lt;=BR11,BM11,BR11)))</f>
        <v>0</v>
      </c>
      <c r="BT11" s="226">
        <v>429</v>
      </c>
      <c r="BU11" s="203">
        <f t="shared" ref="BU11:BU32" si="21">SUM(BW11:CA11)</f>
        <v>202857</v>
      </c>
      <c r="BV11" s="203">
        <f t="shared" ref="BV11:BV32" si="22">IFERROR(BU11/BT11,0)</f>
        <v>472.86013986013984</v>
      </c>
      <c r="BW11" s="225"/>
      <c r="BX11" s="225"/>
      <c r="BY11" s="225">
        <v>202857</v>
      </c>
      <c r="BZ11" s="225"/>
      <c r="CA11" s="225"/>
      <c r="CB11" s="225">
        <v>202857</v>
      </c>
      <c r="CC11" s="214">
        <f t="shared" ref="CC11:CC32" si="23">IF(CB11=0,0,(IF(BW11&lt;=CB11,BW11,CB11)))</f>
        <v>0</v>
      </c>
    </row>
    <row r="12" spans="1:81" s="213" customFormat="1" ht="15.95" customHeight="1" x14ac:dyDescent="0.2">
      <c r="A12" s="228" t="s">
        <v>237</v>
      </c>
      <c r="B12" s="217"/>
      <c r="C12" s="203">
        <f t="shared" si="0"/>
        <v>0</v>
      </c>
      <c r="D12" s="203">
        <f t="shared" si="1"/>
        <v>0</v>
      </c>
      <c r="E12" s="215"/>
      <c r="F12" s="215"/>
      <c r="G12" s="215"/>
      <c r="H12" s="215"/>
      <c r="I12" s="215"/>
      <c r="J12" s="215"/>
      <c r="K12" s="214">
        <f t="shared" si="2"/>
        <v>0</v>
      </c>
      <c r="L12" s="216">
        <v>0</v>
      </c>
      <c r="M12" s="203">
        <f t="shared" si="3"/>
        <v>0</v>
      </c>
      <c r="N12" s="203">
        <f t="shared" si="4"/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4">
        <f t="shared" si="5"/>
        <v>0</v>
      </c>
      <c r="V12" s="216"/>
      <c r="W12" s="203">
        <f t="shared" si="6"/>
        <v>0</v>
      </c>
      <c r="X12" s="203">
        <f t="shared" si="7"/>
        <v>0</v>
      </c>
      <c r="Y12" s="215"/>
      <c r="Z12" s="215"/>
      <c r="AA12" s="215"/>
      <c r="AB12" s="215"/>
      <c r="AC12" s="215"/>
      <c r="AD12" s="215"/>
      <c r="AE12" s="214">
        <f t="shared" si="8"/>
        <v>0</v>
      </c>
      <c r="AF12" s="216">
        <v>0</v>
      </c>
      <c r="AG12" s="203">
        <f t="shared" si="9"/>
        <v>0</v>
      </c>
      <c r="AH12" s="203">
        <f t="shared" si="10"/>
        <v>0</v>
      </c>
      <c r="AI12" s="215"/>
      <c r="AJ12" s="215"/>
      <c r="AK12" s="215"/>
      <c r="AL12" s="215"/>
      <c r="AM12" s="215"/>
      <c r="AN12" s="215">
        <v>0</v>
      </c>
      <c r="AO12" s="214">
        <f t="shared" si="11"/>
        <v>0</v>
      </c>
      <c r="AP12" s="216">
        <v>0</v>
      </c>
      <c r="AQ12" s="203">
        <f t="shared" si="12"/>
        <v>0</v>
      </c>
      <c r="AR12" s="203">
        <f t="shared" si="13"/>
        <v>0</v>
      </c>
      <c r="AS12" s="215"/>
      <c r="AT12" s="215"/>
      <c r="AU12" s="215"/>
      <c r="AV12" s="215"/>
      <c r="AW12" s="215"/>
      <c r="AX12" s="215">
        <v>0</v>
      </c>
      <c r="AY12" s="214">
        <f t="shared" si="14"/>
        <v>0</v>
      </c>
      <c r="AZ12" s="216"/>
      <c r="BA12" s="203">
        <f t="shared" si="15"/>
        <v>0</v>
      </c>
      <c r="BB12" s="203">
        <f t="shared" si="16"/>
        <v>0</v>
      </c>
      <c r="BC12" s="215"/>
      <c r="BD12" s="215"/>
      <c r="BE12" s="215"/>
      <c r="BF12" s="215"/>
      <c r="BG12" s="215"/>
      <c r="BH12" s="215"/>
      <c r="BI12" s="214">
        <f t="shared" si="17"/>
        <v>0</v>
      </c>
      <c r="BJ12" s="216"/>
      <c r="BK12" s="203">
        <f t="shared" si="18"/>
        <v>0</v>
      </c>
      <c r="BL12" s="203">
        <f t="shared" si="19"/>
        <v>0</v>
      </c>
      <c r="BM12" s="215"/>
      <c r="BN12" s="215"/>
      <c r="BO12" s="215"/>
      <c r="BP12" s="215"/>
      <c r="BQ12" s="215"/>
      <c r="BR12" s="215"/>
      <c r="BS12" s="214">
        <f t="shared" si="20"/>
        <v>0</v>
      </c>
      <c r="BT12" s="226"/>
      <c r="BU12" s="203">
        <f t="shared" si="21"/>
        <v>0</v>
      </c>
      <c r="BV12" s="203">
        <f t="shared" si="22"/>
        <v>0</v>
      </c>
      <c r="BW12" s="225"/>
      <c r="BX12" s="225"/>
      <c r="BY12" s="225"/>
      <c r="BZ12" s="225"/>
      <c r="CA12" s="225"/>
      <c r="CB12" s="225"/>
      <c r="CC12" s="214">
        <f t="shared" si="23"/>
        <v>0</v>
      </c>
    </row>
    <row r="13" spans="1:81" s="213" customFormat="1" ht="15.95" customHeight="1" x14ac:dyDescent="0.2">
      <c r="A13" s="228" t="s">
        <v>236</v>
      </c>
      <c r="B13" s="217"/>
      <c r="C13" s="203">
        <f t="shared" si="0"/>
        <v>0</v>
      </c>
      <c r="D13" s="203">
        <f t="shared" si="1"/>
        <v>0</v>
      </c>
      <c r="E13" s="215"/>
      <c r="F13" s="215"/>
      <c r="G13" s="215"/>
      <c r="H13" s="215"/>
      <c r="I13" s="215"/>
      <c r="J13" s="215"/>
      <c r="K13" s="214">
        <f t="shared" si="2"/>
        <v>0</v>
      </c>
      <c r="L13" s="216">
        <v>4353</v>
      </c>
      <c r="M13" s="203">
        <f t="shared" si="3"/>
        <v>16038859</v>
      </c>
      <c r="N13" s="203">
        <f t="shared" si="4"/>
        <v>3684.5529519871352</v>
      </c>
      <c r="O13" s="215">
        <v>0</v>
      </c>
      <c r="P13" s="215">
        <v>0</v>
      </c>
      <c r="Q13" s="215">
        <v>0</v>
      </c>
      <c r="R13" s="215">
        <v>16038859</v>
      </c>
      <c r="S13" s="215">
        <v>0</v>
      </c>
      <c r="T13" s="215">
        <v>14443673</v>
      </c>
      <c r="U13" s="214">
        <f t="shared" si="5"/>
        <v>0</v>
      </c>
      <c r="V13" s="216">
        <v>4364</v>
      </c>
      <c r="W13" s="203">
        <f t="shared" si="6"/>
        <v>16265354</v>
      </c>
      <c r="X13" s="203">
        <f t="shared" si="7"/>
        <v>3727.166361136572</v>
      </c>
      <c r="Y13" s="215"/>
      <c r="Z13" s="215"/>
      <c r="AA13" s="215"/>
      <c r="AB13" s="215">
        <v>16265354</v>
      </c>
      <c r="AC13" s="215"/>
      <c r="AD13" s="215">
        <v>14556266</v>
      </c>
      <c r="AE13" s="214">
        <f t="shared" si="8"/>
        <v>0</v>
      </c>
      <c r="AF13" s="216">
        <v>3858</v>
      </c>
      <c r="AG13" s="203">
        <f t="shared" si="9"/>
        <v>14521704</v>
      </c>
      <c r="AH13" s="203">
        <f t="shared" si="10"/>
        <v>3764.0497667185068</v>
      </c>
      <c r="AI13" s="215"/>
      <c r="AJ13" s="215"/>
      <c r="AK13" s="215"/>
      <c r="AL13" s="215">
        <v>14521704</v>
      </c>
      <c r="AM13" s="215"/>
      <c r="AN13" s="215">
        <v>12680555</v>
      </c>
      <c r="AO13" s="214">
        <f t="shared" si="11"/>
        <v>0</v>
      </c>
      <c r="AP13" s="216">
        <v>3596</v>
      </c>
      <c r="AQ13" s="203">
        <f t="shared" si="12"/>
        <v>13501233</v>
      </c>
      <c r="AR13" s="203">
        <f t="shared" si="13"/>
        <v>3754.5141824249167</v>
      </c>
      <c r="AS13" s="215"/>
      <c r="AT13" s="215"/>
      <c r="AU13" s="215"/>
      <c r="AV13" s="215">
        <v>13501233</v>
      </c>
      <c r="AW13" s="215"/>
      <c r="AX13" s="215">
        <v>11676376</v>
      </c>
      <c r="AY13" s="214">
        <f t="shared" si="14"/>
        <v>0</v>
      </c>
      <c r="AZ13" s="216">
        <v>3252</v>
      </c>
      <c r="BA13" s="203">
        <f t="shared" si="15"/>
        <v>12093472</v>
      </c>
      <c r="BB13" s="203">
        <f t="shared" si="16"/>
        <v>3718.7798277982779</v>
      </c>
      <c r="BC13" s="215"/>
      <c r="BD13" s="215"/>
      <c r="BE13" s="215"/>
      <c r="BF13" s="215">
        <v>12093472</v>
      </c>
      <c r="BG13" s="215"/>
      <c r="BH13" s="215">
        <v>10411000</v>
      </c>
      <c r="BI13" s="214">
        <f t="shared" si="17"/>
        <v>0</v>
      </c>
      <c r="BJ13" s="216">
        <v>2699</v>
      </c>
      <c r="BK13" s="203">
        <f t="shared" si="18"/>
        <v>10023008</v>
      </c>
      <c r="BL13" s="203">
        <f t="shared" si="19"/>
        <v>3713.6005928121526</v>
      </c>
      <c r="BM13" s="215"/>
      <c r="BN13" s="215"/>
      <c r="BO13" s="215"/>
      <c r="BP13" s="215">
        <v>10023008</v>
      </c>
      <c r="BQ13" s="215"/>
      <c r="BR13" s="215">
        <v>8594638</v>
      </c>
      <c r="BS13" s="214">
        <f t="shared" si="20"/>
        <v>0</v>
      </c>
      <c r="BT13" s="226">
        <v>2546</v>
      </c>
      <c r="BU13" s="203">
        <f t="shared" si="21"/>
        <v>9514617</v>
      </c>
      <c r="BV13" s="203">
        <f t="shared" si="22"/>
        <v>3737.084446190102</v>
      </c>
      <c r="BW13" s="225"/>
      <c r="BX13" s="225"/>
      <c r="BY13" s="225"/>
      <c r="BZ13" s="225">
        <v>9514617</v>
      </c>
      <c r="CA13" s="225"/>
      <c r="CB13" s="225">
        <v>8026073</v>
      </c>
      <c r="CC13" s="214">
        <f t="shared" si="23"/>
        <v>0</v>
      </c>
    </row>
    <row r="14" spans="1:81" s="213" customFormat="1" ht="15.95" customHeight="1" x14ac:dyDescent="0.2">
      <c r="A14" s="228" t="s">
        <v>235</v>
      </c>
      <c r="B14" s="217"/>
      <c r="C14" s="203">
        <f t="shared" si="0"/>
        <v>0</v>
      </c>
      <c r="D14" s="203">
        <f t="shared" si="1"/>
        <v>0</v>
      </c>
      <c r="E14" s="215"/>
      <c r="F14" s="215"/>
      <c r="G14" s="215"/>
      <c r="H14" s="215"/>
      <c r="I14" s="215"/>
      <c r="J14" s="215"/>
      <c r="K14" s="214">
        <f t="shared" si="2"/>
        <v>0</v>
      </c>
      <c r="L14" s="216">
        <v>4435</v>
      </c>
      <c r="M14" s="203">
        <f t="shared" si="3"/>
        <v>17177560</v>
      </c>
      <c r="N14" s="203">
        <f t="shared" si="4"/>
        <v>3873.1815107102593</v>
      </c>
      <c r="O14" s="215">
        <v>0</v>
      </c>
      <c r="P14" s="215">
        <v>0</v>
      </c>
      <c r="Q14" s="215">
        <v>0</v>
      </c>
      <c r="R14" s="215">
        <v>17177560</v>
      </c>
      <c r="S14" s="215">
        <v>0</v>
      </c>
      <c r="T14" s="215">
        <v>15984151</v>
      </c>
      <c r="U14" s="214">
        <f t="shared" si="5"/>
        <v>0</v>
      </c>
      <c r="V14" s="216">
        <v>4774</v>
      </c>
      <c r="W14" s="203">
        <f t="shared" si="6"/>
        <v>20235467</v>
      </c>
      <c r="X14" s="203">
        <f t="shared" si="7"/>
        <v>4238.681818181818</v>
      </c>
      <c r="Y14" s="215"/>
      <c r="Z14" s="215"/>
      <c r="AA14" s="215"/>
      <c r="AB14" s="215">
        <v>20235467</v>
      </c>
      <c r="AC14" s="215"/>
      <c r="AD14" s="215">
        <v>18920590</v>
      </c>
      <c r="AE14" s="214">
        <f t="shared" si="8"/>
        <v>0</v>
      </c>
      <c r="AF14" s="216">
        <v>4696</v>
      </c>
      <c r="AG14" s="203">
        <f t="shared" si="9"/>
        <v>20636089</v>
      </c>
      <c r="AH14" s="203">
        <f t="shared" si="10"/>
        <v>4394.3971465076665</v>
      </c>
      <c r="AI14" s="215"/>
      <c r="AJ14" s="215"/>
      <c r="AK14" s="215"/>
      <c r="AL14" s="215">
        <v>20636089</v>
      </c>
      <c r="AM14" s="215"/>
      <c r="AN14" s="215">
        <v>19136249</v>
      </c>
      <c r="AO14" s="214">
        <f t="shared" si="11"/>
        <v>0</v>
      </c>
      <c r="AP14" s="216">
        <v>4573</v>
      </c>
      <c r="AQ14" s="203">
        <f t="shared" si="12"/>
        <v>20182286</v>
      </c>
      <c r="AR14" s="203">
        <f t="shared" si="13"/>
        <v>4413.3579706975725</v>
      </c>
      <c r="AS14" s="215"/>
      <c r="AT14" s="215"/>
      <c r="AU14" s="215"/>
      <c r="AV14" s="215">
        <v>20182286</v>
      </c>
      <c r="AW14" s="215"/>
      <c r="AX14" s="215">
        <v>18650078</v>
      </c>
      <c r="AY14" s="214">
        <f t="shared" si="14"/>
        <v>0</v>
      </c>
      <c r="AZ14" s="216">
        <v>4699</v>
      </c>
      <c r="BA14" s="203">
        <f t="shared" si="15"/>
        <v>21175456</v>
      </c>
      <c r="BB14" s="203">
        <f t="shared" si="16"/>
        <v>4506.3749733985951</v>
      </c>
      <c r="BC14" s="215"/>
      <c r="BD14" s="215"/>
      <c r="BE14" s="215"/>
      <c r="BF14" s="215">
        <v>21175456</v>
      </c>
      <c r="BG14" s="215"/>
      <c r="BH14" s="215">
        <v>19768279</v>
      </c>
      <c r="BI14" s="214">
        <f t="shared" si="17"/>
        <v>0</v>
      </c>
      <c r="BJ14" s="216">
        <v>4473</v>
      </c>
      <c r="BK14" s="203">
        <f t="shared" si="18"/>
        <v>21139883</v>
      </c>
      <c r="BL14" s="203">
        <f t="shared" si="19"/>
        <v>4726.1084283478649</v>
      </c>
      <c r="BM14" s="215"/>
      <c r="BN14" s="215"/>
      <c r="BO14" s="215"/>
      <c r="BP14" s="215">
        <v>21139883</v>
      </c>
      <c r="BQ14" s="215"/>
      <c r="BR14" s="215">
        <v>19528994</v>
      </c>
      <c r="BS14" s="214">
        <f t="shared" si="20"/>
        <v>0</v>
      </c>
      <c r="BT14" s="226">
        <v>4276</v>
      </c>
      <c r="BU14" s="203">
        <f t="shared" si="21"/>
        <v>21368759</v>
      </c>
      <c r="BV14" s="203">
        <f t="shared" si="22"/>
        <v>4997.3711412535076</v>
      </c>
      <c r="BW14" s="225"/>
      <c r="BX14" s="225"/>
      <c r="BY14" s="225"/>
      <c r="BZ14" s="225">
        <v>21368759</v>
      </c>
      <c r="CA14" s="225"/>
      <c r="CB14" s="225">
        <v>19449.789000000001</v>
      </c>
      <c r="CC14" s="214">
        <f t="shared" si="23"/>
        <v>0</v>
      </c>
    </row>
    <row r="15" spans="1:81" s="213" customFormat="1" ht="15.95" customHeight="1" x14ac:dyDescent="0.2">
      <c r="A15" s="228" t="s">
        <v>234</v>
      </c>
      <c r="B15" s="217"/>
      <c r="C15" s="203">
        <f t="shared" si="0"/>
        <v>0</v>
      </c>
      <c r="D15" s="203">
        <f t="shared" si="1"/>
        <v>0</v>
      </c>
      <c r="E15" s="215"/>
      <c r="F15" s="215"/>
      <c r="G15" s="215"/>
      <c r="H15" s="215"/>
      <c r="I15" s="215"/>
      <c r="J15" s="215"/>
      <c r="K15" s="214">
        <f t="shared" si="2"/>
        <v>0</v>
      </c>
      <c r="L15" s="216">
        <v>324</v>
      </c>
      <c r="M15" s="203">
        <f t="shared" si="3"/>
        <v>563053</v>
      </c>
      <c r="N15" s="203">
        <f t="shared" si="4"/>
        <v>1737.8179012345679</v>
      </c>
      <c r="O15" s="215">
        <v>0</v>
      </c>
      <c r="P15" s="215">
        <v>0</v>
      </c>
      <c r="Q15" s="215">
        <v>0</v>
      </c>
      <c r="R15" s="215">
        <v>563053</v>
      </c>
      <c r="S15" s="215">
        <v>0</v>
      </c>
      <c r="T15" s="215">
        <v>457553</v>
      </c>
      <c r="U15" s="214">
        <f t="shared" si="5"/>
        <v>0</v>
      </c>
      <c r="V15" s="216">
        <v>169</v>
      </c>
      <c r="W15" s="203">
        <f t="shared" si="6"/>
        <v>349543</v>
      </c>
      <c r="X15" s="203">
        <f t="shared" si="7"/>
        <v>2068.3017751479292</v>
      </c>
      <c r="Y15" s="215"/>
      <c r="Z15" s="215"/>
      <c r="AA15" s="215"/>
      <c r="AB15" s="215">
        <v>349543</v>
      </c>
      <c r="AC15" s="215"/>
      <c r="AD15" s="215">
        <v>276168</v>
      </c>
      <c r="AE15" s="214">
        <f t="shared" si="8"/>
        <v>0</v>
      </c>
      <c r="AF15" s="216">
        <v>0</v>
      </c>
      <c r="AG15" s="203">
        <f t="shared" si="9"/>
        <v>0</v>
      </c>
      <c r="AH15" s="203">
        <f t="shared" si="10"/>
        <v>0</v>
      </c>
      <c r="AI15" s="215"/>
      <c r="AJ15" s="215"/>
      <c r="AK15" s="215"/>
      <c r="AL15" s="215">
        <v>0</v>
      </c>
      <c r="AM15" s="215"/>
      <c r="AN15" s="215">
        <v>0</v>
      </c>
      <c r="AO15" s="214">
        <f t="shared" si="11"/>
        <v>0</v>
      </c>
      <c r="AP15" s="216">
        <v>0</v>
      </c>
      <c r="AQ15" s="203">
        <f t="shared" si="12"/>
        <v>0</v>
      </c>
      <c r="AR15" s="203">
        <f t="shared" si="13"/>
        <v>0</v>
      </c>
      <c r="AS15" s="215"/>
      <c r="AT15" s="215"/>
      <c r="AU15" s="215"/>
      <c r="AV15" s="215"/>
      <c r="AW15" s="215"/>
      <c r="AX15" s="215">
        <v>0</v>
      </c>
      <c r="AY15" s="214">
        <f t="shared" si="14"/>
        <v>0</v>
      </c>
      <c r="AZ15" s="216">
        <v>0</v>
      </c>
      <c r="BA15" s="203">
        <f t="shared" si="15"/>
        <v>0</v>
      </c>
      <c r="BB15" s="203">
        <f t="shared" si="16"/>
        <v>0</v>
      </c>
      <c r="BC15" s="215"/>
      <c r="BD15" s="215"/>
      <c r="BE15" s="215"/>
      <c r="BF15" s="215"/>
      <c r="BG15" s="215"/>
      <c r="BH15" s="215"/>
      <c r="BI15" s="214">
        <f t="shared" si="17"/>
        <v>0</v>
      </c>
      <c r="BJ15" s="216"/>
      <c r="BK15" s="203">
        <f t="shared" si="18"/>
        <v>0</v>
      </c>
      <c r="BL15" s="203">
        <f t="shared" si="19"/>
        <v>0</v>
      </c>
      <c r="BM15" s="215"/>
      <c r="BN15" s="215"/>
      <c r="BO15" s="215"/>
      <c r="BP15" s="215"/>
      <c r="BQ15" s="215"/>
      <c r="BR15" s="215"/>
      <c r="BS15" s="214">
        <f t="shared" si="20"/>
        <v>0</v>
      </c>
      <c r="BT15" s="226"/>
      <c r="BU15" s="203">
        <f t="shared" si="21"/>
        <v>0</v>
      </c>
      <c r="BV15" s="203">
        <f t="shared" si="22"/>
        <v>0</v>
      </c>
      <c r="BW15" s="225"/>
      <c r="BX15" s="225"/>
      <c r="BY15" s="225"/>
      <c r="BZ15" s="225"/>
      <c r="CA15" s="225"/>
      <c r="CB15" s="225"/>
      <c r="CC15" s="214">
        <f t="shared" si="23"/>
        <v>0</v>
      </c>
    </row>
    <row r="16" spans="1:81" s="213" customFormat="1" ht="15.95" customHeight="1" x14ac:dyDescent="0.2">
      <c r="A16" s="228" t="s">
        <v>233</v>
      </c>
      <c r="B16" s="217"/>
      <c r="C16" s="203">
        <f t="shared" si="0"/>
        <v>0</v>
      </c>
      <c r="D16" s="203">
        <f t="shared" si="1"/>
        <v>0</v>
      </c>
      <c r="E16" s="215"/>
      <c r="F16" s="215"/>
      <c r="G16" s="215"/>
      <c r="H16" s="215"/>
      <c r="I16" s="215"/>
      <c r="J16" s="215"/>
      <c r="K16" s="214">
        <f t="shared" si="2"/>
        <v>0</v>
      </c>
      <c r="L16" s="216">
        <v>228</v>
      </c>
      <c r="M16" s="203">
        <f t="shared" si="3"/>
        <v>437540</v>
      </c>
      <c r="N16" s="203">
        <f t="shared" si="4"/>
        <v>1919.0350877192982</v>
      </c>
      <c r="O16" s="215">
        <v>0</v>
      </c>
      <c r="P16" s="215">
        <v>0</v>
      </c>
      <c r="Q16" s="215">
        <v>0</v>
      </c>
      <c r="R16" s="215">
        <v>437540</v>
      </c>
      <c r="S16" s="215">
        <v>0</v>
      </c>
      <c r="T16" s="215">
        <v>371073</v>
      </c>
      <c r="U16" s="214">
        <f t="shared" si="5"/>
        <v>0</v>
      </c>
      <c r="V16" s="216">
        <v>241</v>
      </c>
      <c r="W16" s="203">
        <f t="shared" si="6"/>
        <v>457581</v>
      </c>
      <c r="X16" s="203">
        <f t="shared" si="7"/>
        <v>1898.6763485477179</v>
      </c>
      <c r="Y16" s="215"/>
      <c r="Z16" s="215"/>
      <c r="AA16" s="215"/>
      <c r="AB16" s="215">
        <v>457581</v>
      </c>
      <c r="AC16" s="215"/>
      <c r="AD16" s="215">
        <v>374597</v>
      </c>
      <c r="AE16" s="214">
        <f t="shared" si="8"/>
        <v>0</v>
      </c>
      <c r="AF16" s="216">
        <v>573</v>
      </c>
      <c r="AG16" s="203">
        <f t="shared" si="9"/>
        <v>548732</v>
      </c>
      <c r="AH16" s="203">
        <f t="shared" si="10"/>
        <v>957.64746945898776</v>
      </c>
      <c r="AI16" s="215"/>
      <c r="AJ16" s="215"/>
      <c r="AK16" s="215"/>
      <c r="AL16" s="215">
        <v>548732</v>
      </c>
      <c r="AM16" s="215"/>
      <c r="AN16" s="215">
        <v>420645</v>
      </c>
      <c r="AO16" s="214">
        <f t="shared" si="11"/>
        <v>0</v>
      </c>
      <c r="AP16" s="216">
        <v>804</v>
      </c>
      <c r="AQ16" s="203">
        <f t="shared" si="12"/>
        <v>660564</v>
      </c>
      <c r="AR16" s="203">
        <f t="shared" si="13"/>
        <v>821.59701492537317</v>
      </c>
      <c r="AS16" s="215"/>
      <c r="AT16" s="215"/>
      <c r="AU16" s="215"/>
      <c r="AV16" s="215">
        <v>660564</v>
      </c>
      <c r="AW16" s="215"/>
      <c r="AX16" s="215">
        <v>528837</v>
      </c>
      <c r="AY16" s="214">
        <f t="shared" si="14"/>
        <v>0</v>
      </c>
      <c r="AZ16" s="216">
        <v>650</v>
      </c>
      <c r="BA16" s="203">
        <f t="shared" si="15"/>
        <v>733308</v>
      </c>
      <c r="BB16" s="203">
        <f t="shared" si="16"/>
        <v>1128.1661538461537</v>
      </c>
      <c r="BC16" s="215"/>
      <c r="BD16" s="215"/>
      <c r="BE16" s="215"/>
      <c r="BF16" s="215">
        <v>733308</v>
      </c>
      <c r="BG16" s="215"/>
      <c r="BH16" s="215">
        <v>589204</v>
      </c>
      <c r="BI16" s="214">
        <f t="shared" si="17"/>
        <v>0</v>
      </c>
      <c r="BJ16" s="216">
        <v>803</v>
      </c>
      <c r="BK16" s="203">
        <f t="shared" si="18"/>
        <v>824900</v>
      </c>
      <c r="BL16" s="203">
        <f t="shared" si="19"/>
        <v>1027.2727272727273</v>
      </c>
      <c r="BM16" s="215"/>
      <c r="BN16" s="215"/>
      <c r="BO16" s="215"/>
      <c r="BP16" s="215">
        <v>824900</v>
      </c>
      <c r="BQ16" s="215"/>
      <c r="BR16" s="215">
        <v>640136</v>
      </c>
      <c r="BS16" s="214">
        <f t="shared" si="20"/>
        <v>0</v>
      </c>
      <c r="BT16" s="226">
        <v>821</v>
      </c>
      <c r="BU16" s="203">
        <f t="shared" si="21"/>
        <v>935488</v>
      </c>
      <c r="BV16" s="203">
        <f t="shared" si="22"/>
        <v>1139.4494518879414</v>
      </c>
      <c r="BW16" s="225"/>
      <c r="BX16" s="225"/>
      <c r="BY16" s="225"/>
      <c r="BZ16" s="225">
        <v>935488</v>
      </c>
      <c r="CA16" s="225"/>
      <c r="CB16" s="225">
        <v>668178</v>
      </c>
      <c r="CC16" s="214">
        <f t="shared" si="23"/>
        <v>0</v>
      </c>
    </row>
    <row r="17" spans="1:81" s="213" customFormat="1" ht="15.95" customHeight="1" x14ac:dyDescent="0.2">
      <c r="A17" s="228" t="s">
        <v>232</v>
      </c>
      <c r="B17" s="217"/>
      <c r="C17" s="203">
        <f t="shared" si="0"/>
        <v>1969516</v>
      </c>
      <c r="D17" s="203">
        <f t="shared" si="1"/>
        <v>0</v>
      </c>
      <c r="E17" s="215">
        <v>1969516</v>
      </c>
      <c r="F17" s="215"/>
      <c r="G17" s="215"/>
      <c r="H17" s="215"/>
      <c r="I17" s="215"/>
      <c r="J17" s="215"/>
      <c r="K17" s="214">
        <f t="shared" si="2"/>
        <v>0</v>
      </c>
      <c r="L17" s="216">
        <v>281</v>
      </c>
      <c r="M17" s="203">
        <f t="shared" si="3"/>
        <v>1900042</v>
      </c>
      <c r="N17" s="203">
        <f t="shared" si="4"/>
        <v>6761.7153024911031</v>
      </c>
      <c r="O17" s="215">
        <v>1900042</v>
      </c>
      <c r="P17" s="215">
        <v>0</v>
      </c>
      <c r="Q17" s="215">
        <v>0</v>
      </c>
      <c r="R17" s="215">
        <v>0</v>
      </c>
      <c r="S17" s="215">
        <v>0</v>
      </c>
      <c r="T17" s="215">
        <v>1900042</v>
      </c>
      <c r="U17" s="214">
        <f t="shared" si="5"/>
        <v>1900042</v>
      </c>
      <c r="V17" s="216">
        <v>268</v>
      </c>
      <c r="W17" s="203">
        <f t="shared" si="6"/>
        <v>1900141</v>
      </c>
      <c r="X17" s="203">
        <f t="shared" si="7"/>
        <v>7090.0783582089553</v>
      </c>
      <c r="Y17" s="215">
        <v>1900141</v>
      </c>
      <c r="Z17" s="215"/>
      <c r="AA17" s="215"/>
      <c r="AB17" s="215"/>
      <c r="AC17" s="215"/>
      <c r="AD17" s="215">
        <v>1900141</v>
      </c>
      <c r="AE17" s="214">
        <f t="shared" si="8"/>
        <v>1900141</v>
      </c>
      <c r="AF17" s="216">
        <v>270</v>
      </c>
      <c r="AG17" s="203">
        <f t="shared" si="9"/>
        <v>1973270</v>
      </c>
      <c r="AH17" s="203">
        <f t="shared" si="10"/>
        <v>7308.4074074074078</v>
      </c>
      <c r="AI17" s="215">
        <v>1973270</v>
      </c>
      <c r="AJ17" s="215"/>
      <c r="AK17" s="215"/>
      <c r="AL17" s="215"/>
      <c r="AM17" s="215"/>
      <c r="AN17" s="215">
        <v>1973270</v>
      </c>
      <c r="AO17" s="214">
        <f t="shared" si="11"/>
        <v>1973270</v>
      </c>
      <c r="AP17" s="216">
        <v>266</v>
      </c>
      <c r="AQ17" s="203">
        <f t="shared" si="12"/>
        <v>2057658</v>
      </c>
      <c r="AR17" s="203">
        <f t="shared" si="13"/>
        <v>7735.5563909774437</v>
      </c>
      <c r="AS17" s="215">
        <v>2057658</v>
      </c>
      <c r="AT17" s="215"/>
      <c r="AU17" s="215"/>
      <c r="AV17" s="215"/>
      <c r="AW17" s="215"/>
      <c r="AX17" s="215">
        <v>2057658</v>
      </c>
      <c r="AY17" s="214">
        <f t="shared" si="14"/>
        <v>2057658</v>
      </c>
      <c r="AZ17" s="216">
        <v>251</v>
      </c>
      <c r="BA17" s="203">
        <f t="shared" si="15"/>
        <v>1969488.6400000001</v>
      </c>
      <c r="BB17" s="203">
        <f t="shared" si="16"/>
        <v>7846.5682868525901</v>
      </c>
      <c r="BC17" s="215">
        <v>1969488.6400000001</v>
      </c>
      <c r="BD17" s="215"/>
      <c r="BE17" s="215"/>
      <c r="BF17" s="215"/>
      <c r="BG17" s="215"/>
      <c r="BH17" s="215">
        <v>1963929.64</v>
      </c>
      <c r="BI17" s="214">
        <f t="shared" si="17"/>
        <v>1963929.64</v>
      </c>
      <c r="BJ17" s="216">
        <v>251</v>
      </c>
      <c r="BK17" s="203">
        <f t="shared" si="18"/>
        <v>1910787.57</v>
      </c>
      <c r="BL17" s="203">
        <f t="shared" si="19"/>
        <v>7612.6994820717136</v>
      </c>
      <c r="BM17" s="215">
        <v>1910787.57</v>
      </c>
      <c r="BN17" s="215"/>
      <c r="BO17" s="215"/>
      <c r="BP17" s="215"/>
      <c r="BQ17" s="215"/>
      <c r="BR17" s="215">
        <v>1909736.17</v>
      </c>
      <c r="BS17" s="214">
        <f t="shared" si="20"/>
        <v>1909736.17</v>
      </c>
      <c r="BT17" s="226">
        <v>239</v>
      </c>
      <c r="BU17" s="203">
        <f t="shared" si="21"/>
        <v>1844767</v>
      </c>
      <c r="BV17" s="203">
        <f t="shared" si="22"/>
        <v>7718.6903765690377</v>
      </c>
      <c r="BW17" s="225">
        <v>1844767</v>
      </c>
      <c r="BX17" s="225"/>
      <c r="BY17" s="225"/>
      <c r="BZ17" s="225"/>
      <c r="CA17" s="225"/>
      <c r="CB17" s="225">
        <f>+BW17</f>
        <v>1844767</v>
      </c>
      <c r="CC17" s="214">
        <f t="shared" si="23"/>
        <v>1844767</v>
      </c>
    </row>
    <row r="18" spans="1:81" s="213" customFormat="1" ht="15.95" customHeight="1" x14ac:dyDescent="0.2">
      <c r="A18" s="228" t="s">
        <v>231</v>
      </c>
      <c r="B18" s="217"/>
      <c r="C18" s="203">
        <f t="shared" si="0"/>
        <v>0</v>
      </c>
      <c r="D18" s="203">
        <f t="shared" si="1"/>
        <v>0</v>
      </c>
      <c r="E18" s="215"/>
      <c r="F18" s="215"/>
      <c r="G18" s="215"/>
      <c r="H18" s="215"/>
      <c r="I18" s="215"/>
      <c r="J18" s="215"/>
      <c r="K18" s="214">
        <f t="shared" si="2"/>
        <v>0</v>
      </c>
      <c r="L18" s="216">
        <v>348</v>
      </c>
      <c r="M18" s="203">
        <f t="shared" si="3"/>
        <v>2749484</v>
      </c>
      <c r="N18" s="203">
        <f t="shared" si="4"/>
        <v>7900.8160919540232</v>
      </c>
      <c r="O18" s="215">
        <v>0</v>
      </c>
      <c r="P18" s="215">
        <v>0</v>
      </c>
      <c r="Q18" s="215">
        <v>0</v>
      </c>
      <c r="R18" s="215">
        <v>0</v>
      </c>
      <c r="S18" s="215">
        <v>2749484</v>
      </c>
      <c r="T18" s="215">
        <v>2171781</v>
      </c>
      <c r="U18" s="214">
        <f t="shared" si="5"/>
        <v>0</v>
      </c>
      <c r="V18" s="216">
        <v>386</v>
      </c>
      <c r="W18" s="203">
        <f t="shared" si="6"/>
        <v>2961632</v>
      </c>
      <c r="X18" s="203">
        <f t="shared" si="7"/>
        <v>7672.6217616580307</v>
      </c>
      <c r="Y18" s="215"/>
      <c r="Z18" s="215"/>
      <c r="AA18" s="215"/>
      <c r="AB18" s="215"/>
      <c r="AC18" s="215">
        <v>2961632</v>
      </c>
      <c r="AD18" s="215">
        <v>2303717</v>
      </c>
      <c r="AE18" s="214">
        <f t="shared" si="8"/>
        <v>0</v>
      </c>
      <c r="AF18" s="216">
        <v>418</v>
      </c>
      <c r="AG18" s="203">
        <f t="shared" si="9"/>
        <v>3791869</v>
      </c>
      <c r="AH18" s="203">
        <f t="shared" si="10"/>
        <v>9071.4569377990429</v>
      </c>
      <c r="AI18" s="215"/>
      <c r="AJ18" s="215"/>
      <c r="AK18" s="215"/>
      <c r="AL18" s="215"/>
      <c r="AM18" s="215">
        <v>3791869</v>
      </c>
      <c r="AN18" s="215">
        <v>2662367</v>
      </c>
      <c r="AO18" s="214">
        <f t="shared" si="11"/>
        <v>0</v>
      </c>
      <c r="AP18" s="216">
        <v>441</v>
      </c>
      <c r="AQ18" s="203">
        <f t="shared" si="12"/>
        <v>4116921</v>
      </c>
      <c r="AR18" s="203">
        <f t="shared" si="13"/>
        <v>9335.4217687074834</v>
      </c>
      <c r="AS18" s="215"/>
      <c r="AT18" s="215"/>
      <c r="AU18" s="215"/>
      <c r="AV18" s="215"/>
      <c r="AW18" s="215">
        <v>4116921</v>
      </c>
      <c r="AX18" s="215">
        <v>3009048</v>
      </c>
      <c r="AY18" s="214">
        <f t="shared" si="14"/>
        <v>0</v>
      </c>
      <c r="AZ18" s="216">
        <v>389</v>
      </c>
      <c r="BA18" s="203">
        <f t="shared" si="15"/>
        <v>3649613</v>
      </c>
      <c r="BB18" s="203">
        <f t="shared" si="16"/>
        <v>9382.0385604113108</v>
      </c>
      <c r="BC18" s="215"/>
      <c r="BD18" s="215"/>
      <c r="BE18" s="215"/>
      <c r="BF18" s="215"/>
      <c r="BG18" s="215">
        <v>3649613</v>
      </c>
      <c r="BH18" s="215">
        <v>2681977</v>
      </c>
      <c r="BI18" s="214">
        <f t="shared" si="17"/>
        <v>0</v>
      </c>
      <c r="BJ18" s="216">
        <v>373</v>
      </c>
      <c r="BK18" s="203">
        <f t="shared" si="18"/>
        <v>3734089</v>
      </c>
      <c r="BL18" s="203">
        <f t="shared" si="19"/>
        <v>10010.962466487936</v>
      </c>
      <c r="BM18" s="215"/>
      <c r="BN18" s="215"/>
      <c r="BO18" s="215"/>
      <c r="BP18" s="215"/>
      <c r="BQ18" s="215">
        <v>3734089</v>
      </c>
      <c r="BR18" s="215">
        <v>2656400</v>
      </c>
      <c r="BS18" s="214">
        <f t="shared" si="20"/>
        <v>0</v>
      </c>
      <c r="BT18" s="226">
        <v>381</v>
      </c>
      <c r="BU18" s="203">
        <f t="shared" si="21"/>
        <v>3989449</v>
      </c>
      <c r="BV18" s="203">
        <f t="shared" si="22"/>
        <v>10470.994750656168</v>
      </c>
      <c r="BW18" s="225"/>
      <c r="BX18" s="225"/>
      <c r="BY18" s="225"/>
      <c r="BZ18" s="225"/>
      <c r="CA18" s="225">
        <v>3989449</v>
      </c>
      <c r="CB18" s="225">
        <v>2909195</v>
      </c>
      <c r="CC18" s="214">
        <f t="shared" si="23"/>
        <v>0</v>
      </c>
    </row>
    <row r="19" spans="1:81" s="213" customFormat="1" ht="15.95" customHeight="1" x14ac:dyDescent="0.2">
      <c r="A19" s="228" t="s">
        <v>214</v>
      </c>
      <c r="B19" s="217"/>
      <c r="C19" s="203">
        <f t="shared" si="0"/>
        <v>0</v>
      </c>
      <c r="D19" s="203">
        <f t="shared" si="1"/>
        <v>0</v>
      </c>
      <c r="E19" s="215"/>
      <c r="F19" s="215"/>
      <c r="G19" s="215"/>
      <c r="H19" s="215"/>
      <c r="I19" s="215"/>
      <c r="J19" s="215"/>
      <c r="K19" s="214">
        <f t="shared" si="2"/>
        <v>0</v>
      </c>
      <c r="L19" s="216">
        <v>1236</v>
      </c>
      <c r="M19" s="203">
        <f t="shared" si="3"/>
        <v>11330221</v>
      </c>
      <c r="N19" s="203">
        <f t="shared" si="4"/>
        <v>9166.8454692556643</v>
      </c>
      <c r="O19" s="215">
        <v>0</v>
      </c>
      <c r="P19" s="215">
        <v>0</v>
      </c>
      <c r="Q19" s="215">
        <v>0</v>
      </c>
      <c r="R19" s="215">
        <v>0</v>
      </c>
      <c r="S19" s="215">
        <v>11330221</v>
      </c>
      <c r="T19" s="215">
        <v>11330221</v>
      </c>
      <c r="U19" s="214">
        <f t="shared" si="5"/>
        <v>0</v>
      </c>
      <c r="V19" s="216">
        <v>1250</v>
      </c>
      <c r="W19" s="203">
        <f t="shared" si="6"/>
        <v>11618235</v>
      </c>
      <c r="X19" s="203">
        <f t="shared" si="7"/>
        <v>9294.5879999999997</v>
      </c>
      <c r="Y19" s="215"/>
      <c r="Z19" s="215"/>
      <c r="AA19" s="215"/>
      <c r="AB19" s="215"/>
      <c r="AC19" s="215">
        <v>11618235</v>
      </c>
      <c r="AD19" s="215">
        <v>11618235</v>
      </c>
      <c r="AE19" s="214">
        <f t="shared" si="8"/>
        <v>0</v>
      </c>
      <c r="AF19" s="216">
        <v>1248</v>
      </c>
      <c r="AG19" s="203">
        <f t="shared" si="9"/>
        <v>11827466</v>
      </c>
      <c r="AH19" s="203">
        <f t="shared" si="10"/>
        <v>9477.1362179487187</v>
      </c>
      <c r="AI19" s="215"/>
      <c r="AJ19" s="215"/>
      <c r="AK19" s="215"/>
      <c r="AL19" s="215"/>
      <c r="AM19" s="215">
        <v>11827466</v>
      </c>
      <c r="AN19" s="215">
        <v>11827466</v>
      </c>
      <c r="AO19" s="214">
        <f t="shared" si="11"/>
        <v>0</v>
      </c>
      <c r="AP19" s="216">
        <v>1261</v>
      </c>
      <c r="AQ19" s="203">
        <f t="shared" si="12"/>
        <v>12277347</v>
      </c>
      <c r="AR19" s="203">
        <f t="shared" si="13"/>
        <v>9736.1990483743066</v>
      </c>
      <c r="AS19" s="215"/>
      <c r="AT19" s="215"/>
      <c r="AU19" s="215"/>
      <c r="AV19" s="215"/>
      <c r="AW19" s="215">
        <v>12277347</v>
      </c>
      <c r="AX19" s="215">
        <v>12277347</v>
      </c>
      <c r="AY19" s="214">
        <f t="shared" si="14"/>
        <v>0</v>
      </c>
      <c r="AZ19" s="216">
        <v>1259</v>
      </c>
      <c r="BA19" s="203">
        <f t="shared" si="15"/>
        <v>12452042</v>
      </c>
      <c r="BB19" s="203">
        <f t="shared" si="16"/>
        <v>9890.4225575853852</v>
      </c>
      <c r="BC19" s="215"/>
      <c r="BD19" s="215"/>
      <c r="BE19" s="215"/>
      <c r="BF19" s="215"/>
      <c r="BG19" s="215">
        <v>12452042</v>
      </c>
      <c r="BH19" s="215">
        <v>12452042</v>
      </c>
      <c r="BI19" s="214">
        <f t="shared" si="17"/>
        <v>0</v>
      </c>
      <c r="BJ19" s="216">
        <v>1215</v>
      </c>
      <c r="BK19" s="203">
        <f t="shared" si="18"/>
        <v>11888378</v>
      </c>
      <c r="BL19" s="203">
        <f t="shared" si="19"/>
        <v>9784.6732510288057</v>
      </c>
      <c r="BM19" s="215"/>
      <c r="BN19" s="215"/>
      <c r="BO19" s="215"/>
      <c r="BP19" s="215"/>
      <c r="BQ19" s="215">
        <v>11888378</v>
      </c>
      <c r="BR19" s="215">
        <v>1188378</v>
      </c>
      <c r="BS19" s="214">
        <f t="shared" si="20"/>
        <v>0</v>
      </c>
      <c r="BT19" s="226">
        <v>1199</v>
      </c>
      <c r="BU19" s="203">
        <f t="shared" si="21"/>
        <v>11806415</v>
      </c>
      <c r="BV19" s="203">
        <f t="shared" si="22"/>
        <v>9846.884904086739</v>
      </c>
      <c r="BW19" s="225"/>
      <c r="BX19" s="225"/>
      <c r="BY19" s="225"/>
      <c r="BZ19" s="225"/>
      <c r="CA19" s="225">
        <v>11806415</v>
      </c>
      <c r="CB19" s="225">
        <v>11806415</v>
      </c>
      <c r="CC19" s="214">
        <f t="shared" si="23"/>
        <v>0</v>
      </c>
    </row>
    <row r="20" spans="1:81" s="213" customFormat="1" ht="15.95" customHeight="1" x14ac:dyDescent="0.2">
      <c r="A20" s="228" t="s">
        <v>230</v>
      </c>
      <c r="B20" s="217"/>
      <c r="C20" s="203">
        <f t="shared" si="0"/>
        <v>2980698</v>
      </c>
      <c r="D20" s="203">
        <f t="shared" si="1"/>
        <v>0</v>
      </c>
      <c r="E20" s="215"/>
      <c r="F20" s="215"/>
      <c r="G20" s="215">
        <v>2980698</v>
      </c>
      <c r="H20" s="215"/>
      <c r="I20" s="215"/>
      <c r="J20" s="215"/>
      <c r="K20" s="214">
        <f t="shared" si="2"/>
        <v>0</v>
      </c>
      <c r="L20" s="216">
        <v>1523</v>
      </c>
      <c r="M20" s="203">
        <f t="shared" si="3"/>
        <v>3273243</v>
      </c>
      <c r="N20" s="203">
        <f t="shared" si="4"/>
        <v>2149.2074852265264</v>
      </c>
      <c r="O20" s="215">
        <v>0</v>
      </c>
      <c r="P20" s="215">
        <v>0</v>
      </c>
      <c r="Q20" s="215">
        <v>3273243</v>
      </c>
      <c r="R20" s="215">
        <v>0</v>
      </c>
      <c r="S20" s="215">
        <v>0</v>
      </c>
      <c r="T20" s="215">
        <v>3273243</v>
      </c>
      <c r="U20" s="214">
        <f t="shared" si="5"/>
        <v>0</v>
      </c>
      <c r="V20" s="216">
        <v>1481</v>
      </c>
      <c r="W20" s="203">
        <f t="shared" si="6"/>
        <v>3332188</v>
      </c>
      <c r="X20" s="203">
        <f t="shared" si="7"/>
        <v>2249.958136394328</v>
      </c>
      <c r="Y20" s="215"/>
      <c r="Z20" s="215"/>
      <c r="AA20" s="215">
        <v>3332188</v>
      </c>
      <c r="AB20" s="215"/>
      <c r="AC20" s="215"/>
      <c r="AD20" s="215">
        <v>3332188</v>
      </c>
      <c r="AE20" s="214">
        <f t="shared" si="8"/>
        <v>0</v>
      </c>
      <c r="AF20" s="216">
        <v>1679</v>
      </c>
      <c r="AG20" s="203">
        <f t="shared" si="9"/>
        <v>3560730</v>
      </c>
      <c r="AH20" s="203">
        <f t="shared" si="10"/>
        <v>2120.7444907683143</v>
      </c>
      <c r="AI20" s="215"/>
      <c r="AJ20" s="215"/>
      <c r="AK20" s="215">
        <v>3560730</v>
      </c>
      <c r="AL20" s="215"/>
      <c r="AM20" s="215"/>
      <c r="AN20" s="215">
        <v>3560730</v>
      </c>
      <c r="AO20" s="214">
        <f t="shared" si="11"/>
        <v>0</v>
      </c>
      <c r="AP20" s="216">
        <v>1950</v>
      </c>
      <c r="AQ20" s="203">
        <f t="shared" si="12"/>
        <v>3869957</v>
      </c>
      <c r="AR20" s="203">
        <f t="shared" si="13"/>
        <v>1984.5933333333332</v>
      </c>
      <c r="AS20" s="215"/>
      <c r="AT20" s="215"/>
      <c r="AU20" s="215">
        <v>3869957</v>
      </c>
      <c r="AV20" s="215"/>
      <c r="AW20" s="215"/>
      <c r="AX20" s="215">
        <v>3869957</v>
      </c>
      <c r="AY20" s="214">
        <f t="shared" si="14"/>
        <v>0</v>
      </c>
      <c r="AZ20" s="216">
        <v>1794</v>
      </c>
      <c r="BA20" s="203">
        <f t="shared" si="15"/>
        <v>4531753</v>
      </c>
      <c r="BB20" s="203">
        <f t="shared" si="16"/>
        <v>2526.0607580824972</v>
      </c>
      <c r="BC20" s="215"/>
      <c r="BD20" s="215"/>
      <c r="BE20" s="215">
        <v>4531753</v>
      </c>
      <c r="BF20" s="215"/>
      <c r="BG20" s="215"/>
      <c r="BH20" s="215">
        <v>4531753</v>
      </c>
      <c r="BI20" s="214">
        <f t="shared" si="17"/>
        <v>0</v>
      </c>
      <c r="BJ20" s="216">
        <v>2057</v>
      </c>
      <c r="BK20" s="203">
        <f t="shared" si="18"/>
        <v>5331200</v>
      </c>
      <c r="BL20" s="203">
        <f t="shared" si="19"/>
        <v>2591.7355371900826</v>
      </c>
      <c r="BM20" s="215"/>
      <c r="BN20" s="215"/>
      <c r="BO20" s="215">
        <v>5331200</v>
      </c>
      <c r="BP20" s="215"/>
      <c r="BQ20" s="215"/>
      <c r="BR20" s="215">
        <v>5331200</v>
      </c>
      <c r="BS20" s="214">
        <f t="shared" si="20"/>
        <v>0</v>
      </c>
      <c r="BT20" s="226">
        <v>2104</v>
      </c>
      <c r="BU20" s="203">
        <f t="shared" si="21"/>
        <v>5358202</v>
      </c>
      <c r="BV20" s="203">
        <f t="shared" si="22"/>
        <v>2546.6739543726235</v>
      </c>
      <c r="BW20" s="225"/>
      <c r="BX20" s="225"/>
      <c r="BY20" s="225">
        <v>5358202</v>
      </c>
      <c r="BZ20" s="225"/>
      <c r="CA20" s="225"/>
      <c r="CB20" s="225">
        <v>5358202</v>
      </c>
      <c r="CC20" s="214">
        <f t="shared" si="23"/>
        <v>0</v>
      </c>
    </row>
    <row r="21" spans="1:81" s="213" customFormat="1" ht="15.95" customHeight="1" x14ac:dyDescent="0.2">
      <c r="A21" s="228" t="s">
        <v>229</v>
      </c>
      <c r="B21" s="217"/>
      <c r="C21" s="203">
        <f t="shared" si="0"/>
        <v>1324636</v>
      </c>
      <c r="D21" s="203">
        <f t="shared" si="1"/>
        <v>0</v>
      </c>
      <c r="E21" s="215"/>
      <c r="F21" s="215">
        <v>1324636</v>
      </c>
      <c r="G21" s="215"/>
      <c r="H21" s="215"/>
      <c r="I21" s="215"/>
      <c r="J21" s="215"/>
      <c r="K21" s="214">
        <f t="shared" si="2"/>
        <v>0</v>
      </c>
      <c r="L21" s="216">
        <v>752</v>
      </c>
      <c r="M21" s="203">
        <f t="shared" si="3"/>
        <v>1358733</v>
      </c>
      <c r="N21" s="203">
        <f t="shared" si="4"/>
        <v>1806.8257978723404</v>
      </c>
      <c r="O21" s="215">
        <v>0</v>
      </c>
      <c r="P21" s="215">
        <v>1358733</v>
      </c>
      <c r="Q21" s="215">
        <v>0</v>
      </c>
      <c r="R21" s="215">
        <v>0</v>
      </c>
      <c r="S21" s="215">
        <v>0</v>
      </c>
      <c r="T21" s="215">
        <v>1042809</v>
      </c>
      <c r="U21" s="214">
        <f t="shared" si="5"/>
        <v>0</v>
      </c>
      <c r="V21" s="216">
        <v>741</v>
      </c>
      <c r="W21" s="203">
        <f t="shared" si="6"/>
        <v>1431456</v>
      </c>
      <c r="X21" s="203">
        <f t="shared" si="7"/>
        <v>1931.7894736842106</v>
      </c>
      <c r="Y21" s="215"/>
      <c r="Z21" s="215">
        <v>1431456</v>
      </c>
      <c r="AA21" s="215"/>
      <c r="AB21" s="215"/>
      <c r="AC21" s="215"/>
      <c r="AD21" s="215">
        <v>967820</v>
      </c>
      <c r="AE21" s="214">
        <f t="shared" si="8"/>
        <v>0</v>
      </c>
      <c r="AF21" s="216">
        <v>1285</v>
      </c>
      <c r="AG21" s="203">
        <f t="shared" si="9"/>
        <v>2423386</v>
      </c>
      <c r="AH21" s="203">
        <f t="shared" si="10"/>
        <v>1885.9035019455252</v>
      </c>
      <c r="AI21" s="215"/>
      <c r="AJ21" s="215">
        <v>2423386</v>
      </c>
      <c r="AK21" s="215"/>
      <c r="AL21" s="215"/>
      <c r="AM21" s="215"/>
      <c r="AN21" s="215">
        <v>1819656</v>
      </c>
      <c r="AO21" s="214">
        <f t="shared" si="11"/>
        <v>0</v>
      </c>
      <c r="AP21" s="216">
        <v>1202</v>
      </c>
      <c r="AQ21" s="203">
        <f t="shared" si="12"/>
        <v>1643380</v>
      </c>
      <c r="AR21" s="203">
        <f t="shared" si="13"/>
        <v>1367.2046589018303</v>
      </c>
      <c r="AS21" s="215"/>
      <c r="AT21" s="215">
        <v>1643380</v>
      </c>
      <c r="AU21" s="215"/>
      <c r="AV21" s="215"/>
      <c r="AW21" s="215"/>
      <c r="AX21" s="215">
        <v>273789</v>
      </c>
      <c r="AY21" s="214">
        <f t="shared" si="14"/>
        <v>0</v>
      </c>
      <c r="AZ21" s="216">
        <v>1010</v>
      </c>
      <c r="BA21" s="203">
        <f t="shared" si="15"/>
        <v>1662805</v>
      </c>
      <c r="BB21" s="203">
        <f t="shared" si="16"/>
        <v>1646.3415841584158</v>
      </c>
      <c r="BC21" s="215"/>
      <c r="BD21" s="215">
        <v>1662805</v>
      </c>
      <c r="BE21" s="215"/>
      <c r="BF21" s="215"/>
      <c r="BG21" s="215"/>
      <c r="BH21" s="215">
        <v>1439506</v>
      </c>
      <c r="BI21" s="214">
        <f t="shared" si="17"/>
        <v>0</v>
      </c>
      <c r="BJ21" s="216">
        <v>2665</v>
      </c>
      <c r="BK21" s="203">
        <f t="shared" si="18"/>
        <v>4960345</v>
      </c>
      <c r="BL21" s="203">
        <f t="shared" si="19"/>
        <v>1861.2926829268292</v>
      </c>
      <c r="BM21" s="215"/>
      <c r="BN21" s="215">
        <v>4960345</v>
      </c>
      <c r="BO21" s="215"/>
      <c r="BP21" s="215"/>
      <c r="BQ21" s="215"/>
      <c r="BR21" s="215">
        <v>4320533</v>
      </c>
      <c r="BS21" s="214">
        <f t="shared" si="20"/>
        <v>0</v>
      </c>
      <c r="BT21" s="226">
        <v>2775</v>
      </c>
      <c r="BU21" s="203">
        <f t="shared" si="21"/>
        <v>4934882</v>
      </c>
      <c r="BV21" s="203">
        <f t="shared" si="22"/>
        <v>1778.3358558558559</v>
      </c>
      <c r="BW21" s="225"/>
      <c r="BX21" s="225">
        <v>4934882</v>
      </c>
      <c r="BY21" s="225"/>
      <c r="BZ21" s="225"/>
      <c r="CA21" s="225"/>
      <c r="CB21" s="225">
        <v>4161862</v>
      </c>
      <c r="CC21" s="214">
        <f t="shared" si="23"/>
        <v>0</v>
      </c>
    </row>
    <row r="22" spans="1:81" s="213" customFormat="1" ht="15.95" customHeight="1" x14ac:dyDescent="0.2">
      <c r="A22" s="228" t="s">
        <v>228</v>
      </c>
      <c r="B22" s="217"/>
      <c r="C22" s="203">
        <f t="shared" si="0"/>
        <v>1240160</v>
      </c>
      <c r="D22" s="203">
        <f t="shared" si="1"/>
        <v>0</v>
      </c>
      <c r="E22" s="215"/>
      <c r="F22" s="215">
        <v>1240160</v>
      </c>
      <c r="G22" s="215"/>
      <c r="H22" s="215"/>
      <c r="I22" s="215"/>
      <c r="J22" s="215"/>
      <c r="K22" s="214">
        <f t="shared" si="2"/>
        <v>0</v>
      </c>
      <c r="L22" s="216">
        <v>543</v>
      </c>
      <c r="M22" s="203">
        <f t="shared" si="3"/>
        <v>1271090</v>
      </c>
      <c r="N22" s="203">
        <f t="shared" si="4"/>
        <v>2340.865561694291</v>
      </c>
      <c r="O22" s="215">
        <v>0</v>
      </c>
      <c r="P22" s="215">
        <v>1271090</v>
      </c>
      <c r="Q22" s="215">
        <v>0</v>
      </c>
      <c r="R22" s="215">
        <v>0</v>
      </c>
      <c r="S22" s="215">
        <v>0</v>
      </c>
      <c r="T22" s="215">
        <v>1271090</v>
      </c>
      <c r="U22" s="214">
        <f t="shared" si="5"/>
        <v>0</v>
      </c>
      <c r="V22" s="216">
        <v>525</v>
      </c>
      <c r="W22" s="203">
        <f t="shared" si="6"/>
        <v>1340057</v>
      </c>
      <c r="X22" s="203">
        <f t="shared" si="7"/>
        <v>2552.4895238095237</v>
      </c>
      <c r="Y22" s="215"/>
      <c r="Z22" s="215">
        <v>1340057</v>
      </c>
      <c r="AA22" s="215"/>
      <c r="AB22" s="215"/>
      <c r="AC22" s="215"/>
      <c r="AD22" s="215">
        <v>1340057</v>
      </c>
      <c r="AE22" s="214">
        <f t="shared" si="8"/>
        <v>0</v>
      </c>
      <c r="AF22" s="216">
        <v>842</v>
      </c>
      <c r="AG22" s="203">
        <f t="shared" si="9"/>
        <v>2282457</v>
      </c>
      <c r="AH22" s="203">
        <f t="shared" si="10"/>
        <v>2710.7565320665085</v>
      </c>
      <c r="AI22" s="215"/>
      <c r="AJ22" s="215">
        <v>2282457</v>
      </c>
      <c r="AK22" s="215"/>
      <c r="AL22" s="215"/>
      <c r="AM22" s="215"/>
      <c r="AN22" s="215">
        <v>2282457</v>
      </c>
      <c r="AO22" s="214">
        <f t="shared" si="11"/>
        <v>0</v>
      </c>
      <c r="AP22" s="216">
        <v>1375</v>
      </c>
      <c r="AQ22" s="203">
        <f t="shared" si="12"/>
        <v>2394297</v>
      </c>
      <c r="AR22" s="203">
        <f t="shared" si="13"/>
        <v>1741.3069090909091</v>
      </c>
      <c r="AS22" s="215"/>
      <c r="AT22" s="215">
        <v>2394297</v>
      </c>
      <c r="AU22" s="215"/>
      <c r="AV22" s="215"/>
      <c r="AW22" s="215"/>
      <c r="AX22" s="215">
        <v>2394297</v>
      </c>
      <c r="AY22" s="214">
        <f t="shared" si="14"/>
        <v>0</v>
      </c>
      <c r="AZ22" s="216">
        <v>1502</v>
      </c>
      <c r="BA22" s="203">
        <f t="shared" si="15"/>
        <v>2591243</v>
      </c>
      <c r="BB22" s="203">
        <f t="shared" si="16"/>
        <v>1725.1950732356856</v>
      </c>
      <c r="BC22" s="215"/>
      <c r="BD22" s="215">
        <v>2591243</v>
      </c>
      <c r="BE22" s="215"/>
      <c r="BF22" s="215"/>
      <c r="BG22" s="215"/>
      <c r="BH22" s="215">
        <v>2591243</v>
      </c>
      <c r="BI22" s="214">
        <f t="shared" si="17"/>
        <v>0</v>
      </c>
      <c r="BJ22" s="216"/>
      <c r="BK22" s="203">
        <f t="shared" si="18"/>
        <v>0</v>
      </c>
      <c r="BL22" s="203">
        <f t="shared" si="19"/>
        <v>0</v>
      </c>
      <c r="BM22" s="215"/>
      <c r="BN22" s="215"/>
      <c r="BO22" s="215"/>
      <c r="BP22" s="215"/>
      <c r="BQ22" s="215"/>
      <c r="BR22" s="215"/>
      <c r="BS22" s="214">
        <f t="shared" si="20"/>
        <v>0</v>
      </c>
      <c r="BT22" s="226"/>
      <c r="BU22" s="203">
        <f t="shared" si="21"/>
        <v>0</v>
      </c>
      <c r="BV22" s="203">
        <f t="shared" si="22"/>
        <v>0</v>
      </c>
      <c r="BW22" s="225"/>
      <c r="BX22" s="225"/>
      <c r="BY22" s="225"/>
      <c r="BZ22" s="225"/>
      <c r="CA22" s="225"/>
      <c r="CB22" s="225"/>
      <c r="CC22" s="214">
        <f t="shared" si="23"/>
        <v>0</v>
      </c>
    </row>
    <row r="23" spans="1:81" s="213" customFormat="1" ht="15.95" customHeight="1" x14ac:dyDescent="0.2">
      <c r="A23" s="228" t="s">
        <v>227</v>
      </c>
      <c r="B23" s="217"/>
      <c r="C23" s="203">
        <f t="shared" si="0"/>
        <v>0</v>
      </c>
      <c r="D23" s="203">
        <f t="shared" si="1"/>
        <v>0</v>
      </c>
      <c r="E23" s="215"/>
      <c r="F23" s="215"/>
      <c r="G23" s="215"/>
      <c r="H23" s="215"/>
      <c r="I23" s="215"/>
      <c r="J23" s="215"/>
      <c r="K23" s="214">
        <f t="shared" si="2"/>
        <v>0</v>
      </c>
      <c r="L23" s="216">
        <v>13</v>
      </c>
      <c r="M23" s="203">
        <f t="shared" si="3"/>
        <v>27000</v>
      </c>
      <c r="N23" s="203">
        <f t="shared" si="4"/>
        <v>2076.9230769230771</v>
      </c>
      <c r="O23" s="215">
        <v>0</v>
      </c>
      <c r="P23" s="215">
        <v>0</v>
      </c>
      <c r="Q23" s="215">
        <v>0</v>
      </c>
      <c r="R23" s="215">
        <v>0</v>
      </c>
      <c r="S23" s="215">
        <v>27000</v>
      </c>
      <c r="T23" s="215">
        <v>27000</v>
      </c>
      <c r="U23" s="214">
        <f t="shared" si="5"/>
        <v>0</v>
      </c>
      <c r="V23" s="216">
        <v>13</v>
      </c>
      <c r="W23" s="203">
        <f t="shared" si="6"/>
        <v>30800</v>
      </c>
      <c r="X23" s="203">
        <f t="shared" si="7"/>
        <v>2369.2307692307691</v>
      </c>
      <c r="Y23" s="215"/>
      <c r="Z23" s="215"/>
      <c r="AA23" s="215"/>
      <c r="AB23" s="215"/>
      <c r="AC23" s="215">
        <v>30800</v>
      </c>
      <c r="AD23" s="215">
        <v>30800</v>
      </c>
      <c r="AE23" s="214">
        <f t="shared" si="8"/>
        <v>0</v>
      </c>
      <c r="AF23" s="216">
        <v>11</v>
      </c>
      <c r="AG23" s="203">
        <f t="shared" si="9"/>
        <v>25977</v>
      </c>
      <c r="AH23" s="203">
        <f t="shared" si="10"/>
        <v>2361.5454545454545</v>
      </c>
      <c r="AI23" s="215"/>
      <c r="AJ23" s="215"/>
      <c r="AK23" s="215"/>
      <c r="AL23" s="215"/>
      <c r="AM23" s="215">
        <v>25977</v>
      </c>
      <c r="AN23" s="215">
        <v>25977</v>
      </c>
      <c r="AO23" s="214">
        <f t="shared" si="11"/>
        <v>0</v>
      </c>
      <c r="AP23" s="216">
        <v>12</v>
      </c>
      <c r="AQ23" s="203">
        <f t="shared" si="12"/>
        <v>28283</v>
      </c>
      <c r="AR23" s="203">
        <f t="shared" si="13"/>
        <v>2356.9166666666665</v>
      </c>
      <c r="AS23" s="215"/>
      <c r="AT23" s="215"/>
      <c r="AU23" s="215"/>
      <c r="AV23" s="215"/>
      <c r="AW23" s="215">
        <v>28283</v>
      </c>
      <c r="AX23" s="215">
        <v>28283</v>
      </c>
      <c r="AY23" s="214">
        <f t="shared" si="14"/>
        <v>0</v>
      </c>
      <c r="AZ23" s="216">
        <v>11</v>
      </c>
      <c r="BA23" s="203">
        <f t="shared" si="15"/>
        <v>22000</v>
      </c>
      <c r="BB23" s="203">
        <f t="shared" si="16"/>
        <v>2000</v>
      </c>
      <c r="BC23" s="215"/>
      <c r="BD23" s="215"/>
      <c r="BE23" s="215"/>
      <c r="BF23" s="215"/>
      <c r="BG23" s="215">
        <v>22000</v>
      </c>
      <c r="BH23" s="215">
        <v>22000</v>
      </c>
      <c r="BI23" s="214">
        <f t="shared" si="17"/>
        <v>0</v>
      </c>
      <c r="BJ23" s="216">
        <v>13</v>
      </c>
      <c r="BK23" s="203">
        <f t="shared" si="18"/>
        <v>25000</v>
      </c>
      <c r="BL23" s="203">
        <f t="shared" si="19"/>
        <v>1923.0769230769231</v>
      </c>
      <c r="BM23" s="215"/>
      <c r="BN23" s="215"/>
      <c r="BO23" s="215"/>
      <c r="BP23" s="215"/>
      <c r="BQ23" s="215">
        <v>25000</v>
      </c>
      <c r="BR23" s="215">
        <v>25000</v>
      </c>
      <c r="BS23" s="214">
        <f t="shared" si="20"/>
        <v>0</v>
      </c>
      <c r="BT23" s="226">
        <v>13</v>
      </c>
      <c r="BU23" s="203">
        <f t="shared" si="21"/>
        <v>27324</v>
      </c>
      <c r="BV23" s="203">
        <f t="shared" si="22"/>
        <v>2101.8461538461538</v>
      </c>
      <c r="BW23" s="225"/>
      <c r="BX23" s="225"/>
      <c r="BY23" s="225"/>
      <c r="BZ23" s="225"/>
      <c r="CA23" s="225">
        <v>27324</v>
      </c>
      <c r="CB23" s="225">
        <v>27324</v>
      </c>
      <c r="CC23" s="214">
        <f t="shared" si="23"/>
        <v>0</v>
      </c>
    </row>
    <row r="24" spans="1:81" s="213" customFormat="1" ht="15.95" customHeight="1" x14ac:dyDescent="0.2">
      <c r="A24" s="228" t="s">
        <v>226</v>
      </c>
      <c r="B24" s="217"/>
      <c r="C24" s="203">
        <f t="shared" si="0"/>
        <v>1611897</v>
      </c>
      <c r="D24" s="203">
        <f t="shared" si="1"/>
        <v>0</v>
      </c>
      <c r="E24" s="215">
        <v>1611897</v>
      </c>
      <c r="F24" s="215"/>
      <c r="G24" s="215"/>
      <c r="H24" s="215"/>
      <c r="I24" s="215"/>
      <c r="J24" s="215"/>
      <c r="K24" s="214">
        <f t="shared" si="2"/>
        <v>0</v>
      </c>
      <c r="L24" s="216">
        <v>1124</v>
      </c>
      <c r="M24" s="203">
        <f t="shared" si="3"/>
        <v>1651619</v>
      </c>
      <c r="N24" s="203">
        <f t="shared" si="4"/>
        <v>1469.411921708185</v>
      </c>
      <c r="O24" s="215">
        <v>1651619</v>
      </c>
      <c r="P24" s="215">
        <v>0</v>
      </c>
      <c r="Q24" s="215">
        <v>0</v>
      </c>
      <c r="R24" s="215">
        <v>0</v>
      </c>
      <c r="S24" s="215">
        <v>0</v>
      </c>
      <c r="T24" s="215">
        <v>1305620</v>
      </c>
      <c r="U24" s="214">
        <f t="shared" si="5"/>
        <v>1305620</v>
      </c>
      <c r="V24" s="216">
        <v>1238</v>
      </c>
      <c r="W24" s="203">
        <f t="shared" si="6"/>
        <v>1819175</v>
      </c>
      <c r="X24" s="203">
        <f t="shared" si="7"/>
        <v>1469.4466882067852</v>
      </c>
      <c r="Y24" s="215">
        <v>1819175</v>
      </c>
      <c r="Z24" s="215"/>
      <c r="AA24" s="215"/>
      <c r="AB24" s="215"/>
      <c r="AC24" s="215"/>
      <c r="AD24" s="215">
        <v>1485179</v>
      </c>
      <c r="AE24" s="214">
        <f t="shared" si="8"/>
        <v>1485179</v>
      </c>
      <c r="AF24" s="216">
        <v>1205</v>
      </c>
      <c r="AG24" s="203">
        <f t="shared" si="9"/>
        <v>1870393</v>
      </c>
      <c r="AH24" s="203">
        <f t="shared" si="10"/>
        <v>1552.1933609958505</v>
      </c>
      <c r="AI24" s="215">
        <v>1870393</v>
      </c>
      <c r="AJ24" s="215"/>
      <c r="AK24" s="215"/>
      <c r="AL24" s="215"/>
      <c r="AM24" s="215"/>
      <c r="AN24" s="215">
        <v>1272396</v>
      </c>
      <c r="AO24" s="214">
        <f t="shared" si="11"/>
        <v>1272396</v>
      </c>
      <c r="AP24" s="216">
        <v>1020</v>
      </c>
      <c r="AQ24" s="203">
        <f t="shared" si="12"/>
        <v>1928929</v>
      </c>
      <c r="AR24" s="203">
        <f t="shared" si="13"/>
        <v>1891.1068627450979</v>
      </c>
      <c r="AS24" s="215">
        <v>1928929</v>
      </c>
      <c r="AT24" s="215"/>
      <c r="AU24" s="215"/>
      <c r="AV24" s="215"/>
      <c r="AW24" s="215"/>
      <c r="AX24" s="215">
        <v>1576024</v>
      </c>
      <c r="AY24" s="214">
        <f t="shared" si="14"/>
        <v>1576024</v>
      </c>
      <c r="AZ24" s="216">
        <v>1472</v>
      </c>
      <c r="BA24" s="203">
        <f t="shared" si="15"/>
        <v>2282964.25</v>
      </c>
      <c r="BB24" s="203">
        <f t="shared" si="16"/>
        <v>1550.9268002717392</v>
      </c>
      <c r="BC24" s="215">
        <v>2282964.25</v>
      </c>
      <c r="BD24" s="215"/>
      <c r="BE24" s="215"/>
      <c r="BF24" s="215"/>
      <c r="BG24" s="215"/>
      <c r="BH24" s="215">
        <v>1965828.75</v>
      </c>
      <c r="BI24" s="214">
        <f t="shared" si="17"/>
        <v>1965828.75</v>
      </c>
      <c r="BJ24" s="216">
        <v>1065</v>
      </c>
      <c r="BK24" s="203">
        <f t="shared" si="18"/>
        <v>1586385.65</v>
      </c>
      <c r="BL24" s="203">
        <f t="shared" si="19"/>
        <v>1489.5639906103286</v>
      </c>
      <c r="BM24" s="215">
        <v>1586385.65</v>
      </c>
      <c r="BN24" s="215"/>
      <c r="BO24" s="215"/>
      <c r="BP24" s="215"/>
      <c r="BQ24" s="215"/>
      <c r="BR24" s="215">
        <v>1253146.5</v>
      </c>
      <c r="BS24" s="214">
        <f t="shared" si="20"/>
        <v>1253146.5</v>
      </c>
      <c r="BT24" s="226">
        <v>340</v>
      </c>
      <c r="BU24" s="203">
        <f t="shared" si="21"/>
        <v>510635</v>
      </c>
      <c r="BV24" s="203">
        <f t="shared" si="22"/>
        <v>1501.8676470588234</v>
      </c>
      <c r="BW24" s="225">
        <v>510635</v>
      </c>
      <c r="BX24" s="225"/>
      <c r="BY24" s="225"/>
      <c r="BZ24" s="225"/>
      <c r="CA24" s="225"/>
      <c r="CB24" s="225">
        <v>254335</v>
      </c>
      <c r="CC24" s="214">
        <f t="shared" si="23"/>
        <v>254335</v>
      </c>
    </row>
    <row r="25" spans="1:81" s="213" customFormat="1" ht="15.95" customHeight="1" x14ac:dyDescent="0.2">
      <c r="A25" s="228" t="s">
        <v>225</v>
      </c>
      <c r="B25" s="217"/>
      <c r="C25" s="203">
        <f t="shared" si="0"/>
        <v>401171</v>
      </c>
      <c r="D25" s="203">
        <f t="shared" si="1"/>
        <v>0</v>
      </c>
      <c r="E25" s="215"/>
      <c r="F25" s="215">
        <v>401171</v>
      </c>
      <c r="G25" s="215"/>
      <c r="H25" s="215"/>
      <c r="I25" s="215"/>
      <c r="J25" s="215"/>
      <c r="K25" s="214">
        <f t="shared" si="2"/>
        <v>0</v>
      </c>
      <c r="L25" s="216">
        <v>304</v>
      </c>
      <c r="M25" s="203">
        <f t="shared" si="3"/>
        <v>411177</v>
      </c>
      <c r="N25" s="203">
        <f t="shared" si="4"/>
        <v>1352.5559210526317</v>
      </c>
      <c r="O25" s="215">
        <v>0</v>
      </c>
      <c r="P25" s="215">
        <v>411177</v>
      </c>
      <c r="Q25" s="215">
        <v>0</v>
      </c>
      <c r="R25" s="215">
        <v>0</v>
      </c>
      <c r="S25" s="215">
        <v>0</v>
      </c>
      <c r="T25" s="215">
        <v>378427</v>
      </c>
      <c r="U25" s="214">
        <f t="shared" si="5"/>
        <v>0</v>
      </c>
      <c r="V25" s="216">
        <v>328</v>
      </c>
      <c r="W25" s="203">
        <f t="shared" si="6"/>
        <v>433487</v>
      </c>
      <c r="X25" s="203">
        <f t="shared" si="7"/>
        <v>1321.6067073170732</v>
      </c>
      <c r="Y25" s="215"/>
      <c r="Z25" s="215">
        <v>433487</v>
      </c>
      <c r="AA25" s="215"/>
      <c r="AB25" s="215"/>
      <c r="AC25" s="215"/>
      <c r="AD25" s="215">
        <v>406178</v>
      </c>
      <c r="AE25" s="214">
        <f t="shared" si="8"/>
        <v>0</v>
      </c>
      <c r="AF25" s="216">
        <v>139</v>
      </c>
      <c r="AG25" s="203">
        <f t="shared" si="9"/>
        <v>184337</v>
      </c>
      <c r="AH25" s="203">
        <f t="shared" si="10"/>
        <v>1326.1654676258993</v>
      </c>
      <c r="AI25" s="215"/>
      <c r="AJ25" s="215">
        <v>184337</v>
      </c>
      <c r="AK25" s="215"/>
      <c r="AL25" s="215"/>
      <c r="AM25" s="215"/>
      <c r="AN25" s="215">
        <v>172042</v>
      </c>
      <c r="AO25" s="214">
        <f t="shared" si="11"/>
        <v>0</v>
      </c>
      <c r="AP25" s="216">
        <v>283</v>
      </c>
      <c r="AQ25" s="203">
        <f t="shared" si="12"/>
        <v>301354</v>
      </c>
      <c r="AR25" s="203">
        <f t="shared" si="13"/>
        <v>1064.8551236749117</v>
      </c>
      <c r="AS25" s="215"/>
      <c r="AT25" s="215">
        <v>301354</v>
      </c>
      <c r="AU25" s="215"/>
      <c r="AV25" s="215"/>
      <c r="AW25" s="215"/>
      <c r="AX25" s="215">
        <v>273789</v>
      </c>
      <c r="AY25" s="214">
        <f t="shared" si="14"/>
        <v>0</v>
      </c>
      <c r="AZ25" s="216">
        <v>398</v>
      </c>
      <c r="BA25" s="203">
        <f t="shared" si="15"/>
        <v>444804</v>
      </c>
      <c r="BB25" s="203">
        <f t="shared" si="16"/>
        <v>1117.5979899497488</v>
      </c>
      <c r="BC25" s="215"/>
      <c r="BD25" s="215">
        <v>444804</v>
      </c>
      <c r="BE25" s="215"/>
      <c r="BF25" s="215"/>
      <c r="BG25" s="215"/>
      <c r="BH25" s="215">
        <v>370064</v>
      </c>
      <c r="BI25" s="214">
        <f t="shared" si="17"/>
        <v>0</v>
      </c>
      <c r="BJ25" s="216">
        <v>30</v>
      </c>
      <c r="BK25" s="203">
        <f t="shared" si="18"/>
        <v>26923</v>
      </c>
      <c r="BL25" s="203">
        <f t="shared" si="19"/>
        <v>897.43333333333328</v>
      </c>
      <c r="BM25" s="215"/>
      <c r="BN25" s="215">
        <v>26923</v>
      </c>
      <c r="BO25" s="215"/>
      <c r="BP25" s="215"/>
      <c r="BQ25" s="215"/>
      <c r="BR25" s="215">
        <v>26573</v>
      </c>
      <c r="BS25" s="214">
        <f t="shared" si="20"/>
        <v>0</v>
      </c>
      <c r="BT25" s="226">
        <v>46</v>
      </c>
      <c r="BU25" s="203">
        <f t="shared" si="21"/>
        <v>50000</v>
      </c>
      <c r="BV25" s="203">
        <f t="shared" si="22"/>
        <v>1086.9565217391305</v>
      </c>
      <c r="BW25" s="225"/>
      <c r="BX25" s="225">
        <v>50000</v>
      </c>
      <c r="BY25" s="225"/>
      <c r="BZ25" s="225"/>
      <c r="CA25" s="225"/>
      <c r="CB25" s="225">
        <v>30100</v>
      </c>
      <c r="CC25" s="214">
        <f t="shared" si="23"/>
        <v>0</v>
      </c>
    </row>
    <row r="26" spans="1:81" s="213" customFormat="1" ht="15.95" customHeight="1" x14ac:dyDescent="0.2">
      <c r="A26" s="228" t="s">
        <v>224</v>
      </c>
      <c r="B26" s="217"/>
      <c r="C26" s="203">
        <f t="shared" si="0"/>
        <v>0</v>
      </c>
      <c r="D26" s="203">
        <f t="shared" si="1"/>
        <v>0</v>
      </c>
      <c r="E26" s="215"/>
      <c r="F26" s="215"/>
      <c r="G26" s="215"/>
      <c r="H26" s="215"/>
      <c r="I26" s="215"/>
      <c r="J26" s="215"/>
      <c r="K26" s="214">
        <f t="shared" si="2"/>
        <v>0</v>
      </c>
      <c r="L26" s="216"/>
      <c r="M26" s="203">
        <f t="shared" si="3"/>
        <v>0</v>
      </c>
      <c r="N26" s="203">
        <f t="shared" si="4"/>
        <v>0</v>
      </c>
      <c r="O26" s="215"/>
      <c r="P26" s="215"/>
      <c r="Q26" s="215"/>
      <c r="R26" s="215"/>
      <c r="S26" s="215"/>
      <c r="T26" s="215"/>
      <c r="U26" s="214">
        <f t="shared" si="5"/>
        <v>0</v>
      </c>
      <c r="V26" s="216"/>
      <c r="W26" s="203">
        <f t="shared" si="6"/>
        <v>0</v>
      </c>
      <c r="X26" s="203">
        <f t="shared" si="7"/>
        <v>0</v>
      </c>
      <c r="Y26" s="215"/>
      <c r="Z26" s="215"/>
      <c r="AA26" s="215"/>
      <c r="AB26" s="215"/>
      <c r="AC26" s="215"/>
      <c r="AD26" s="215"/>
      <c r="AE26" s="214">
        <f t="shared" si="8"/>
        <v>0</v>
      </c>
      <c r="AF26" s="216"/>
      <c r="AG26" s="203">
        <f t="shared" si="9"/>
        <v>0</v>
      </c>
      <c r="AH26" s="203">
        <f t="shared" si="10"/>
        <v>0</v>
      </c>
      <c r="AI26" s="215"/>
      <c r="AJ26" s="215"/>
      <c r="AK26" s="215"/>
      <c r="AL26" s="215"/>
      <c r="AM26" s="215"/>
      <c r="AN26" s="215"/>
      <c r="AO26" s="214">
        <f t="shared" si="11"/>
        <v>0</v>
      </c>
      <c r="AP26" s="216"/>
      <c r="AQ26" s="203">
        <f t="shared" si="12"/>
        <v>0</v>
      </c>
      <c r="AR26" s="203">
        <f t="shared" si="13"/>
        <v>0</v>
      </c>
      <c r="AS26" s="215"/>
      <c r="AT26" s="215"/>
      <c r="AU26" s="215"/>
      <c r="AV26" s="215"/>
      <c r="AW26" s="215"/>
      <c r="AX26" s="215"/>
      <c r="AY26" s="214">
        <f t="shared" si="14"/>
        <v>0</v>
      </c>
      <c r="AZ26" s="216">
        <v>291</v>
      </c>
      <c r="BA26" s="203">
        <f t="shared" si="15"/>
        <v>1713706</v>
      </c>
      <c r="BB26" s="203">
        <f t="shared" si="16"/>
        <v>5889.0240549828177</v>
      </c>
      <c r="BC26" s="215"/>
      <c r="BD26" s="215">
        <v>1713706</v>
      </c>
      <c r="BE26" s="215"/>
      <c r="BF26" s="215"/>
      <c r="BG26" s="215"/>
      <c r="BH26" s="215">
        <v>1713706</v>
      </c>
      <c r="BI26" s="214">
        <f t="shared" si="17"/>
        <v>0</v>
      </c>
      <c r="BJ26" s="216">
        <v>521</v>
      </c>
      <c r="BK26" s="203">
        <f t="shared" si="18"/>
        <v>1656962</v>
      </c>
      <c r="BL26" s="203">
        <f t="shared" si="19"/>
        <v>3180.3493282149711</v>
      </c>
      <c r="BM26" s="215"/>
      <c r="BN26" s="215">
        <v>1656962</v>
      </c>
      <c r="BO26" s="215"/>
      <c r="BP26" s="215"/>
      <c r="BQ26" s="215"/>
      <c r="BR26" s="215">
        <v>1656962</v>
      </c>
      <c r="BS26" s="214">
        <f t="shared" si="20"/>
        <v>0</v>
      </c>
      <c r="BT26" s="226">
        <v>552</v>
      </c>
      <c r="BU26" s="203">
        <f t="shared" si="21"/>
        <v>2020118</v>
      </c>
      <c r="BV26" s="203">
        <f t="shared" si="22"/>
        <v>3659.6340579710145</v>
      </c>
      <c r="BW26" s="225"/>
      <c r="BX26" s="225">
        <v>2020118</v>
      </c>
      <c r="BY26" s="225"/>
      <c r="BZ26" s="225"/>
      <c r="CA26" s="225"/>
      <c r="CB26" s="225">
        <v>2020118</v>
      </c>
      <c r="CC26" s="214">
        <f t="shared" si="23"/>
        <v>0</v>
      </c>
    </row>
    <row r="27" spans="1:81" s="213" customFormat="1" ht="15.95" customHeight="1" x14ac:dyDescent="0.2">
      <c r="A27" s="227"/>
      <c r="B27" s="217"/>
      <c r="C27" s="203">
        <f t="shared" si="0"/>
        <v>0</v>
      </c>
      <c r="D27" s="203">
        <f t="shared" si="1"/>
        <v>0</v>
      </c>
      <c r="E27" s="215"/>
      <c r="F27" s="215"/>
      <c r="G27" s="215"/>
      <c r="H27" s="215"/>
      <c r="I27" s="215"/>
      <c r="J27" s="215"/>
      <c r="K27" s="214">
        <f t="shared" si="2"/>
        <v>0</v>
      </c>
      <c r="L27" s="216"/>
      <c r="M27" s="203">
        <f t="shared" si="3"/>
        <v>0</v>
      </c>
      <c r="N27" s="203">
        <f t="shared" si="4"/>
        <v>0</v>
      </c>
      <c r="O27" s="215"/>
      <c r="P27" s="215"/>
      <c r="Q27" s="215"/>
      <c r="R27" s="215"/>
      <c r="S27" s="215"/>
      <c r="T27" s="215"/>
      <c r="U27" s="214">
        <f t="shared" si="5"/>
        <v>0</v>
      </c>
      <c r="V27" s="216"/>
      <c r="W27" s="203">
        <f t="shared" si="6"/>
        <v>0</v>
      </c>
      <c r="X27" s="203">
        <f t="shared" si="7"/>
        <v>0</v>
      </c>
      <c r="Y27" s="215"/>
      <c r="Z27" s="215"/>
      <c r="AA27" s="215"/>
      <c r="AB27" s="215"/>
      <c r="AC27" s="215"/>
      <c r="AD27" s="215"/>
      <c r="AE27" s="214">
        <f t="shared" si="8"/>
        <v>0</v>
      </c>
      <c r="AF27" s="216"/>
      <c r="AG27" s="203">
        <f t="shared" si="9"/>
        <v>0</v>
      </c>
      <c r="AH27" s="203">
        <f t="shared" si="10"/>
        <v>0</v>
      </c>
      <c r="AI27" s="215"/>
      <c r="AJ27" s="215"/>
      <c r="AK27" s="215"/>
      <c r="AL27" s="215"/>
      <c r="AM27" s="215"/>
      <c r="AN27" s="215"/>
      <c r="AO27" s="214">
        <f t="shared" si="11"/>
        <v>0</v>
      </c>
      <c r="AP27" s="216"/>
      <c r="AQ27" s="203">
        <f t="shared" si="12"/>
        <v>0</v>
      </c>
      <c r="AR27" s="203">
        <f t="shared" si="13"/>
        <v>0</v>
      </c>
      <c r="AS27" s="215"/>
      <c r="AT27" s="215"/>
      <c r="AU27" s="215"/>
      <c r="AV27" s="215"/>
      <c r="AW27" s="215"/>
      <c r="AX27" s="215"/>
      <c r="AY27" s="214">
        <f t="shared" si="14"/>
        <v>0</v>
      </c>
      <c r="AZ27" s="216"/>
      <c r="BA27" s="203">
        <f t="shared" si="15"/>
        <v>0</v>
      </c>
      <c r="BB27" s="203">
        <f t="shared" si="16"/>
        <v>0</v>
      </c>
      <c r="BC27" s="215"/>
      <c r="BD27" s="215"/>
      <c r="BE27" s="215"/>
      <c r="BF27" s="215"/>
      <c r="BG27" s="215"/>
      <c r="BH27" s="215"/>
      <c r="BI27" s="214">
        <f t="shared" si="17"/>
        <v>0</v>
      </c>
      <c r="BJ27" s="216"/>
      <c r="BK27" s="203">
        <f t="shared" si="18"/>
        <v>0</v>
      </c>
      <c r="BL27" s="203">
        <f t="shared" si="19"/>
        <v>0</v>
      </c>
      <c r="BM27" s="215"/>
      <c r="BN27" s="215"/>
      <c r="BO27" s="215"/>
      <c r="BP27" s="215"/>
      <c r="BQ27" s="215"/>
      <c r="BR27" s="215"/>
      <c r="BS27" s="214">
        <f t="shared" si="20"/>
        <v>0</v>
      </c>
      <c r="BT27" s="226"/>
      <c r="BU27" s="203">
        <f t="shared" si="21"/>
        <v>0</v>
      </c>
      <c r="BV27" s="203">
        <f t="shared" si="22"/>
        <v>0</v>
      </c>
      <c r="BW27" s="225"/>
      <c r="BX27" s="225"/>
      <c r="BY27" s="225"/>
      <c r="BZ27" s="225"/>
      <c r="CA27" s="225"/>
      <c r="CB27" s="225"/>
      <c r="CC27" s="214">
        <f t="shared" si="23"/>
        <v>0</v>
      </c>
    </row>
    <row r="28" spans="1:81" s="213" customFormat="1" ht="15.95" customHeight="1" x14ac:dyDescent="0.2">
      <c r="A28" s="227"/>
      <c r="B28" s="217"/>
      <c r="C28" s="203">
        <f t="shared" si="0"/>
        <v>0</v>
      </c>
      <c r="D28" s="203">
        <f t="shared" si="1"/>
        <v>0</v>
      </c>
      <c r="E28" s="215"/>
      <c r="F28" s="215"/>
      <c r="G28" s="215"/>
      <c r="H28" s="215"/>
      <c r="I28" s="215"/>
      <c r="J28" s="215"/>
      <c r="K28" s="214">
        <f t="shared" si="2"/>
        <v>0</v>
      </c>
      <c r="L28" s="216"/>
      <c r="M28" s="203">
        <f t="shared" si="3"/>
        <v>0</v>
      </c>
      <c r="N28" s="203">
        <f t="shared" si="4"/>
        <v>0</v>
      </c>
      <c r="O28" s="215"/>
      <c r="P28" s="215"/>
      <c r="Q28" s="215"/>
      <c r="R28" s="215"/>
      <c r="S28" s="215"/>
      <c r="T28" s="215"/>
      <c r="U28" s="214">
        <f t="shared" si="5"/>
        <v>0</v>
      </c>
      <c r="V28" s="216"/>
      <c r="W28" s="203">
        <f t="shared" si="6"/>
        <v>0</v>
      </c>
      <c r="X28" s="203">
        <f t="shared" si="7"/>
        <v>0</v>
      </c>
      <c r="Y28" s="215"/>
      <c r="Z28" s="215"/>
      <c r="AA28" s="215"/>
      <c r="AB28" s="215"/>
      <c r="AC28" s="215"/>
      <c r="AD28" s="215"/>
      <c r="AE28" s="214">
        <f t="shared" si="8"/>
        <v>0</v>
      </c>
      <c r="AF28" s="216"/>
      <c r="AG28" s="203">
        <f t="shared" si="9"/>
        <v>0</v>
      </c>
      <c r="AH28" s="203">
        <f t="shared" si="10"/>
        <v>0</v>
      </c>
      <c r="AI28" s="215"/>
      <c r="AJ28" s="215"/>
      <c r="AK28" s="215"/>
      <c r="AL28" s="215"/>
      <c r="AM28" s="215"/>
      <c r="AN28" s="215"/>
      <c r="AO28" s="214">
        <f t="shared" si="11"/>
        <v>0</v>
      </c>
      <c r="AP28" s="216"/>
      <c r="AQ28" s="203">
        <f t="shared" si="12"/>
        <v>0</v>
      </c>
      <c r="AR28" s="203">
        <f t="shared" si="13"/>
        <v>0</v>
      </c>
      <c r="AS28" s="215"/>
      <c r="AT28" s="215"/>
      <c r="AU28" s="215"/>
      <c r="AV28" s="215"/>
      <c r="AW28" s="215"/>
      <c r="AX28" s="215"/>
      <c r="AY28" s="214">
        <f t="shared" si="14"/>
        <v>0</v>
      </c>
      <c r="AZ28" s="216"/>
      <c r="BA28" s="203">
        <f t="shared" si="15"/>
        <v>0</v>
      </c>
      <c r="BB28" s="203">
        <f t="shared" si="16"/>
        <v>0</v>
      </c>
      <c r="BC28" s="215"/>
      <c r="BD28" s="215"/>
      <c r="BE28" s="215"/>
      <c r="BF28" s="215"/>
      <c r="BG28" s="215"/>
      <c r="BH28" s="215"/>
      <c r="BI28" s="214">
        <f t="shared" si="17"/>
        <v>0</v>
      </c>
      <c r="BJ28" s="216"/>
      <c r="BK28" s="203">
        <f t="shared" si="18"/>
        <v>0</v>
      </c>
      <c r="BL28" s="203">
        <f t="shared" si="19"/>
        <v>0</v>
      </c>
      <c r="BM28" s="215"/>
      <c r="BN28" s="215"/>
      <c r="BO28" s="215"/>
      <c r="BP28" s="215"/>
      <c r="BQ28" s="215"/>
      <c r="BR28" s="215"/>
      <c r="BS28" s="214">
        <f t="shared" si="20"/>
        <v>0</v>
      </c>
      <c r="BT28" s="226"/>
      <c r="BU28" s="203">
        <f t="shared" si="21"/>
        <v>0</v>
      </c>
      <c r="BV28" s="203">
        <f t="shared" si="22"/>
        <v>0</v>
      </c>
      <c r="BW28" s="225"/>
      <c r="BX28" s="225"/>
      <c r="BY28" s="225"/>
      <c r="BZ28" s="225"/>
      <c r="CA28" s="225"/>
      <c r="CB28" s="225"/>
      <c r="CC28" s="214">
        <f t="shared" si="23"/>
        <v>0</v>
      </c>
    </row>
    <row r="29" spans="1:81" s="213" customFormat="1" ht="15.95" customHeight="1" x14ac:dyDescent="0.2">
      <c r="A29" s="227"/>
      <c r="B29" s="217"/>
      <c r="C29" s="203">
        <f t="shared" si="0"/>
        <v>0</v>
      </c>
      <c r="D29" s="203">
        <f t="shared" si="1"/>
        <v>0</v>
      </c>
      <c r="E29" s="215"/>
      <c r="F29" s="215"/>
      <c r="G29" s="215"/>
      <c r="H29" s="215"/>
      <c r="I29" s="215"/>
      <c r="J29" s="215"/>
      <c r="K29" s="214">
        <f t="shared" si="2"/>
        <v>0</v>
      </c>
      <c r="L29" s="216"/>
      <c r="M29" s="203">
        <f t="shared" si="3"/>
        <v>0</v>
      </c>
      <c r="N29" s="203">
        <f t="shared" si="4"/>
        <v>0</v>
      </c>
      <c r="O29" s="215"/>
      <c r="P29" s="215"/>
      <c r="Q29" s="215"/>
      <c r="R29" s="215"/>
      <c r="S29" s="215"/>
      <c r="T29" s="215"/>
      <c r="U29" s="214">
        <f t="shared" si="5"/>
        <v>0</v>
      </c>
      <c r="V29" s="216"/>
      <c r="W29" s="203">
        <f t="shared" si="6"/>
        <v>0</v>
      </c>
      <c r="X29" s="203">
        <f t="shared" si="7"/>
        <v>0</v>
      </c>
      <c r="Y29" s="215"/>
      <c r="Z29" s="215"/>
      <c r="AA29" s="215"/>
      <c r="AB29" s="215"/>
      <c r="AC29" s="215"/>
      <c r="AD29" s="215"/>
      <c r="AE29" s="214">
        <f t="shared" si="8"/>
        <v>0</v>
      </c>
      <c r="AF29" s="216"/>
      <c r="AG29" s="203">
        <f t="shared" si="9"/>
        <v>0</v>
      </c>
      <c r="AH29" s="203">
        <f t="shared" si="10"/>
        <v>0</v>
      </c>
      <c r="AI29" s="215"/>
      <c r="AJ29" s="215"/>
      <c r="AK29" s="215"/>
      <c r="AL29" s="215"/>
      <c r="AM29" s="215"/>
      <c r="AN29" s="215"/>
      <c r="AO29" s="214">
        <f t="shared" si="11"/>
        <v>0</v>
      </c>
      <c r="AP29" s="216"/>
      <c r="AQ29" s="203">
        <f t="shared" si="12"/>
        <v>0</v>
      </c>
      <c r="AR29" s="203">
        <f t="shared" si="13"/>
        <v>0</v>
      </c>
      <c r="AS29" s="215"/>
      <c r="AT29" s="215"/>
      <c r="AU29" s="215"/>
      <c r="AV29" s="215"/>
      <c r="AW29" s="215"/>
      <c r="AX29" s="215"/>
      <c r="AY29" s="214">
        <f t="shared" si="14"/>
        <v>0</v>
      </c>
      <c r="AZ29" s="216"/>
      <c r="BA29" s="203">
        <f t="shared" si="15"/>
        <v>0</v>
      </c>
      <c r="BB29" s="203">
        <f t="shared" si="16"/>
        <v>0</v>
      </c>
      <c r="BC29" s="215"/>
      <c r="BD29" s="215"/>
      <c r="BE29" s="215"/>
      <c r="BF29" s="215"/>
      <c r="BG29" s="215"/>
      <c r="BH29" s="215"/>
      <c r="BI29" s="214">
        <f t="shared" si="17"/>
        <v>0</v>
      </c>
      <c r="BJ29" s="216"/>
      <c r="BK29" s="203">
        <f t="shared" si="18"/>
        <v>0</v>
      </c>
      <c r="BL29" s="203">
        <f t="shared" si="19"/>
        <v>0</v>
      </c>
      <c r="BM29" s="215"/>
      <c r="BN29" s="215"/>
      <c r="BO29" s="215"/>
      <c r="BP29" s="215"/>
      <c r="BQ29" s="215"/>
      <c r="BR29" s="215"/>
      <c r="BS29" s="214">
        <f t="shared" si="20"/>
        <v>0</v>
      </c>
      <c r="BT29" s="226"/>
      <c r="BU29" s="203">
        <f t="shared" si="21"/>
        <v>0</v>
      </c>
      <c r="BV29" s="203">
        <f t="shared" si="22"/>
        <v>0</v>
      </c>
      <c r="BW29" s="225"/>
      <c r="BX29" s="225"/>
      <c r="BY29" s="225"/>
      <c r="BZ29" s="225"/>
      <c r="CA29" s="225"/>
      <c r="CB29" s="225"/>
      <c r="CC29" s="214">
        <f t="shared" si="23"/>
        <v>0</v>
      </c>
    </row>
    <row r="30" spans="1:81" s="213" customFormat="1" ht="15.95" customHeight="1" x14ac:dyDescent="0.2">
      <c r="A30" s="227"/>
      <c r="B30" s="217"/>
      <c r="C30" s="203">
        <f t="shared" si="0"/>
        <v>0</v>
      </c>
      <c r="D30" s="203">
        <f t="shared" si="1"/>
        <v>0</v>
      </c>
      <c r="E30" s="215"/>
      <c r="F30" s="215"/>
      <c r="G30" s="215"/>
      <c r="H30" s="215"/>
      <c r="I30" s="215"/>
      <c r="J30" s="215"/>
      <c r="K30" s="214">
        <f t="shared" si="2"/>
        <v>0</v>
      </c>
      <c r="L30" s="216"/>
      <c r="M30" s="203">
        <f t="shared" si="3"/>
        <v>0</v>
      </c>
      <c r="N30" s="203">
        <f t="shared" si="4"/>
        <v>0</v>
      </c>
      <c r="O30" s="215"/>
      <c r="P30" s="215"/>
      <c r="Q30" s="215"/>
      <c r="R30" s="215"/>
      <c r="S30" s="215"/>
      <c r="T30" s="215"/>
      <c r="U30" s="214">
        <f t="shared" si="5"/>
        <v>0</v>
      </c>
      <c r="V30" s="216"/>
      <c r="W30" s="203">
        <f t="shared" si="6"/>
        <v>0</v>
      </c>
      <c r="X30" s="203">
        <f t="shared" si="7"/>
        <v>0</v>
      </c>
      <c r="Y30" s="215"/>
      <c r="Z30" s="215"/>
      <c r="AA30" s="215"/>
      <c r="AB30" s="215"/>
      <c r="AC30" s="215"/>
      <c r="AD30" s="215"/>
      <c r="AE30" s="214">
        <f t="shared" si="8"/>
        <v>0</v>
      </c>
      <c r="AF30" s="216"/>
      <c r="AG30" s="203">
        <f t="shared" si="9"/>
        <v>0</v>
      </c>
      <c r="AH30" s="203">
        <f t="shared" si="10"/>
        <v>0</v>
      </c>
      <c r="AI30" s="215"/>
      <c r="AJ30" s="215"/>
      <c r="AK30" s="215"/>
      <c r="AL30" s="215"/>
      <c r="AM30" s="215"/>
      <c r="AN30" s="215"/>
      <c r="AO30" s="214">
        <f t="shared" si="11"/>
        <v>0</v>
      </c>
      <c r="AP30" s="216"/>
      <c r="AQ30" s="203">
        <f t="shared" si="12"/>
        <v>0</v>
      </c>
      <c r="AR30" s="203">
        <f t="shared" si="13"/>
        <v>0</v>
      </c>
      <c r="AS30" s="215"/>
      <c r="AT30" s="215"/>
      <c r="AU30" s="215"/>
      <c r="AV30" s="215"/>
      <c r="AW30" s="215"/>
      <c r="AX30" s="215"/>
      <c r="AY30" s="214">
        <f t="shared" si="14"/>
        <v>0</v>
      </c>
      <c r="AZ30" s="216"/>
      <c r="BA30" s="203">
        <f t="shared" si="15"/>
        <v>0</v>
      </c>
      <c r="BB30" s="203">
        <f t="shared" si="16"/>
        <v>0</v>
      </c>
      <c r="BC30" s="215"/>
      <c r="BD30" s="215"/>
      <c r="BE30" s="215"/>
      <c r="BF30" s="215"/>
      <c r="BG30" s="215"/>
      <c r="BH30" s="215"/>
      <c r="BI30" s="214">
        <f t="shared" si="17"/>
        <v>0</v>
      </c>
      <c r="BJ30" s="216"/>
      <c r="BK30" s="203">
        <f t="shared" si="18"/>
        <v>0</v>
      </c>
      <c r="BL30" s="203">
        <f t="shared" si="19"/>
        <v>0</v>
      </c>
      <c r="BM30" s="215"/>
      <c r="BN30" s="215"/>
      <c r="BO30" s="215"/>
      <c r="BP30" s="215"/>
      <c r="BQ30" s="215"/>
      <c r="BR30" s="215"/>
      <c r="BS30" s="214">
        <f t="shared" si="20"/>
        <v>0</v>
      </c>
      <c r="BT30" s="226"/>
      <c r="BU30" s="203">
        <f t="shared" si="21"/>
        <v>0</v>
      </c>
      <c r="BV30" s="203">
        <f t="shared" si="22"/>
        <v>0</v>
      </c>
      <c r="BW30" s="225"/>
      <c r="BX30" s="225"/>
      <c r="BY30" s="225"/>
      <c r="BZ30" s="225"/>
      <c r="CA30" s="225"/>
      <c r="CB30" s="225"/>
      <c r="CC30" s="214">
        <f t="shared" si="23"/>
        <v>0</v>
      </c>
    </row>
    <row r="31" spans="1:81" s="213" customFormat="1" ht="15.95" customHeight="1" x14ac:dyDescent="0.2">
      <c r="A31" s="227"/>
      <c r="B31" s="217"/>
      <c r="C31" s="203">
        <f t="shared" si="0"/>
        <v>0</v>
      </c>
      <c r="D31" s="203">
        <f t="shared" si="1"/>
        <v>0</v>
      </c>
      <c r="E31" s="215"/>
      <c r="F31" s="215"/>
      <c r="G31" s="215"/>
      <c r="H31" s="215"/>
      <c r="I31" s="215"/>
      <c r="J31" s="215"/>
      <c r="K31" s="214">
        <f t="shared" si="2"/>
        <v>0</v>
      </c>
      <c r="L31" s="216"/>
      <c r="M31" s="203">
        <f t="shared" si="3"/>
        <v>0</v>
      </c>
      <c r="N31" s="203">
        <f t="shared" si="4"/>
        <v>0</v>
      </c>
      <c r="O31" s="215"/>
      <c r="P31" s="215"/>
      <c r="Q31" s="215"/>
      <c r="R31" s="215"/>
      <c r="S31" s="215"/>
      <c r="T31" s="215"/>
      <c r="U31" s="214">
        <f t="shared" si="5"/>
        <v>0</v>
      </c>
      <c r="V31" s="216"/>
      <c r="W31" s="203">
        <f t="shared" si="6"/>
        <v>0</v>
      </c>
      <c r="X31" s="203">
        <f t="shared" si="7"/>
        <v>0</v>
      </c>
      <c r="Y31" s="215"/>
      <c r="Z31" s="215"/>
      <c r="AA31" s="215"/>
      <c r="AB31" s="215"/>
      <c r="AC31" s="215"/>
      <c r="AD31" s="215"/>
      <c r="AE31" s="214">
        <f t="shared" si="8"/>
        <v>0</v>
      </c>
      <c r="AF31" s="216"/>
      <c r="AG31" s="203">
        <f t="shared" si="9"/>
        <v>0</v>
      </c>
      <c r="AH31" s="203">
        <f t="shared" si="10"/>
        <v>0</v>
      </c>
      <c r="AI31" s="215"/>
      <c r="AJ31" s="215"/>
      <c r="AK31" s="215"/>
      <c r="AL31" s="215"/>
      <c r="AM31" s="215"/>
      <c r="AN31" s="215"/>
      <c r="AO31" s="214">
        <f t="shared" si="11"/>
        <v>0</v>
      </c>
      <c r="AP31" s="216"/>
      <c r="AQ31" s="203">
        <f t="shared" si="12"/>
        <v>0</v>
      </c>
      <c r="AR31" s="203">
        <f t="shared" si="13"/>
        <v>0</v>
      </c>
      <c r="AS31" s="215"/>
      <c r="AT31" s="215"/>
      <c r="AU31" s="215"/>
      <c r="AV31" s="215"/>
      <c r="AW31" s="215"/>
      <c r="AX31" s="215"/>
      <c r="AY31" s="214">
        <f t="shared" si="14"/>
        <v>0</v>
      </c>
      <c r="AZ31" s="216"/>
      <c r="BA31" s="203">
        <f t="shared" si="15"/>
        <v>0</v>
      </c>
      <c r="BB31" s="203">
        <f t="shared" si="16"/>
        <v>0</v>
      </c>
      <c r="BC31" s="215"/>
      <c r="BD31" s="215"/>
      <c r="BE31" s="215"/>
      <c r="BF31" s="215"/>
      <c r="BG31" s="215"/>
      <c r="BH31" s="215"/>
      <c r="BI31" s="214">
        <f t="shared" si="17"/>
        <v>0</v>
      </c>
      <c r="BJ31" s="216"/>
      <c r="BK31" s="203">
        <f t="shared" si="18"/>
        <v>0</v>
      </c>
      <c r="BL31" s="203">
        <f t="shared" si="19"/>
        <v>0</v>
      </c>
      <c r="BM31" s="215"/>
      <c r="BN31" s="215"/>
      <c r="BO31" s="215"/>
      <c r="BP31" s="215"/>
      <c r="BQ31" s="215"/>
      <c r="BR31" s="215"/>
      <c r="BS31" s="214">
        <f t="shared" si="20"/>
        <v>0</v>
      </c>
      <c r="BT31" s="226"/>
      <c r="BU31" s="203">
        <f t="shared" si="21"/>
        <v>0</v>
      </c>
      <c r="BV31" s="203">
        <f t="shared" si="22"/>
        <v>0</v>
      </c>
      <c r="BW31" s="225"/>
      <c r="BX31" s="225"/>
      <c r="BY31" s="225"/>
      <c r="BZ31" s="225"/>
      <c r="CA31" s="225"/>
      <c r="CB31" s="225"/>
      <c r="CC31" s="214">
        <f t="shared" si="23"/>
        <v>0</v>
      </c>
    </row>
    <row r="32" spans="1:81" s="213" customFormat="1" ht="15.95" customHeight="1" x14ac:dyDescent="0.2">
      <c r="A32" s="227"/>
      <c r="B32" s="217"/>
      <c r="C32" s="203">
        <f t="shared" si="0"/>
        <v>0</v>
      </c>
      <c r="D32" s="203">
        <f t="shared" si="1"/>
        <v>0</v>
      </c>
      <c r="E32" s="215"/>
      <c r="F32" s="215"/>
      <c r="G32" s="215"/>
      <c r="H32" s="215"/>
      <c r="I32" s="215"/>
      <c r="J32" s="215"/>
      <c r="K32" s="214">
        <f t="shared" si="2"/>
        <v>0</v>
      </c>
      <c r="L32" s="216"/>
      <c r="M32" s="203">
        <f t="shared" si="3"/>
        <v>0</v>
      </c>
      <c r="N32" s="203">
        <f t="shared" si="4"/>
        <v>0</v>
      </c>
      <c r="O32" s="215"/>
      <c r="P32" s="215"/>
      <c r="Q32" s="215"/>
      <c r="R32" s="215"/>
      <c r="S32" s="215"/>
      <c r="T32" s="215"/>
      <c r="U32" s="214">
        <f t="shared" si="5"/>
        <v>0</v>
      </c>
      <c r="V32" s="216"/>
      <c r="W32" s="203">
        <f t="shared" si="6"/>
        <v>0</v>
      </c>
      <c r="X32" s="203">
        <f t="shared" si="7"/>
        <v>0</v>
      </c>
      <c r="Y32" s="215"/>
      <c r="Z32" s="215"/>
      <c r="AA32" s="215"/>
      <c r="AB32" s="215"/>
      <c r="AC32" s="215"/>
      <c r="AD32" s="215"/>
      <c r="AE32" s="214">
        <f t="shared" si="8"/>
        <v>0</v>
      </c>
      <c r="AF32" s="216"/>
      <c r="AG32" s="203">
        <f t="shared" si="9"/>
        <v>0</v>
      </c>
      <c r="AH32" s="203">
        <f t="shared" si="10"/>
        <v>0</v>
      </c>
      <c r="AI32" s="215"/>
      <c r="AJ32" s="215"/>
      <c r="AK32" s="215"/>
      <c r="AL32" s="215"/>
      <c r="AM32" s="215"/>
      <c r="AN32" s="215"/>
      <c r="AO32" s="214">
        <f t="shared" si="11"/>
        <v>0</v>
      </c>
      <c r="AP32" s="216"/>
      <c r="AQ32" s="203">
        <f t="shared" si="12"/>
        <v>0</v>
      </c>
      <c r="AR32" s="203">
        <f t="shared" si="13"/>
        <v>0</v>
      </c>
      <c r="AS32" s="215"/>
      <c r="AT32" s="215"/>
      <c r="AU32" s="215"/>
      <c r="AV32" s="215"/>
      <c r="AW32" s="215"/>
      <c r="AX32" s="215"/>
      <c r="AY32" s="214">
        <f t="shared" si="14"/>
        <v>0</v>
      </c>
      <c r="AZ32" s="216"/>
      <c r="BA32" s="203">
        <f t="shared" si="15"/>
        <v>0</v>
      </c>
      <c r="BB32" s="203">
        <f t="shared" si="16"/>
        <v>0</v>
      </c>
      <c r="BC32" s="215"/>
      <c r="BD32" s="215"/>
      <c r="BE32" s="215"/>
      <c r="BF32" s="215"/>
      <c r="BG32" s="215"/>
      <c r="BH32" s="215"/>
      <c r="BI32" s="214">
        <f t="shared" si="17"/>
        <v>0</v>
      </c>
      <c r="BJ32" s="216"/>
      <c r="BK32" s="203">
        <f t="shared" si="18"/>
        <v>0</v>
      </c>
      <c r="BL32" s="203">
        <f t="shared" si="19"/>
        <v>0</v>
      </c>
      <c r="BM32" s="215"/>
      <c r="BN32" s="215"/>
      <c r="BO32" s="215"/>
      <c r="BP32" s="215"/>
      <c r="BQ32" s="215"/>
      <c r="BR32" s="215"/>
      <c r="BS32" s="214">
        <f t="shared" si="20"/>
        <v>0</v>
      </c>
      <c r="BT32" s="226"/>
      <c r="BU32" s="203">
        <f t="shared" si="21"/>
        <v>0</v>
      </c>
      <c r="BV32" s="203">
        <f t="shared" si="22"/>
        <v>0</v>
      </c>
      <c r="BW32" s="225"/>
      <c r="BX32" s="225"/>
      <c r="BY32" s="225"/>
      <c r="BZ32" s="225"/>
      <c r="CA32" s="225"/>
      <c r="CB32" s="225"/>
      <c r="CC32" s="214">
        <f t="shared" si="23"/>
        <v>0</v>
      </c>
    </row>
    <row r="33" spans="1:81" ht="15.95" customHeight="1" x14ac:dyDescent="0.2">
      <c r="A33" s="224" t="s">
        <v>163</v>
      </c>
      <c r="B33" s="223"/>
      <c r="C33" s="221"/>
      <c r="D33" s="221"/>
      <c r="E33" s="220"/>
      <c r="F33" s="220"/>
      <c r="G33" s="220"/>
      <c r="H33" s="220"/>
      <c r="I33" s="220"/>
      <c r="J33" s="220"/>
      <c r="K33" s="214"/>
      <c r="L33" s="222"/>
      <c r="M33" s="221"/>
      <c r="N33" s="221"/>
      <c r="O33" s="220"/>
      <c r="P33" s="220"/>
      <c r="Q33" s="220"/>
      <c r="R33" s="220"/>
      <c r="S33" s="220"/>
      <c r="T33" s="220"/>
      <c r="U33" s="214"/>
      <c r="V33" s="222"/>
      <c r="W33" s="221"/>
      <c r="X33" s="221"/>
      <c r="Y33" s="220"/>
      <c r="Z33" s="220"/>
      <c r="AA33" s="220"/>
      <c r="AB33" s="220"/>
      <c r="AC33" s="220"/>
      <c r="AD33" s="220"/>
      <c r="AE33" s="214"/>
      <c r="AF33" s="216"/>
      <c r="AG33" s="203"/>
      <c r="AH33" s="203"/>
      <c r="AI33" s="215"/>
      <c r="AJ33" s="215"/>
      <c r="AK33" s="215"/>
      <c r="AL33" s="215"/>
      <c r="AM33" s="215"/>
      <c r="AN33" s="215"/>
      <c r="AO33" s="214"/>
      <c r="AP33" s="216"/>
      <c r="AQ33" s="203"/>
      <c r="AR33" s="203"/>
      <c r="AS33" s="215"/>
      <c r="AT33" s="215"/>
      <c r="AU33" s="215"/>
      <c r="AV33" s="215"/>
      <c r="AW33" s="215"/>
      <c r="AX33" s="215"/>
      <c r="AY33" s="214"/>
      <c r="AZ33" s="216"/>
      <c r="BA33" s="203"/>
      <c r="BB33" s="203"/>
      <c r="BC33" s="215"/>
      <c r="BD33" s="215"/>
      <c r="BE33" s="215"/>
      <c r="BF33" s="215"/>
      <c r="BG33" s="215"/>
      <c r="BH33" s="215"/>
      <c r="BI33" s="214"/>
      <c r="BJ33" s="216"/>
      <c r="BK33" s="203"/>
      <c r="BL33" s="203"/>
      <c r="BM33" s="215"/>
      <c r="BN33" s="215"/>
      <c r="BO33" s="215"/>
      <c r="BP33" s="215"/>
      <c r="BQ33" s="215"/>
      <c r="BR33" s="215"/>
      <c r="BS33" s="214"/>
      <c r="BT33" s="216"/>
      <c r="BU33" s="203"/>
      <c r="BV33" s="203"/>
      <c r="BW33" s="215"/>
      <c r="BX33" s="215"/>
      <c r="BY33" s="215"/>
      <c r="BZ33" s="215"/>
      <c r="CA33" s="215"/>
      <c r="CB33" s="215"/>
      <c r="CC33" s="214"/>
    </row>
    <row r="34" spans="1:81" s="213" customFormat="1" ht="15.95" customHeight="1" x14ac:dyDescent="0.2">
      <c r="A34" s="219" t="s">
        <v>184</v>
      </c>
      <c r="B34" s="211">
        <f>SUM(B$10:B33)</f>
        <v>0</v>
      </c>
      <c r="C34" s="203">
        <f>SUM(C$10:C33)</f>
        <v>9528078</v>
      </c>
      <c r="D34" s="203">
        <f>IFERROR(C34/B34,0)</f>
        <v>0</v>
      </c>
      <c r="E34" s="202">
        <f>SUM(E$10:E33)</f>
        <v>3581413</v>
      </c>
      <c r="F34" s="202">
        <f>SUM(F$10:F33)</f>
        <v>2965967</v>
      </c>
      <c r="G34" s="202">
        <f>SUM(G$10:G33)</f>
        <v>2980698</v>
      </c>
      <c r="H34" s="202">
        <f>SUM(H$10:H33)</f>
        <v>0</v>
      </c>
      <c r="I34" s="202">
        <f>SUM(I$10:I33)</f>
        <v>0</v>
      </c>
      <c r="J34" s="202">
        <f>SUM(J$10:J33)</f>
        <v>0</v>
      </c>
      <c r="K34" s="214">
        <f>SUM(K$10:K33)</f>
        <v>0</v>
      </c>
      <c r="L34" s="205">
        <f>SUM(L$10:L33)</f>
        <v>15839</v>
      </c>
      <c r="M34" s="203">
        <f>SUM(M$10:M33)</f>
        <v>58338598</v>
      </c>
      <c r="N34" s="203">
        <f>IFERROR(M34/L34,0)</f>
        <v>3683.2248247995453</v>
      </c>
      <c r="O34" s="202">
        <f>SUM(O$10:O33)</f>
        <v>3551661</v>
      </c>
      <c r="P34" s="202">
        <f>SUM(P$10:P33)</f>
        <v>3041000</v>
      </c>
      <c r="Q34" s="202">
        <f>SUM(Q$10:Q33)</f>
        <v>3422220</v>
      </c>
      <c r="R34" s="202">
        <f>SUM(R$10:R33)</f>
        <v>34217012</v>
      </c>
      <c r="S34" s="202">
        <f>SUM(S$10:S33)</f>
        <v>14106705</v>
      </c>
      <c r="T34" s="202">
        <f>SUM(T$10:T33)</f>
        <v>54105660</v>
      </c>
      <c r="U34" s="214">
        <f>SUM(U$10:U33)</f>
        <v>3205662</v>
      </c>
      <c r="V34" s="205">
        <f>SUM(V$10:V33)</f>
        <v>16360</v>
      </c>
      <c r="W34" s="203">
        <f>SUM(W$10:W33)</f>
        <v>62395424</v>
      </c>
      <c r="X34" s="203">
        <f>IFERROR(W34/V34,0)</f>
        <v>3813.9012224938874</v>
      </c>
      <c r="Y34" s="202">
        <f>SUM(Y$10:Y33)</f>
        <v>3719316</v>
      </c>
      <c r="Z34" s="202">
        <f>SUM(Z$10:Z33)</f>
        <v>3205000</v>
      </c>
      <c r="AA34" s="202">
        <f>SUM(AA$10:AA33)</f>
        <v>3552496</v>
      </c>
      <c r="AB34" s="202">
        <f>SUM(AB$10:AB33)</f>
        <v>37307945</v>
      </c>
      <c r="AC34" s="202">
        <f>SUM(AC$10:AC33)</f>
        <v>14610667</v>
      </c>
      <c r="AD34" s="202">
        <f>SUM(AD$10:AD33)</f>
        <v>57732244</v>
      </c>
      <c r="AE34" s="214">
        <f>SUM(AE$10:AE33)</f>
        <v>3385320</v>
      </c>
      <c r="AF34" s="205">
        <f>SUM(AF$10:AF33)</f>
        <v>16650</v>
      </c>
      <c r="AG34" s="203">
        <f>SUM(AG$10:AG33)</f>
        <v>63804444</v>
      </c>
      <c r="AH34" s="203">
        <f>IFERROR(AG34/AF34,0)</f>
        <v>3832.0987387387386</v>
      </c>
      <c r="AI34" s="202">
        <f>SUM(AI$10:AI33)</f>
        <v>3843663</v>
      </c>
      <c r="AJ34" s="202">
        <f>SUM(AJ$10:AJ33)</f>
        <v>4890180</v>
      </c>
      <c r="AK34" s="202">
        <f>SUM(AK$10:AK33)</f>
        <v>3718764</v>
      </c>
      <c r="AL34" s="202">
        <f>SUM(AL$10:AL33)</f>
        <v>35706525</v>
      </c>
      <c r="AM34" s="202">
        <f>SUM(AM$10:AM33)</f>
        <v>15645312</v>
      </c>
      <c r="AN34" s="202">
        <f>SUM(AN$10:AN33)</f>
        <v>57991844</v>
      </c>
      <c r="AO34" s="214">
        <f>SUM(AO$10:AO33)</f>
        <v>3245666</v>
      </c>
      <c r="AP34" s="205">
        <f>SUM(AP$10:AP33)</f>
        <v>17257</v>
      </c>
      <c r="AQ34" s="203">
        <f>SUM(AQ$10:AQ33)</f>
        <v>63137801</v>
      </c>
      <c r="AR34" s="203">
        <f>IFERROR(AQ34/AP34,0)</f>
        <v>3658.6776960074171</v>
      </c>
      <c r="AS34" s="202">
        <f>SUM(AS$10:AS33)</f>
        <v>3986587</v>
      </c>
      <c r="AT34" s="202">
        <f>SUM(AT$10:AT33)</f>
        <v>4339031</v>
      </c>
      <c r="AU34" s="202">
        <f>SUM(AU$10:AU33)</f>
        <v>4045549</v>
      </c>
      <c r="AV34" s="202">
        <f>SUM(AV$10:AV33)</f>
        <v>34344083</v>
      </c>
      <c r="AW34" s="202">
        <f>SUM(AW$10:AW33)</f>
        <v>16422551</v>
      </c>
      <c r="AX34" s="202">
        <f>SUM(AX$10:AX33)</f>
        <v>56791075</v>
      </c>
      <c r="AY34" s="214">
        <f>SUM(AY$10:AY33)</f>
        <v>3633682</v>
      </c>
      <c r="AZ34" s="205">
        <f>SUM(AZ$10:AZ33)</f>
        <v>17376</v>
      </c>
      <c r="BA34" s="203">
        <f>SUM(BA$10:BA33)</f>
        <v>65481708.890000001</v>
      </c>
      <c r="BB34" s="203">
        <f>IFERROR(BA34/AZ34,0)</f>
        <v>3768.5145539825048</v>
      </c>
      <c r="BC34" s="202">
        <f>SUM(BC$10:BC33)</f>
        <v>4252452.8900000006</v>
      </c>
      <c r="BD34" s="202">
        <f>SUM(BD$10:BD33)</f>
        <v>6412558</v>
      </c>
      <c r="BE34" s="202">
        <f>SUM(BE$10:BE33)</f>
        <v>4690807</v>
      </c>
      <c r="BF34" s="202">
        <f>SUM(BF$10:BF33)</f>
        <v>34002236</v>
      </c>
      <c r="BG34" s="202">
        <f>SUM(BG$10:BG33)</f>
        <v>16123655</v>
      </c>
      <c r="BH34" s="202">
        <f>SUM(BH$10:BH33)</f>
        <v>60660036.390000001</v>
      </c>
      <c r="BI34" s="214">
        <f>SUM(BI$10:BI33)</f>
        <v>3929758.3899999997</v>
      </c>
      <c r="BJ34" s="205">
        <f>SUM(BJ$10:BJ33)</f>
        <v>16559</v>
      </c>
      <c r="BK34" s="203">
        <f>SUM(BK$10:BK33)</f>
        <v>63283798.219999999</v>
      </c>
      <c r="BL34" s="203">
        <f>IFERROR(BK34/BJ34,0)</f>
        <v>3821.7161797209974</v>
      </c>
      <c r="BM34" s="202">
        <f>SUM(BM$10:BM33)</f>
        <v>3497173.2199999997</v>
      </c>
      <c r="BN34" s="202">
        <f>SUM(BN$10:BN33)</f>
        <v>6644230</v>
      </c>
      <c r="BO34" s="202">
        <f>SUM(BO$10:BO33)</f>
        <v>5507137</v>
      </c>
      <c r="BP34" s="202">
        <f>SUM(BP$10:BP33)</f>
        <v>31987791</v>
      </c>
      <c r="BQ34" s="202">
        <f>SUM(BQ$10:BQ33)</f>
        <v>15647467</v>
      </c>
      <c r="BR34" s="202">
        <f>SUM(BR$10:BR33)</f>
        <v>47307633.670000002</v>
      </c>
      <c r="BS34" s="214">
        <f>SUM(BS$10:BS33)</f>
        <v>3162882.67</v>
      </c>
      <c r="BT34" s="205">
        <f>SUM(BT$10:BT33)</f>
        <v>15721</v>
      </c>
      <c r="BU34" s="203">
        <f>SUM(BU$10:BU33)</f>
        <v>62563513</v>
      </c>
      <c r="BV34" s="203">
        <f>IFERROR(BU34/BT34,0)</f>
        <v>3979.6140830735958</v>
      </c>
      <c r="BW34" s="202">
        <f>SUM(BW$10:BW33)</f>
        <v>2355402</v>
      </c>
      <c r="BX34" s="202">
        <f>SUM(BX$10:BX33)</f>
        <v>7005000</v>
      </c>
      <c r="BY34" s="202">
        <f>SUM(BY$10:BY33)</f>
        <v>5561059</v>
      </c>
      <c r="BZ34" s="202">
        <f>SUM(BZ$10:BZ33)</f>
        <v>31818864</v>
      </c>
      <c r="CA34" s="202">
        <f>SUM(CA$10:CA33)</f>
        <v>15823188</v>
      </c>
      <c r="CB34" s="202">
        <f>SUM(CB$10:CB33)</f>
        <v>37328875.789000005</v>
      </c>
      <c r="CC34" s="214">
        <f>SUM(CC$10:CC33)</f>
        <v>2099102</v>
      </c>
    </row>
    <row r="35" spans="1:81" ht="15.95" customHeight="1" x14ac:dyDescent="0.2">
      <c r="A35" s="218"/>
      <c r="B35" s="223"/>
      <c r="C35" s="221"/>
      <c r="D35" s="221"/>
      <c r="E35" s="220"/>
      <c r="F35" s="220"/>
      <c r="G35" s="220"/>
      <c r="H35" s="220"/>
      <c r="I35" s="220"/>
      <c r="J35" s="220"/>
      <c r="K35" s="214"/>
      <c r="L35" s="222"/>
      <c r="M35" s="221"/>
      <c r="N35" s="221"/>
      <c r="O35" s="220"/>
      <c r="P35" s="220"/>
      <c r="Q35" s="220"/>
      <c r="R35" s="220"/>
      <c r="S35" s="220"/>
      <c r="T35" s="220"/>
      <c r="U35" s="214"/>
      <c r="V35" s="222"/>
      <c r="W35" s="221"/>
      <c r="X35" s="221"/>
      <c r="Y35" s="220"/>
      <c r="Z35" s="220"/>
      <c r="AA35" s="220"/>
      <c r="AB35" s="220"/>
      <c r="AC35" s="220"/>
      <c r="AD35" s="220"/>
      <c r="AE35" s="214"/>
      <c r="AF35" s="216"/>
      <c r="AG35" s="203"/>
      <c r="AH35" s="203"/>
      <c r="AI35" s="215"/>
      <c r="AJ35" s="215"/>
      <c r="AK35" s="215"/>
      <c r="AL35" s="215"/>
      <c r="AM35" s="215"/>
      <c r="AN35" s="215"/>
      <c r="AO35" s="214"/>
      <c r="AP35" s="216"/>
      <c r="AQ35" s="203"/>
      <c r="AR35" s="203"/>
      <c r="AS35" s="215"/>
      <c r="AT35" s="215"/>
      <c r="AU35" s="215"/>
      <c r="AV35" s="215"/>
      <c r="AW35" s="215"/>
      <c r="AX35" s="215"/>
      <c r="AY35" s="214"/>
      <c r="AZ35" s="216"/>
      <c r="BA35" s="203"/>
      <c r="BB35" s="203"/>
      <c r="BC35" s="215"/>
      <c r="BD35" s="215"/>
      <c r="BE35" s="215"/>
      <c r="BF35" s="215"/>
      <c r="BG35" s="215"/>
      <c r="BH35" s="215"/>
      <c r="BI35" s="214"/>
      <c r="BJ35" s="216"/>
      <c r="BK35" s="203"/>
      <c r="BL35" s="203"/>
      <c r="BM35" s="215"/>
      <c r="BN35" s="215"/>
      <c r="BO35" s="215"/>
      <c r="BP35" s="215"/>
      <c r="BQ35" s="215"/>
      <c r="BR35" s="215"/>
      <c r="BS35" s="214"/>
      <c r="BT35" s="216"/>
      <c r="BU35" s="203"/>
      <c r="BV35" s="203"/>
      <c r="BW35" s="215"/>
      <c r="BX35" s="215"/>
      <c r="BY35" s="215"/>
      <c r="BZ35" s="215"/>
      <c r="CA35" s="215"/>
      <c r="CB35" s="215"/>
      <c r="CC35" s="214"/>
    </row>
    <row r="36" spans="1:81" ht="15.95" customHeight="1" x14ac:dyDescent="0.2">
      <c r="A36" s="230" t="s">
        <v>183</v>
      </c>
      <c r="B36" s="223"/>
      <c r="C36" s="221"/>
      <c r="D36" s="221"/>
      <c r="E36" s="220"/>
      <c r="F36" s="220"/>
      <c r="G36" s="220"/>
      <c r="H36" s="220"/>
      <c r="I36" s="220"/>
      <c r="J36" s="220"/>
      <c r="K36" s="214"/>
      <c r="L36" s="222"/>
      <c r="M36" s="221"/>
      <c r="N36" s="221"/>
      <c r="O36" s="220"/>
      <c r="P36" s="220"/>
      <c r="Q36" s="220"/>
      <c r="R36" s="220"/>
      <c r="S36" s="220"/>
      <c r="T36" s="220"/>
      <c r="U36" s="214"/>
      <c r="V36" s="222"/>
      <c r="W36" s="221"/>
      <c r="X36" s="221"/>
      <c r="Y36" s="220"/>
      <c r="Z36" s="220"/>
      <c r="AA36" s="220"/>
      <c r="AB36" s="220"/>
      <c r="AC36" s="220"/>
      <c r="AD36" s="220"/>
      <c r="AE36" s="214"/>
      <c r="AF36" s="216"/>
      <c r="AG36" s="203"/>
      <c r="AH36" s="203"/>
      <c r="AI36" s="215"/>
      <c r="AJ36" s="215"/>
      <c r="AK36" s="215"/>
      <c r="AL36" s="215"/>
      <c r="AM36" s="215"/>
      <c r="AN36" s="215"/>
      <c r="AO36" s="214"/>
      <c r="AP36" s="216"/>
      <c r="AQ36" s="203"/>
      <c r="AR36" s="203"/>
      <c r="AS36" s="215"/>
      <c r="AT36" s="215"/>
      <c r="AU36" s="215"/>
      <c r="AV36" s="215"/>
      <c r="AW36" s="215"/>
      <c r="AX36" s="215"/>
      <c r="AY36" s="214"/>
      <c r="AZ36" s="216"/>
      <c r="BA36" s="203"/>
      <c r="BB36" s="203"/>
      <c r="BC36" s="215"/>
      <c r="BD36" s="215"/>
      <c r="BE36" s="215"/>
      <c r="BF36" s="215"/>
      <c r="BG36" s="215"/>
      <c r="BH36" s="215"/>
      <c r="BI36" s="214"/>
      <c r="BJ36" s="216"/>
      <c r="BK36" s="203"/>
      <c r="BL36" s="203"/>
      <c r="BM36" s="215"/>
      <c r="BN36" s="215"/>
      <c r="BO36" s="215"/>
      <c r="BP36" s="215"/>
      <c r="BQ36" s="215"/>
      <c r="BR36" s="215"/>
      <c r="BS36" s="214"/>
      <c r="BT36" s="216"/>
      <c r="BU36" s="203"/>
      <c r="BV36" s="203"/>
      <c r="BW36" s="215"/>
      <c r="BX36" s="215"/>
      <c r="BY36" s="215"/>
      <c r="BZ36" s="215"/>
      <c r="CA36" s="215"/>
      <c r="CB36" s="215"/>
      <c r="CC36" s="214"/>
    </row>
    <row r="37" spans="1:81" ht="15.95" customHeight="1" x14ac:dyDescent="0.2">
      <c r="A37" s="228" t="s">
        <v>223</v>
      </c>
      <c r="B37" s="223"/>
      <c r="C37" s="203">
        <f t="shared" ref="C37:C51" si="24">SUM(E37:I37)</f>
        <v>7001</v>
      </c>
      <c r="D37" s="203">
        <f t="shared" ref="D37:D51" si="25">IFERROR(C37/B37,0)</f>
        <v>0</v>
      </c>
      <c r="E37" s="220">
        <v>7001</v>
      </c>
      <c r="F37" s="220"/>
      <c r="G37" s="220"/>
      <c r="H37" s="220"/>
      <c r="I37" s="220"/>
      <c r="J37" s="220"/>
      <c r="K37" s="214">
        <f t="shared" ref="K37:K53" si="26">IF(J37=0,0,(IF(E37&lt;=J37,E37,J37)))</f>
        <v>0</v>
      </c>
      <c r="L37" s="222">
        <v>4</v>
      </c>
      <c r="M37" s="203">
        <f t="shared" ref="M37:M51" si="27">SUM(O37:S37)</f>
        <v>4813</v>
      </c>
      <c r="N37" s="203">
        <f t="shared" ref="N37:N51" si="28">IFERROR(M37/L37,0)</f>
        <v>1203.25</v>
      </c>
      <c r="O37" s="220">
        <v>4813</v>
      </c>
      <c r="P37" s="220">
        <v>0</v>
      </c>
      <c r="Q37" s="220">
        <v>0</v>
      </c>
      <c r="R37" s="220">
        <v>0</v>
      </c>
      <c r="S37" s="220">
        <v>0</v>
      </c>
      <c r="T37" s="220">
        <v>4813</v>
      </c>
      <c r="U37" s="214">
        <f t="shared" ref="U37:U53" si="29">IF(T37=0,0,(IF(O37&lt;=T37,O37,T37)))</f>
        <v>4813</v>
      </c>
      <c r="V37" s="222">
        <v>6</v>
      </c>
      <c r="W37" s="203">
        <f t="shared" ref="W37:W53" si="30">SUM(Y37:AC37)</f>
        <v>7501</v>
      </c>
      <c r="X37" s="203">
        <f t="shared" ref="X37:X53" si="31">IFERROR(W37/V37,0)</f>
        <v>1250.1666666666667</v>
      </c>
      <c r="Y37" s="220">
        <v>7501</v>
      </c>
      <c r="Z37" s="220"/>
      <c r="AA37" s="220"/>
      <c r="AB37" s="220"/>
      <c r="AC37" s="220"/>
      <c r="AD37" s="220">
        <v>7501</v>
      </c>
      <c r="AE37" s="214">
        <f t="shared" ref="AE37:AE53" si="32">IF(AD37=0,0,(IF(Y37&lt;=AD37,Y37,AD37)))</f>
        <v>7501</v>
      </c>
      <c r="AF37" s="216">
        <v>0</v>
      </c>
      <c r="AG37" s="203">
        <f t="shared" ref="AG37:AG53" si="33">SUM(AI37:AM37)</f>
        <v>0</v>
      </c>
      <c r="AH37" s="203">
        <f t="shared" ref="AH37:AH53" si="34">IFERROR(AG37/AF37,0)</f>
        <v>0</v>
      </c>
      <c r="AI37" s="215">
        <v>0</v>
      </c>
      <c r="AJ37" s="215"/>
      <c r="AK37" s="215"/>
      <c r="AL37" s="215"/>
      <c r="AM37" s="215"/>
      <c r="AN37" s="215">
        <v>0</v>
      </c>
      <c r="AO37" s="214">
        <f t="shared" ref="AO37:AO53" si="35">IF(AN37=0,0,(IF(AI37&lt;=AN37,AI37,AN37)))</f>
        <v>0</v>
      </c>
      <c r="AP37" s="216">
        <v>0</v>
      </c>
      <c r="AQ37" s="203">
        <f t="shared" ref="AQ37:AQ53" si="36">SUM(AS37:AW37)</f>
        <v>0</v>
      </c>
      <c r="AR37" s="203">
        <f t="shared" ref="AR37:AR53" si="37">IFERROR(AQ37/AP37,0)</f>
        <v>0</v>
      </c>
      <c r="AS37" s="215"/>
      <c r="AT37" s="215"/>
      <c r="AU37" s="215"/>
      <c r="AV37" s="215"/>
      <c r="AW37" s="215"/>
      <c r="AX37" s="215">
        <v>0</v>
      </c>
      <c r="AY37" s="214">
        <f t="shared" ref="AY37:AY53" si="38">IF(AX37=0,0,(IF(AS37&lt;=AX37,AS37,AX37)))</f>
        <v>0</v>
      </c>
      <c r="AZ37" s="216"/>
      <c r="BA37" s="203">
        <f t="shared" ref="BA37:BA53" si="39">SUM(BC37:BG37)</f>
        <v>0</v>
      </c>
      <c r="BB37" s="203">
        <f t="shared" ref="BB37:BB53" si="40">IFERROR(BA37/AZ37,0)</f>
        <v>0</v>
      </c>
      <c r="BC37" s="215"/>
      <c r="BD37" s="215"/>
      <c r="BE37" s="215"/>
      <c r="BF37" s="215"/>
      <c r="BG37" s="215"/>
      <c r="BH37" s="215"/>
      <c r="BI37" s="214">
        <f t="shared" ref="BI37:BI53" si="41">IF(BH37=0,0,(IF(BC37&lt;=BH37,BC37,BH37)))</f>
        <v>0</v>
      </c>
      <c r="BJ37" s="216"/>
      <c r="BK37" s="203">
        <f t="shared" ref="BK37:BK59" si="42">SUM(BM37:BQ37)</f>
        <v>0</v>
      </c>
      <c r="BL37" s="203">
        <f t="shared" ref="BL37:BL59" si="43">IFERROR(BK37/BJ37,0)</f>
        <v>0</v>
      </c>
      <c r="BM37" s="215"/>
      <c r="BN37" s="215"/>
      <c r="BO37" s="215"/>
      <c r="BP37" s="215"/>
      <c r="BQ37" s="215"/>
      <c r="BR37" s="215"/>
      <c r="BS37" s="214">
        <f t="shared" ref="BS37:BS53" si="44">IF(BR37=0,0,(IF(BM37&lt;=BR37,BM37,BR37)))</f>
        <v>0</v>
      </c>
      <c r="BT37" s="226"/>
      <c r="BU37" s="203">
        <f t="shared" ref="BU37:BU59" si="45">SUM(BW37:CA37)</f>
        <v>0</v>
      </c>
      <c r="BV37" s="203">
        <f t="shared" ref="BV37:BV59" si="46">IFERROR(BU37/BT37,0)</f>
        <v>0</v>
      </c>
      <c r="BW37" s="225"/>
      <c r="BX37" s="225"/>
      <c r="BY37" s="225"/>
      <c r="BZ37" s="225"/>
      <c r="CA37" s="225"/>
      <c r="CB37" s="225"/>
      <c r="CC37" s="214">
        <f t="shared" ref="CC37:CC59" si="47">IF(CB37=0,0,(IF(BW37&lt;=CB37,BW37,CB37)))</f>
        <v>0</v>
      </c>
    </row>
    <row r="38" spans="1:81" s="213" customFormat="1" ht="15.95" customHeight="1" x14ac:dyDescent="0.2">
      <c r="A38" s="228" t="s">
        <v>222</v>
      </c>
      <c r="B38" s="217"/>
      <c r="C38" s="203">
        <f t="shared" si="24"/>
        <v>62700</v>
      </c>
      <c r="D38" s="203">
        <f t="shared" si="25"/>
        <v>0</v>
      </c>
      <c r="E38" s="215">
        <v>62700</v>
      </c>
      <c r="F38" s="215"/>
      <c r="G38" s="215"/>
      <c r="H38" s="215"/>
      <c r="I38" s="215"/>
      <c r="J38" s="215"/>
      <c r="K38" s="214">
        <f t="shared" si="26"/>
        <v>0</v>
      </c>
      <c r="L38" s="216">
        <v>1</v>
      </c>
      <c r="M38" s="203">
        <f t="shared" si="27"/>
        <v>1000</v>
      </c>
      <c r="N38" s="203">
        <f t="shared" si="28"/>
        <v>1000</v>
      </c>
      <c r="O38" s="215">
        <v>1000</v>
      </c>
      <c r="P38" s="215">
        <v>0</v>
      </c>
      <c r="Q38" s="215">
        <v>0</v>
      </c>
      <c r="R38" s="215">
        <v>0</v>
      </c>
      <c r="S38" s="215">
        <v>0</v>
      </c>
      <c r="T38" s="215">
        <v>1000</v>
      </c>
      <c r="U38" s="214">
        <f t="shared" si="29"/>
        <v>1000</v>
      </c>
      <c r="V38" s="216">
        <v>1</v>
      </c>
      <c r="W38" s="203">
        <f t="shared" si="30"/>
        <v>1000</v>
      </c>
      <c r="X38" s="203">
        <f t="shared" si="31"/>
        <v>1000</v>
      </c>
      <c r="Y38" s="215">
        <v>1000</v>
      </c>
      <c r="Z38" s="215"/>
      <c r="AA38" s="215"/>
      <c r="AB38" s="215"/>
      <c r="AC38" s="215"/>
      <c r="AD38" s="215">
        <v>1000</v>
      </c>
      <c r="AE38" s="214">
        <f t="shared" si="32"/>
        <v>1000</v>
      </c>
      <c r="AF38" s="216">
        <v>1</v>
      </c>
      <c r="AG38" s="203">
        <f t="shared" si="33"/>
        <v>1000</v>
      </c>
      <c r="AH38" s="203">
        <f t="shared" si="34"/>
        <v>1000</v>
      </c>
      <c r="AI38" s="215">
        <v>1000</v>
      </c>
      <c r="AJ38" s="215"/>
      <c r="AK38" s="215"/>
      <c r="AL38" s="215"/>
      <c r="AM38" s="215"/>
      <c r="AN38" s="215">
        <v>1000</v>
      </c>
      <c r="AO38" s="214">
        <f t="shared" si="35"/>
        <v>1000</v>
      </c>
      <c r="AP38" s="216">
        <v>0</v>
      </c>
      <c r="AQ38" s="203">
        <f t="shared" si="36"/>
        <v>0</v>
      </c>
      <c r="AR38" s="203">
        <f t="shared" si="37"/>
        <v>0</v>
      </c>
      <c r="AS38" s="215">
        <v>0</v>
      </c>
      <c r="AT38" s="215"/>
      <c r="AU38" s="215"/>
      <c r="AV38" s="215"/>
      <c r="AW38" s="215"/>
      <c r="AX38" s="215">
        <v>0</v>
      </c>
      <c r="AY38" s="214">
        <f t="shared" si="38"/>
        <v>0</v>
      </c>
      <c r="AZ38" s="216"/>
      <c r="BA38" s="203">
        <f t="shared" si="39"/>
        <v>0</v>
      </c>
      <c r="BB38" s="203">
        <f t="shared" si="40"/>
        <v>0</v>
      </c>
      <c r="BC38" s="215"/>
      <c r="BD38" s="215"/>
      <c r="BE38" s="215"/>
      <c r="BF38" s="215"/>
      <c r="BG38" s="215"/>
      <c r="BH38" s="215"/>
      <c r="BI38" s="214">
        <f t="shared" si="41"/>
        <v>0</v>
      </c>
      <c r="BJ38" s="216"/>
      <c r="BK38" s="203">
        <f t="shared" si="42"/>
        <v>0</v>
      </c>
      <c r="BL38" s="203">
        <f t="shared" si="43"/>
        <v>0</v>
      </c>
      <c r="BM38" s="215"/>
      <c r="BN38" s="215"/>
      <c r="BO38" s="215"/>
      <c r="BP38" s="215"/>
      <c r="BQ38" s="215"/>
      <c r="BR38" s="215"/>
      <c r="BS38" s="214">
        <f t="shared" si="44"/>
        <v>0</v>
      </c>
      <c r="BT38" s="226"/>
      <c r="BU38" s="203">
        <f t="shared" si="45"/>
        <v>0</v>
      </c>
      <c r="BV38" s="203">
        <f t="shared" si="46"/>
        <v>0</v>
      </c>
      <c r="BW38" s="225"/>
      <c r="BX38" s="225"/>
      <c r="BY38" s="225"/>
      <c r="BZ38" s="225"/>
      <c r="CA38" s="225"/>
      <c r="CB38" s="225"/>
      <c r="CC38" s="214">
        <f t="shared" si="47"/>
        <v>0</v>
      </c>
    </row>
    <row r="39" spans="1:81" s="213" customFormat="1" ht="15.95" customHeight="1" x14ac:dyDescent="0.2">
      <c r="A39" s="228" t="s">
        <v>221</v>
      </c>
      <c r="B39" s="217"/>
      <c r="C39" s="203">
        <f t="shared" si="24"/>
        <v>0</v>
      </c>
      <c r="D39" s="203">
        <f t="shared" si="25"/>
        <v>0</v>
      </c>
      <c r="E39" s="215"/>
      <c r="F39" s="215"/>
      <c r="G39" s="215"/>
      <c r="H39" s="215"/>
      <c r="I39" s="215"/>
      <c r="J39" s="215"/>
      <c r="K39" s="214">
        <f t="shared" si="26"/>
        <v>0</v>
      </c>
      <c r="L39" s="216">
        <v>0</v>
      </c>
      <c r="M39" s="203">
        <f t="shared" si="27"/>
        <v>0</v>
      </c>
      <c r="N39" s="203">
        <f t="shared" si="28"/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4">
        <f t="shared" si="29"/>
        <v>0</v>
      </c>
      <c r="V39" s="216"/>
      <c r="W39" s="203">
        <f t="shared" si="30"/>
        <v>0</v>
      </c>
      <c r="X39" s="203">
        <f t="shared" si="31"/>
        <v>0</v>
      </c>
      <c r="Y39" s="215"/>
      <c r="Z39" s="215"/>
      <c r="AA39" s="215"/>
      <c r="AB39" s="215"/>
      <c r="AC39" s="215"/>
      <c r="AD39" s="215"/>
      <c r="AE39" s="214">
        <f t="shared" si="32"/>
        <v>0</v>
      </c>
      <c r="AF39" s="216">
        <v>0</v>
      </c>
      <c r="AG39" s="203">
        <f t="shared" si="33"/>
        <v>0</v>
      </c>
      <c r="AH39" s="203">
        <f t="shared" si="34"/>
        <v>0</v>
      </c>
      <c r="AI39" s="215"/>
      <c r="AJ39" s="215"/>
      <c r="AK39" s="215"/>
      <c r="AL39" s="215"/>
      <c r="AM39" s="215"/>
      <c r="AN39" s="215">
        <v>0</v>
      </c>
      <c r="AO39" s="214">
        <f t="shared" si="35"/>
        <v>0</v>
      </c>
      <c r="AP39" s="216">
        <v>0</v>
      </c>
      <c r="AQ39" s="203">
        <f t="shared" si="36"/>
        <v>0</v>
      </c>
      <c r="AR39" s="203">
        <f t="shared" si="37"/>
        <v>0</v>
      </c>
      <c r="AS39" s="215"/>
      <c r="AT39" s="215"/>
      <c r="AU39" s="215"/>
      <c r="AV39" s="215"/>
      <c r="AW39" s="215"/>
      <c r="AX39" s="215">
        <v>0</v>
      </c>
      <c r="AY39" s="214">
        <f t="shared" si="38"/>
        <v>0</v>
      </c>
      <c r="AZ39" s="216"/>
      <c r="BA39" s="203">
        <f t="shared" si="39"/>
        <v>0</v>
      </c>
      <c r="BB39" s="203">
        <f t="shared" si="40"/>
        <v>0</v>
      </c>
      <c r="BC39" s="215"/>
      <c r="BD39" s="215"/>
      <c r="BE39" s="215"/>
      <c r="BF39" s="215"/>
      <c r="BG39" s="215"/>
      <c r="BH39" s="215"/>
      <c r="BI39" s="214">
        <f t="shared" si="41"/>
        <v>0</v>
      </c>
      <c r="BJ39" s="216"/>
      <c r="BK39" s="203">
        <f t="shared" si="42"/>
        <v>0</v>
      </c>
      <c r="BL39" s="203">
        <f t="shared" si="43"/>
        <v>0</v>
      </c>
      <c r="BM39" s="215"/>
      <c r="BN39" s="215"/>
      <c r="BO39" s="215"/>
      <c r="BP39" s="215"/>
      <c r="BQ39" s="215"/>
      <c r="BR39" s="215"/>
      <c r="BS39" s="214">
        <f t="shared" si="44"/>
        <v>0</v>
      </c>
      <c r="BT39" s="226"/>
      <c r="BU39" s="203">
        <f t="shared" si="45"/>
        <v>0</v>
      </c>
      <c r="BV39" s="203">
        <f t="shared" si="46"/>
        <v>0</v>
      </c>
      <c r="BW39" s="225"/>
      <c r="BX39" s="225"/>
      <c r="BY39" s="225"/>
      <c r="BZ39" s="225"/>
      <c r="CA39" s="225"/>
      <c r="CB39" s="225"/>
      <c r="CC39" s="214">
        <f t="shared" si="47"/>
        <v>0</v>
      </c>
    </row>
    <row r="40" spans="1:81" s="213" customFormat="1" ht="15.95" customHeight="1" x14ac:dyDescent="0.2">
      <c r="A40" s="228" t="s">
        <v>220</v>
      </c>
      <c r="B40" s="217"/>
      <c r="C40" s="203">
        <f t="shared" si="24"/>
        <v>570900</v>
      </c>
      <c r="D40" s="203">
        <f t="shared" si="25"/>
        <v>0</v>
      </c>
      <c r="E40" s="215">
        <v>570900</v>
      </c>
      <c r="F40" s="215"/>
      <c r="G40" s="215"/>
      <c r="H40" s="215"/>
      <c r="I40" s="215"/>
      <c r="J40" s="215"/>
      <c r="K40" s="214">
        <f t="shared" si="26"/>
        <v>0</v>
      </c>
      <c r="L40" s="216">
        <v>274</v>
      </c>
      <c r="M40" s="203">
        <f t="shared" si="27"/>
        <v>645400</v>
      </c>
      <c r="N40" s="203">
        <f t="shared" si="28"/>
        <v>2355.4744525547444</v>
      </c>
      <c r="O40" s="215">
        <v>645400</v>
      </c>
      <c r="P40" s="215">
        <v>0</v>
      </c>
      <c r="Q40" s="215">
        <v>0</v>
      </c>
      <c r="R40" s="215">
        <v>0</v>
      </c>
      <c r="S40" s="215">
        <v>0</v>
      </c>
      <c r="T40" s="215">
        <v>645400</v>
      </c>
      <c r="U40" s="214">
        <f t="shared" si="29"/>
        <v>645400</v>
      </c>
      <c r="V40" s="216">
        <v>283</v>
      </c>
      <c r="W40" s="203">
        <f t="shared" si="30"/>
        <v>753200</v>
      </c>
      <c r="X40" s="203">
        <f t="shared" si="31"/>
        <v>2661.4840989399295</v>
      </c>
      <c r="Y40" s="215">
        <v>753200</v>
      </c>
      <c r="Z40" s="215"/>
      <c r="AA40" s="215"/>
      <c r="AB40" s="215"/>
      <c r="AC40" s="215"/>
      <c r="AD40" s="215">
        <v>753200</v>
      </c>
      <c r="AE40" s="214">
        <f t="shared" si="32"/>
        <v>753200</v>
      </c>
      <c r="AF40" s="216">
        <v>319</v>
      </c>
      <c r="AG40" s="203">
        <f t="shared" si="33"/>
        <v>887700</v>
      </c>
      <c r="AH40" s="203">
        <f t="shared" si="34"/>
        <v>2782.7586206896553</v>
      </c>
      <c r="AI40" s="215">
        <v>887700</v>
      </c>
      <c r="AJ40" s="215"/>
      <c r="AK40" s="215"/>
      <c r="AL40" s="215"/>
      <c r="AM40" s="215"/>
      <c r="AN40" s="215">
        <v>887700</v>
      </c>
      <c r="AO40" s="214">
        <f t="shared" si="35"/>
        <v>887700</v>
      </c>
      <c r="AP40" s="216">
        <v>310</v>
      </c>
      <c r="AQ40" s="203">
        <f t="shared" si="36"/>
        <v>893338</v>
      </c>
      <c r="AR40" s="203">
        <f t="shared" si="37"/>
        <v>2881.7354838709675</v>
      </c>
      <c r="AS40" s="215">
        <v>893338</v>
      </c>
      <c r="AT40" s="215"/>
      <c r="AU40" s="215"/>
      <c r="AV40" s="215"/>
      <c r="AW40" s="215"/>
      <c r="AX40" s="215">
        <f>+AS40</f>
        <v>893338</v>
      </c>
      <c r="AY40" s="214">
        <f t="shared" si="38"/>
        <v>893338</v>
      </c>
      <c r="AZ40" s="216">
        <v>307</v>
      </c>
      <c r="BA40" s="203">
        <f t="shared" si="39"/>
        <v>873006</v>
      </c>
      <c r="BB40" s="203">
        <f t="shared" si="40"/>
        <v>2843.6677524429965</v>
      </c>
      <c r="BC40" s="215">
        <v>873006</v>
      </c>
      <c r="BD40" s="215"/>
      <c r="BE40" s="215"/>
      <c r="BF40" s="215"/>
      <c r="BG40" s="215"/>
      <c r="BH40" s="215">
        <v>873006</v>
      </c>
      <c r="BI40" s="214">
        <f t="shared" si="41"/>
        <v>873006</v>
      </c>
      <c r="BJ40" s="216">
        <v>490</v>
      </c>
      <c r="BK40" s="203">
        <f t="shared" si="42"/>
        <v>1701686.95</v>
      </c>
      <c r="BL40" s="203">
        <f t="shared" si="43"/>
        <v>3472.8305102040817</v>
      </c>
      <c r="BM40" s="215">
        <v>1701686.95</v>
      </c>
      <c r="BN40" s="215"/>
      <c r="BO40" s="215"/>
      <c r="BP40" s="215"/>
      <c r="BQ40" s="215"/>
      <c r="BR40" s="215">
        <v>1703147</v>
      </c>
      <c r="BS40" s="214">
        <f t="shared" si="44"/>
        <v>1701686.95</v>
      </c>
      <c r="BT40" s="226">
        <v>146</v>
      </c>
      <c r="BU40" s="203">
        <f t="shared" si="45"/>
        <v>496104</v>
      </c>
      <c r="BV40" s="203">
        <f t="shared" si="46"/>
        <v>3397.972602739726</v>
      </c>
      <c r="BW40" s="225">
        <v>496104</v>
      </c>
      <c r="BX40" s="225"/>
      <c r="BY40" s="225"/>
      <c r="BZ40" s="225"/>
      <c r="CA40" s="225"/>
      <c r="CB40" s="225">
        <v>496104</v>
      </c>
      <c r="CC40" s="214">
        <f t="shared" si="47"/>
        <v>496104</v>
      </c>
    </row>
    <row r="41" spans="1:81" s="213" customFormat="1" ht="15.95" customHeight="1" x14ac:dyDescent="0.2">
      <c r="A41" s="228" t="s">
        <v>219</v>
      </c>
      <c r="B41" s="217"/>
      <c r="C41" s="203">
        <f t="shared" si="24"/>
        <v>261000</v>
      </c>
      <c r="D41" s="203">
        <f t="shared" si="25"/>
        <v>0</v>
      </c>
      <c r="E41" s="215">
        <v>261000</v>
      </c>
      <c r="F41" s="215"/>
      <c r="G41" s="215"/>
      <c r="H41" s="215"/>
      <c r="I41" s="215"/>
      <c r="J41" s="215"/>
      <c r="K41" s="214">
        <f t="shared" si="26"/>
        <v>0</v>
      </c>
      <c r="L41" s="216">
        <v>280</v>
      </c>
      <c r="M41" s="203">
        <f t="shared" si="27"/>
        <v>271500</v>
      </c>
      <c r="N41" s="203">
        <f t="shared" si="28"/>
        <v>969.64285714285711</v>
      </c>
      <c r="O41" s="215">
        <v>271500</v>
      </c>
      <c r="P41" s="215">
        <v>0</v>
      </c>
      <c r="Q41" s="215">
        <v>0</v>
      </c>
      <c r="R41" s="215">
        <v>0</v>
      </c>
      <c r="S41" s="215">
        <v>0</v>
      </c>
      <c r="T41" s="215">
        <v>271500</v>
      </c>
      <c r="U41" s="214">
        <f t="shared" si="29"/>
        <v>271500</v>
      </c>
      <c r="V41" s="216">
        <v>287</v>
      </c>
      <c r="W41" s="203">
        <f t="shared" si="30"/>
        <v>274500</v>
      </c>
      <c r="X41" s="203">
        <f t="shared" si="31"/>
        <v>956.44599303135885</v>
      </c>
      <c r="Y41" s="215">
        <v>274500</v>
      </c>
      <c r="Z41" s="215"/>
      <c r="AA41" s="215"/>
      <c r="AB41" s="215"/>
      <c r="AC41" s="215"/>
      <c r="AD41" s="215">
        <v>274500</v>
      </c>
      <c r="AE41" s="214">
        <f t="shared" si="32"/>
        <v>274500</v>
      </c>
      <c r="AF41" s="216">
        <v>288</v>
      </c>
      <c r="AG41" s="203">
        <f t="shared" si="33"/>
        <v>278000</v>
      </c>
      <c r="AH41" s="203">
        <f t="shared" si="34"/>
        <v>965.27777777777783</v>
      </c>
      <c r="AI41" s="215">
        <v>278000</v>
      </c>
      <c r="AJ41" s="215"/>
      <c r="AK41" s="215"/>
      <c r="AL41" s="215"/>
      <c r="AM41" s="215"/>
      <c r="AN41" s="215">
        <v>278000</v>
      </c>
      <c r="AO41" s="214">
        <f t="shared" si="35"/>
        <v>278000</v>
      </c>
      <c r="AP41" s="216">
        <v>290</v>
      </c>
      <c r="AQ41" s="203">
        <f t="shared" si="36"/>
        <v>278500</v>
      </c>
      <c r="AR41" s="203">
        <f t="shared" si="37"/>
        <v>960.34482758620686</v>
      </c>
      <c r="AS41" s="215">
        <v>278500</v>
      </c>
      <c r="AT41" s="215"/>
      <c r="AU41" s="215"/>
      <c r="AV41" s="215"/>
      <c r="AW41" s="215"/>
      <c r="AX41" s="215">
        <f>+AS41</f>
        <v>278500</v>
      </c>
      <c r="AY41" s="214">
        <f t="shared" si="38"/>
        <v>278500</v>
      </c>
      <c r="AZ41" s="216">
        <v>274</v>
      </c>
      <c r="BA41" s="203">
        <f t="shared" si="39"/>
        <v>360000</v>
      </c>
      <c r="BB41" s="203">
        <f t="shared" si="40"/>
        <v>1313.8686131386862</v>
      </c>
      <c r="BC41" s="215">
        <v>360000</v>
      </c>
      <c r="BD41" s="215"/>
      <c r="BE41" s="215"/>
      <c r="BF41" s="215"/>
      <c r="BG41" s="215"/>
      <c r="BH41" s="215">
        <v>360000</v>
      </c>
      <c r="BI41" s="214">
        <f t="shared" si="41"/>
        <v>360000</v>
      </c>
      <c r="BJ41" s="216">
        <v>389</v>
      </c>
      <c r="BK41" s="203">
        <f t="shared" si="42"/>
        <v>851251</v>
      </c>
      <c r="BL41" s="203">
        <f t="shared" si="43"/>
        <v>2188.305912596401</v>
      </c>
      <c r="BM41" s="215">
        <v>851251</v>
      </c>
      <c r="BN41" s="215"/>
      <c r="BO41" s="215"/>
      <c r="BP41" s="215"/>
      <c r="BQ41" s="215"/>
      <c r="BR41" s="215">
        <v>851251</v>
      </c>
      <c r="BS41" s="214">
        <f t="shared" si="44"/>
        <v>851251</v>
      </c>
      <c r="BT41" s="226">
        <v>180</v>
      </c>
      <c r="BU41" s="203">
        <f t="shared" si="45"/>
        <v>397845</v>
      </c>
      <c r="BV41" s="203">
        <f t="shared" si="46"/>
        <v>2210.25</v>
      </c>
      <c r="BW41" s="225">
        <v>397845</v>
      </c>
      <c r="BX41" s="225"/>
      <c r="BY41" s="225"/>
      <c r="BZ41" s="225"/>
      <c r="CA41" s="225"/>
      <c r="CB41" s="225">
        <v>397845</v>
      </c>
      <c r="CC41" s="214">
        <f t="shared" si="47"/>
        <v>397845</v>
      </c>
    </row>
    <row r="42" spans="1:81" s="213" customFormat="1" ht="15.95" customHeight="1" x14ac:dyDescent="0.2">
      <c r="A42" s="228" t="s">
        <v>218</v>
      </c>
      <c r="B42" s="217"/>
      <c r="C42" s="203">
        <f t="shared" si="24"/>
        <v>0</v>
      </c>
      <c r="D42" s="203">
        <f t="shared" si="25"/>
        <v>0</v>
      </c>
      <c r="E42" s="215"/>
      <c r="F42" s="215"/>
      <c r="G42" s="215"/>
      <c r="H42" s="215"/>
      <c r="I42" s="215"/>
      <c r="J42" s="215"/>
      <c r="K42" s="214">
        <f t="shared" si="26"/>
        <v>0</v>
      </c>
      <c r="L42" s="216">
        <v>17</v>
      </c>
      <c r="M42" s="203">
        <f t="shared" si="27"/>
        <v>27500</v>
      </c>
      <c r="N42" s="203">
        <f t="shared" si="28"/>
        <v>1617.6470588235295</v>
      </c>
      <c r="O42" s="215">
        <v>0</v>
      </c>
      <c r="P42" s="215">
        <v>0</v>
      </c>
      <c r="Q42" s="215">
        <v>0</v>
      </c>
      <c r="R42" s="215">
        <v>0</v>
      </c>
      <c r="S42" s="215">
        <v>27500</v>
      </c>
      <c r="T42" s="215">
        <v>27500</v>
      </c>
      <c r="U42" s="214">
        <f t="shared" si="29"/>
        <v>0</v>
      </c>
      <c r="V42" s="216">
        <v>14</v>
      </c>
      <c r="W42" s="203">
        <f t="shared" si="30"/>
        <v>23000</v>
      </c>
      <c r="X42" s="203">
        <f t="shared" si="31"/>
        <v>1642.8571428571429</v>
      </c>
      <c r="Y42" s="215"/>
      <c r="Z42" s="215"/>
      <c r="AA42" s="215"/>
      <c r="AB42" s="215"/>
      <c r="AC42" s="215">
        <v>23000</v>
      </c>
      <c r="AD42" s="215">
        <v>23000</v>
      </c>
      <c r="AE42" s="214">
        <f t="shared" si="32"/>
        <v>0</v>
      </c>
      <c r="AF42" s="216">
        <v>16</v>
      </c>
      <c r="AG42" s="203">
        <f t="shared" si="33"/>
        <v>23000</v>
      </c>
      <c r="AH42" s="203">
        <f t="shared" si="34"/>
        <v>1437.5</v>
      </c>
      <c r="AI42" s="215"/>
      <c r="AJ42" s="215"/>
      <c r="AK42" s="215"/>
      <c r="AL42" s="215"/>
      <c r="AM42" s="215">
        <v>23000</v>
      </c>
      <c r="AN42" s="215">
        <v>23000</v>
      </c>
      <c r="AO42" s="214">
        <f t="shared" si="35"/>
        <v>0</v>
      </c>
      <c r="AP42" s="216">
        <v>14</v>
      </c>
      <c r="AQ42" s="203">
        <f t="shared" si="36"/>
        <v>22500</v>
      </c>
      <c r="AR42" s="203">
        <f t="shared" si="37"/>
        <v>1607.1428571428571</v>
      </c>
      <c r="AS42" s="215"/>
      <c r="AT42" s="215"/>
      <c r="AU42" s="215"/>
      <c r="AV42" s="215"/>
      <c r="AW42" s="215">
        <v>22500</v>
      </c>
      <c r="AX42" s="215">
        <v>22500</v>
      </c>
      <c r="AY42" s="214">
        <f t="shared" si="38"/>
        <v>0</v>
      </c>
      <c r="AZ42" s="216">
        <v>15</v>
      </c>
      <c r="BA42" s="203">
        <f t="shared" si="39"/>
        <v>22500</v>
      </c>
      <c r="BB42" s="203">
        <f t="shared" si="40"/>
        <v>1500</v>
      </c>
      <c r="BC42" s="215"/>
      <c r="BD42" s="215"/>
      <c r="BE42" s="215"/>
      <c r="BF42" s="215"/>
      <c r="BG42" s="215">
        <v>22500</v>
      </c>
      <c r="BH42" s="215">
        <v>21000</v>
      </c>
      <c r="BI42" s="214">
        <f t="shared" si="41"/>
        <v>0</v>
      </c>
      <c r="BJ42" s="216">
        <v>16</v>
      </c>
      <c r="BK42" s="203">
        <f t="shared" si="42"/>
        <v>26000</v>
      </c>
      <c r="BL42" s="203">
        <f t="shared" si="43"/>
        <v>1625</v>
      </c>
      <c r="BM42" s="215"/>
      <c r="BN42" s="215"/>
      <c r="BO42" s="215"/>
      <c r="BP42" s="215"/>
      <c r="BQ42" s="215">
        <v>26000</v>
      </c>
      <c r="BR42" s="215">
        <v>24500</v>
      </c>
      <c r="BS42" s="214">
        <f t="shared" si="44"/>
        <v>0</v>
      </c>
      <c r="BT42" s="226">
        <v>16</v>
      </c>
      <c r="BU42" s="203">
        <f t="shared" si="45"/>
        <v>25000</v>
      </c>
      <c r="BV42" s="203">
        <f t="shared" si="46"/>
        <v>1562.5</v>
      </c>
      <c r="BW42" s="225"/>
      <c r="BX42" s="225"/>
      <c r="BY42" s="225"/>
      <c r="BZ42" s="225"/>
      <c r="CA42" s="225">
        <v>25000</v>
      </c>
      <c r="CB42" s="225">
        <v>25000</v>
      </c>
      <c r="CC42" s="214">
        <f t="shared" si="47"/>
        <v>0</v>
      </c>
    </row>
    <row r="43" spans="1:81" s="213" customFormat="1" ht="15.95" customHeight="1" x14ac:dyDescent="0.2">
      <c r="A43" s="228" t="s">
        <v>217</v>
      </c>
      <c r="B43" s="217"/>
      <c r="C43" s="203">
        <f t="shared" si="24"/>
        <v>0</v>
      </c>
      <c r="D43" s="203">
        <f t="shared" si="25"/>
        <v>0</v>
      </c>
      <c r="E43" s="215"/>
      <c r="F43" s="215"/>
      <c r="G43" s="215"/>
      <c r="H43" s="215"/>
      <c r="I43" s="215"/>
      <c r="J43" s="215"/>
      <c r="K43" s="214">
        <f t="shared" si="26"/>
        <v>0</v>
      </c>
      <c r="L43" s="216">
        <v>1766</v>
      </c>
      <c r="M43" s="203">
        <f t="shared" si="27"/>
        <v>3825527</v>
      </c>
      <c r="N43" s="203">
        <f t="shared" si="28"/>
        <v>2166.210079275198</v>
      </c>
      <c r="O43" s="215">
        <v>0</v>
      </c>
      <c r="P43" s="215">
        <v>0</v>
      </c>
      <c r="Q43" s="215">
        <v>0</v>
      </c>
      <c r="R43" s="215">
        <v>0</v>
      </c>
      <c r="S43" s="215">
        <v>3825527</v>
      </c>
      <c r="T43" s="215">
        <v>3330318</v>
      </c>
      <c r="U43" s="214">
        <f t="shared" si="29"/>
        <v>0</v>
      </c>
      <c r="V43" s="216">
        <v>1822</v>
      </c>
      <c r="W43" s="203">
        <f t="shared" si="30"/>
        <v>4318856</v>
      </c>
      <c r="X43" s="203">
        <f t="shared" si="31"/>
        <v>2370.3929747530187</v>
      </c>
      <c r="Y43" s="215"/>
      <c r="Z43" s="215"/>
      <c r="AA43" s="215"/>
      <c r="AB43" s="215"/>
      <c r="AC43" s="215">
        <v>4318856</v>
      </c>
      <c r="AD43" s="215">
        <v>3783664</v>
      </c>
      <c r="AE43" s="214">
        <f t="shared" si="32"/>
        <v>0</v>
      </c>
      <c r="AF43" s="216">
        <v>1818</v>
      </c>
      <c r="AG43" s="203">
        <f t="shared" si="33"/>
        <v>4442702</v>
      </c>
      <c r="AH43" s="203">
        <f t="shared" si="34"/>
        <v>2443.7304730473047</v>
      </c>
      <c r="AI43" s="215"/>
      <c r="AJ43" s="215"/>
      <c r="AK43" s="215"/>
      <c r="AL43" s="215"/>
      <c r="AM43" s="215">
        <v>4442702</v>
      </c>
      <c r="AN43" s="215">
        <v>3855150</v>
      </c>
      <c r="AO43" s="214">
        <f t="shared" si="35"/>
        <v>0</v>
      </c>
      <c r="AP43" s="216">
        <v>1874</v>
      </c>
      <c r="AQ43" s="203">
        <f t="shared" si="36"/>
        <v>4919962</v>
      </c>
      <c r="AR43" s="203">
        <f t="shared" si="37"/>
        <v>2625.3799359658483</v>
      </c>
      <c r="AS43" s="215"/>
      <c r="AT43" s="215"/>
      <c r="AU43" s="215"/>
      <c r="AV43" s="215"/>
      <c r="AW43" s="215">
        <v>4919962</v>
      </c>
      <c r="AX43" s="215">
        <v>4386527</v>
      </c>
      <c r="AY43" s="214">
        <f t="shared" si="38"/>
        <v>0</v>
      </c>
      <c r="AZ43" s="216">
        <v>2020</v>
      </c>
      <c r="BA43" s="203">
        <f t="shared" si="39"/>
        <v>5286821</v>
      </c>
      <c r="BB43" s="203">
        <f t="shared" si="40"/>
        <v>2617.2381188118811</v>
      </c>
      <c r="BC43" s="215"/>
      <c r="BD43" s="215"/>
      <c r="BE43" s="215"/>
      <c r="BF43" s="215"/>
      <c r="BG43" s="215">
        <v>5286821</v>
      </c>
      <c r="BH43" s="215">
        <v>4732978</v>
      </c>
      <c r="BI43" s="214">
        <f t="shared" si="41"/>
        <v>0</v>
      </c>
      <c r="BJ43" s="216">
        <v>1986</v>
      </c>
      <c r="BK43" s="203">
        <f t="shared" si="42"/>
        <v>5359224</v>
      </c>
      <c r="BL43" s="203">
        <f t="shared" si="43"/>
        <v>2698.5015105740181</v>
      </c>
      <c r="BM43" s="215"/>
      <c r="BN43" s="215"/>
      <c r="BO43" s="215"/>
      <c r="BP43" s="215"/>
      <c r="BQ43" s="215">
        <v>5359224</v>
      </c>
      <c r="BR43" s="215">
        <v>4803855</v>
      </c>
      <c r="BS43" s="214">
        <f t="shared" si="44"/>
        <v>0</v>
      </c>
      <c r="BT43" s="226">
        <v>2175</v>
      </c>
      <c r="BU43" s="203">
        <f t="shared" si="45"/>
        <v>6107479</v>
      </c>
      <c r="BV43" s="203">
        <f t="shared" si="46"/>
        <v>2808.0363218390803</v>
      </c>
      <c r="BW43" s="225"/>
      <c r="BX43" s="225"/>
      <c r="BY43" s="225"/>
      <c r="BZ43" s="225"/>
      <c r="CA43" s="225">
        <v>6107479</v>
      </c>
      <c r="CB43" s="225">
        <v>5490981</v>
      </c>
      <c r="CC43" s="214">
        <f t="shared" si="47"/>
        <v>0</v>
      </c>
    </row>
    <row r="44" spans="1:81" s="213" customFormat="1" ht="15.95" customHeight="1" x14ac:dyDescent="0.2">
      <c r="A44" s="228" t="s">
        <v>216</v>
      </c>
      <c r="B44" s="217"/>
      <c r="C44" s="203">
        <f t="shared" si="24"/>
        <v>175206</v>
      </c>
      <c r="D44" s="203">
        <f t="shared" si="25"/>
        <v>0</v>
      </c>
      <c r="E44" s="215">
        <v>175206</v>
      </c>
      <c r="F44" s="215"/>
      <c r="G44" s="215"/>
      <c r="H44" s="215"/>
      <c r="I44" s="215"/>
      <c r="J44" s="215"/>
      <c r="K44" s="214">
        <f t="shared" si="26"/>
        <v>0</v>
      </c>
      <c r="L44" s="216">
        <v>17</v>
      </c>
      <c r="M44" s="203">
        <f t="shared" si="27"/>
        <v>93222</v>
      </c>
      <c r="N44" s="203">
        <f t="shared" si="28"/>
        <v>5483.6470588235297</v>
      </c>
      <c r="O44" s="215">
        <v>93222</v>
      </c>
      <c r="P44" s="215">
        <v>0</v>
      </c>
      <c r="Q44" s="215">
        <v>0</v>
      </c>
      <c r="R44" s="215">
        <v>0</v>
      </c>
      <c r="S44" s="215">
        <v>0</v>
      </c>
      <c r="T44" s="215">
        <v>73604</v>
      </c>
      <c r="U44" s="214">
        <f t="shared" si="29"/>
        <v>73604</v>
      </c>
      <c r="V44" s="216">
        <v>9</v>
      </c>
      <c r="W44" s="203">
        <f t="shared" si="30"/>
        <v>54453</v>
      </c>
      <c r="X44" s="203">
        <f t="shared" si="31"/>
        <v>6050.333333333333</v>
      </c>
      <c r="Y44" s="215">
        <v>54453</v>
      </c>
      <c r="Z44" s="215"/>
      <c r="AA44" s="215"/>
      <c r="AB44" s="215"/>
      <c r="AC44" s="215"/>
      <c r="AD44" s="215">
        <v>42490</v>
      </c>
      <c r="AE44" s="214">
        <f t="shared" si="32"/>
        <v>42490</v>
      </c>
      <c r="AF44" s="216">
        <v>7</v>
      </c>
      <c r="AG44" s="203">
        <f t="shared" si="33"/>
        <v>27937</v>
      </c>
      <c r="AH44" s="203">
        <f t="shared" si="34"/>
        <v>3991</v>
      </c>
      <c r="AI44" s="215">
        <v>27937</v>
      </c>
      <c r="AJ44" s="215"/>
      <c r="AK44" s="215"/>
      <c r="AL44" s="215"/>
      <c r="AM44" s="215"/>
      <c r="AN44" s="215">
        <v>21962</v>
      </c>
      <c r="AO44" s="214">
        <f t="shared" si="35"/>
        <v>21962</v>
      </c>
      <c r="AP44" s="216">
        <v>8</v>
      </c>
      <c r="AQ44" s="203">
        <f t="shared" si="36"/>
        <v>58566</v>
      </c>
      <c r="AR44" s="203">
        <f t="shared" si="37"/>
        <v>7320.75</v>
      </c>
      <c r="AS44" s="215">
        <v>58566</v>
      </c>
      <c r="AT44" s="215"/>
      <c r="AU44" s="215"/>
      <c r="AV44" s="215"/>
      <c r="AW44" s="215"/>
      <c r="AX44" s="215">
        <f>+AS44</f>
        <v>58566</v>
      </c>
      <c r="AY44" s="214">
        <f t="shared" si="38"/>
        <v>58566</v>
      </c>
      <c r="AZ44" s="216">
        <v>8</v>
      </c>
      <c r="BA44" s="203">
        <f t="shared" si="39"/>
        <v>71051</v>
      </c>
      <c r="BB44" s="203">
        <f t="shared" si="40"/>
        <v>8881.375</v>
      </c>
      <c r="BC44" s="215">
        <v>71051</v>
      </c>
      <c r="BD44" s="215"/>
      <c r="BE44" s="215"/>
      <c r="BF44" s="215"/>
      <c r="BG44" s="215"/>
      <c r="BH44" s="215">
        <v>45687</v>
      </c>
      <c r="BI44" s="214">
        <f t="shared" si="41"/>
        <v>45687</v>
      </c>
      <c r="BJ44" s="216">
        <v>8</v>
      </c>
      <c r="BK44" s="203">
        <f t="shared" si="42"/>
        <v>63857</v>
      </c>
      <c r="BL44" s="203">
        <f t="shared" si="43"/>
        <v>7982.125</v>
      </c>
      <c r="BM44" s="215">
        <v>63857</v>
      </c>
      <c r="BN44" s="215"/>
      <c r="BO44" s="215"/>
      <c r="BP44" s="215"/>
      <c r="BQ44" s="215"/>
      <c r="BR44" s="215">
        <v>49511</v>
      </c>
      <c r="BS44" s="214">
        <f t="shared" si="44"/>
        <v>49511</v>
      </c>
      <c r="BT44" s="226">
        <v>11</v>
      </c>
      <c r="BU44" s="203">
        <f t="shared" si="45"/>
        <v>71187</v>
      </c>
      <c r="BV44" s="203">
        <f t="shared" si="46"/>
        <v>6471.545454545455</v>
      </c>
      <c r="BW44" s="225">
        <v>71187</v>
      </c>
      <c r="BX44" s="225"/>
      <c r="BY44" s="225"/>
      <c r="BZ44" s="225"/>
      <c r="CA44" s="225"/>
      <c r="CB44" s="225">
        <v>65298</v>
      </c>
      <c r="CC44" s="214">
        <f t="shared" si="47"/>
        <v>65298</v>
      </c>
    </row>
    <row r="45" spans="1:81" s="213" customFormat="1" ht="15.95" customHeight="1" x14ac:dyDescent="0.2">
      <c r="A45" s="228" t="s">
        <v>215</v>
      </c>
      <c r="B45" s="217"/>
      <c r="C45" s="203">
        <f t="shared" si="24"/>
        <v>413365</v>
      </c>
      <c r="D45" s="203">
        <f t="shared" si="25"/>
        <v>0</v>
      </c>
      <c r="E45" s="215">
        <v>413365</v>
      </c>
      <c r="F45" s="215"/>
      <c r="G45" s="215"/>
      <c r="H45" s="215"/>
      <c r="I45" s="215"/>
      <c r="J45" s="215"/>
      <c r="K45" s="214">
        <f t="shared" si="26"/>
        <v>0</v>
      </c>
      <c r="L45" s="216">
        <v>158</v>
      </c>
      <c r="M45" s="203">
        <f t="shared" si="27"/>
        <v>493748</v>
      </c>
      <c r="N45" s="203">
        <f t="shared" si="28"/>
        <v>3124.9873417721519</v>
      </c>
      <c r="O45" s="215">
        <v>493748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14">
        <f t="shared" si="29"/>
        <v>0</v>
      </c>
      <c r="V45" s="216">
        <v>166</v>
      </c>
      <c r="W45" s="203">
        <f t="shared" si="30"/>
        <v>559300</v>
      </c>
      <c r="X45" s="203">
        <f t="shared" si="31"/>
        <v>3369.2771084337351</v>
      </c>
      <c r="Y45" s="215">
        <v>559300</v>
      </c>
      <c r="Z45" s="215"/>
      <c r="AA45" s="215"/>
      <c r="AB45" s="215"/>
      <c r="AC45" s="215"/>
      <c r="AD45" s="215">
        <v>0</v>
      </c>
      <c r="AE45" s="214">
        <f t="shared" si="32"/>
        <v>0</v>
      </c>
      <c r="AF45" s="216">
        <v>98</v>
      </c>
      <c r="AG45" s="203">
        <f t="shared" si="33"/>
        <v>321957</v>
      </c>
      <c r="AH45" s="203">
        <f t="shared" si="34"/>
        <v>3285.2755102040815</v>
      </c>
      <c r="AI45" s="215">
        <v>321957</v>
      </c>
      <c r="AJ45" s="215"/>
      <c r="AK45" s="215"/>
      <c r="AL45" s="215"/>
      <c r="AM45" s="215"/>
      <c r="AN45" s="215">
        <v>0</v>
      </c>
      <c r="AO45" s="214">
        <f t="shared" si="35"/>
        <v>0</v>
      </c>
      <c r="AP45" s="216">
        <v>67</v>
      </c>
      <c r="AQ45" s="203">
        <f t="shared" si="36"/>
        <v>229514</v>
      </c>
      <c r="AR45" s="203">
        <f t="shared" si="37"/>
        <v>3425.5820895522388</v>
      </c>
      <c r="AS45" s="215">
        <v>229514</v>
      </c>
      <c r="AT45" s="215"/>
      <c r="AU45" s="215"/>
      <c r="AV45" s="215"/>
      <c r="AW45" s="215"/>
      <c r="AX45" s="215">
        <v>0</v>
      </c>
      <c r="AY45" s="214">
        <f t="shared" si="38"/>
        <v>0</v>
      </c>
      <c r="AZ45" s="216">
        <v>53</v>
      </c>
      <c r="BA45" s="203">
        <f t="shared" si="39"/>
        <v>150683.35999999999</v>
      </c>
      <c r="BB45" s="203">
        <f t="shared" si="40"/>
        <v>2843.082264150943</v>
      </c>
      <c r="BC45" s="215">
        <v>150683.35999999999</v>
      </c>
      <c r="BD45" s="215"/>
      <c r="BE45" s="215"/>
      <c r="BF45" s="215"/>
      <c r="BG45" s="215"/>
      <c r="BH45" s="215">
        <v>4738</v>
      </c>
      <c r="BI45" s="214">
        <f t="shared" si="41"/>
        <v>4738</v>
      </c>
      <c r="BJ45" s="216"/>
      <c r="BK45" s="203">
        <f t="shared" si="42"/>
        <v>182157</v>
      </c>
      <c r="BL45" s="203">
        <f t="shared" si="43"/>
        <v>0</v>
      </c>
      <c r="BM45" s="233">
        <v>182157</v>
      </c>
      <c r="BN45" s="215"/>
      <c r="BO45" s="215"/>
      <c r="BP45" s="215"/>
      <c r="BQ45" s="215"/>
      <c r="BS45" s="214">
        <f t="shared" si="44"/>
        <v>0</v>
      </c>
      <c r="BT45" s="226">
        <v>145</v>
      </c>
      <c r="BU45" s="203">
        <f t="shared" si="45"/>
        <v>303420</v>
      </c>
      <c r="BV45" s="203">
        <f t="shared" si="46"/>
        <v>2092.5517241379312</v>
      </c>
      <c r="BW45" s="225">
        <v>303420</v>
      </c>
      <c r="BX45" s="225"/>
      <c r="BY45" s="225"/>
      <c r="BZ45" s="225"/>
      <c r="CA45" s="225"/>
      <c r="CB45" s="225">
        <v>0</v>
      </c>
      <c r="CC45" s="214">
        <f t="shared" si="47"/>
        <v>0</v>
      </c>
    </row>
    <row r="46" spans="1:81" s="213" customFormat="1" ht="15.95" customHeight="1" x14ac:dyDescent="0.2">
      <c r="A46" s="228" t="s">
        <v>214</v>
      </c>
      <c r="B46" s="217"/>
      <c r="C46" s="203">
        <f t="shared" si="24"/>
        <v>0</v>
      </c>
      <c r="D46" s="203">
        <f t="shared" si="25"/>
        <v>0</v>
      </c>
      <c r="E46" s="215"/>
      <c r="F46" s="215"/>
      <c r="G46" s="215"/>
      <c r="H46" s="215"/>
      <c r="I46" s="215"/>
      <c r="J46" s="215"/>
      <c r="K46" s="214">
        <f t="shared" si="26"/>
        <v>0</v>
      </c>
      <c r="L46" s="216">
        <v>1668</v>
      </c>
      <c r="M46" s="203">
        <f t="shared" si="27"/>
        <v>3476952</v>
      </c>
      <c r="N46" s="203">
        <f t="shared" si="28"/>
        <v>2084.5035971223024</v>
      </c>
      <c r="O46" s="215">
        <v>0</v>
      </c>
      <c r="P46" s="215">
        <v>0</v>
      </c>
      <c r="Q46" s="215">
        <v>0</v>
      </c>
      <c r="R46" s="215">
        <v>0</v>
      </c>
      <c r="S46" s="215">
        <v>3476952</v>
      </c>
      <c r="T46" s="215">
        <v>3101080</v>
      </c>
      <c r="U46" s="214">
        <f t="shared" si="29"/>
        <v>0</v>
      </c>
      <c r="V46" s="216">
        <v>1506</v>
      </c>
      <c r="W46" s="203">
        <f t="shared" si="30"/>
        <v>3403585</v>
      </c>
      <c r="X46" s="203">
        <f t="shared" si="31"/>
        <v>2260.0166002656042</v>
      </c>
      <c r="Y46" s="215"/>
      <c r="Z46" s="215"/>
      <c r="AA46" s="215"/>
      <c r="AB46" s="215"/>
      <c r="AC46" s="215">
        <v>3403585</v>
      </c>
      <c r="AD46" s="215">
        <v>2921530</v>
      </c>
      <c r="AE46" s="214">
        <f t="shared" si="32"/>
        <v>0</v>
      </c>
      <c r="AF46" s="216">
        <v>1503</v>
      </c>
      <c r="AG46" s="203">
        <f t="shared" si="33"/>
        <v>3632031</v>
      </c>
      <c r="AH46" s="203">
        <f t="shared" si="34"/>
        <v>2416.5209580838323</v>
      </c>
      <c r="AI46" s="215"/>
      <c r="AJ46" s="215"/>
      <c r="AK46" s="215"/>
      <c r="AL46" s="215"/>
      <c r="AM46" s="215">
        <v>3632031</v>
      </c>
      <c r="AN46" s="215">
        <v>3319541</v>
      </c>
      <c r="AO46" s="214">
        <f t="shared" si="35"/>
        <v>0</v>
      </c>
      <c r="AP46" s="216">
        <v>1447</v>
      </c>
      <c r="AQ46" s="203">
        <f t="shared" si="36"/>
        <v>3582272</v>
      </c>
      <c r="AR46" s="203">
        <f t="shared" si="37"/>
        <v>2475.6544574982722</v>
      </c>
      <c r="AS46" s="215"/>
      <c r="AT46" s="215"/>
      <c r="AU46" s="215"/>
      <c r="AV46" s="215"/>
      <c r="AW46" s="215">
        <v>3582272</v>
      </c>
      <c r="AX46" s="215">
        <v>3229838</v>
      </c>
      <c r="AY46" s="214">
        <f t="shared" si="38"/>
        <v>0</v>
      </c>
      <c r="AZ46" s="216">
        <v>1309</v>
      </c>
      <c r="BA46" s="203">
        <f t="shared" si="39"/>
        <v>3477565</v>
      </c>
      <c r="BB46" s="203">
        <f t="shared" si="40"/>
        <v>2656.657754010695</v>
      </c>
      <c r="BC46" s="215"/>
      <c r="BD46" s="215"/>
      <c r="BE46" s="215"/>
      <c r="BF46" s="215"/>
      <c r="BG46" s="215">
        <v>3477565</v>
      </c>
      <c r="BH46" s="215">
        <v>3206460</v>
      </c>
      <c r="BI46" s="214">
        <f t="shared" si="41"/>
        <v>0</v>
      </c>
      <c r="BJ46" s="216">
        <v>1337</v>
      </c>
      <c r="BK46" s="203">
        <f t="shared" si="42"/>
        <v>3451377</v>
      </c>
      <c r="BL46" s="203">
        <f t="shared" si="43"/>
        <v>2581.4338070306658</v>
      </c>
      <c r="BM46" s="215"/>
      <c r="BN46" s="215"/>
      <c r="BO46" s="215"/>
      <c r="BP46" s="215"/>
      <c r="BQ46" s="215">
        <v>3451377</v>
      </c>
      <c r="BR46" s="215">
        <v>3226823</v>
      </c>
      <c r="BS46" s="214">
        <f t="shared" si="44"/>
        <v>0</v>
      </c>
      <c r="BT46" s="226">
        <v>2534</v>
      </c>
      <c r="BU46" s="203">
        <f t="shared" si="45"/>
        <v>4243539</v>
      </c>
      <c r="BV46" s="203">
        <f t="shared" si="46"/>
        <v>1674.6404893449092</v>
      </c>
      <c r="BW46" s="225"/>
      <c r="BX46" s="225"/>
      <c r="BY46" s="225"/>
      <c r="BZ46" s="225"/>
      <c r="CA46" s="225">
        <v>4243539</v>
      </c>
      <c r="CB46" s="225">
        <v>3860070</v>
      </c>
      <c r="CC46" s="214">
        <f t="shared" si="47"/>
        <v>0</v>
      </c>
    </row>
    <row r="47" spans="1:81" s="213" customFormat="1" ht="15.95" customHeight="1" x14ac:dyDescent="0.2">
      <c r="A47" s="228" t="s">
        <v>213</v>
      </c>
      <c r="B47" s="217"/>
      <c r="C47" s="203">
        <f t="shared" si="24"/>
        <v>4835782</v>
      </c>
      <c r="D47" s="203">
        <f t="shared" si="25"/>
        <v>0</v>
      </c>
      <c r="E47" s="215">
        <v>4835782</v>
      </c>
      <c r="F47" s="215"/>
      <c r="G47" s="215"/>
      <c r="H47" s="215"/>
      <c r="I47" s="215"/>
      <c r="J47" s="215"/>
      <c r="K47" s="214">
        <f t="shared" si="26"/>
        <v>0</v>
      </c>
      <c r="L47" s="216">
        <v>757</v>
      </c>
      <c r="M47" s="203">
        <f t="shared" si="27"/>
        <v>5116770</v>
      </c>
      <c r="N47" s="203">
        <f t="shared" si="28"/>
        <v>6759.2734478203438</v>
      </c>
      <c r="O47" s="215">
        <v>5116770</v>
      </c>
      <c r="P47" s="215">
        <v>0</v>
      </c>
      <c r="Q47" s="215">
        <v>0</v>
      </c>
      <c r="R47" s="215">
        <v>0</v>
      </c>
      <c r="S47" s="215">
        <v>0</v>
      </c>
      <c r="T47" s="215">
        <v>5116770</v>
      </c>
      <c r="U47" s="214">
        <f t="shared" si="29"/>
        <v>5116770</v>
      </c>
      <c r="V47" s="216">
        <v>795</v>
      </c>
      <c r="W47" s="203">
        <f t="shared" si="30"/>
        <v>5655939</v>
      </c>
      <c r="X47" s="203">
        <f t="shared" si="31"/>
        <v>7114.3886792452831</v>
      </c>
      <c r="Y47" s="215">
        <v>5655939</v>
      </c>
      <c r="Z47" s="215"/>
      <c r="AA47" s="215"/>
      <c r="AB47" s="215"/>
      <c r="AC47" s="215"/>
      <c r="AD47" s="215">
        <v>5655939</v>
      </c>
      <c r="AE47" s="214">
        <f t="shared" si="32"/>
        <v>5655939</v>
      </c>
      <c r="AF47" s="216">
        <v>834</v>
      </c>
      <c r="AG47" s="203">
        <f t="shared" si="33"/>
        <v>6321096</v>
      </c>
      <c r="AH47" s="203">
        <f t="shared" si="34"/>
        <v>7579.2517985611512</v>
      </c>
      <c r="AI47" s="215">
        <v>6321096</v>
      </c>
      <c r="AJ47" s="215"/>
      <c r="AK47" s="215"/>
      <c r="AL47" s="215"/>
      <c r="AM47" s="215"/>
      <c r="AN47" s="215">
        <v>6321096</v>
      </c>
      <c r="AO47" s="214">
        <f t="shared" si="35"/>
        <v>6321096</v>
      </c>
      <c r="AP47" s="216">
        <v>900</v>
      </c>
      <c r="AQ47" s="203">
        <f t="shared" si="36"/>
        <v>7004356</v>
      </c>
      <c r="AR47" s="203">
        <f t="shared" si="37"/>
        <v>7782.6177777777775</v>
      </c>
      <c r="AS47" s="215">
        <v>7004356</v>
      </c>
      <c r="AT47" s="215"/>
      <c r="AU47" s="215"/>
      <c r="AV47" s="215"/>
      <c r="AW47" s="215"/>
      <c r="AX47" s="215">
        <v>6972651</v>
      </c>
      <c r="AY47" s="214">
        <f t="shared" si="38"/>
        <v>6972651</v>
      </c>
      <c r="AZ47" s="216">
        <v>972</v>
      </c>
      <c r="BA47" s="203">
        <f t="shared" si="39"/>
        <v>7744874.1700000009</v>
      </c>
      <c r="BB47" s="203">
        <f t="shared" si="40"/>
        <v>7967.9775411522642</v>
      </c>
      <c r="BC47" s="215">
        <v>7744874.1700000009</v>
      </c>
      <c r="BD47" s="215"/>
      <c r="BE47" s="215"/>
      <c r="BF47" s="215"/>
      <c r="BG47" s="215"/>
      <c r="BH47" s="215">
        <v>7727806</v>
      </c>
      <c r="BI47" s="214">
        <f t="shared" si="41"/>
        <v>7727806</v>
      </c>
      <c r="BJ47" s="216">
        <v>1068</v>
      </c>
      <c r="BK47" s="203">
        <f t="shared" si="42"/>
        <v>8196955.6299999999</v>
      </c>
      <c r="BL47" s="203">
        <f t="shared" si="43"/>
        <v>7675.0520880149816</v>
      </c>
      <c r="BM47" s="215">
        <v>8196955.6299999999</v>
      </c>
      <c r="BN47" s="215"/>
      <c r="BO47" s="215"/>
      <c r="BP47" s="215"/>
      <c r="BQ47" s="215"/>
      <c r="BR47" s="215">
        <v>8182945</v>
      </c>
      <c r="BS47" s="214">
        <f t="shared" si="44"/>
        <v>8182945</v>
      </c>
      <c r="BT47" s="226">
        <v>1219</v>
      </c>
      <c r="BU47" s="203">
        <f t="shared" si="45"/>
        <v>7772017</v>
      </c>
      <c r="BV47" s="203">
        <f t="shared" si="46"/>
        <v>6375.7317473338799</v>
      </c>
      <c r="BW47" s="225">
        <v>7772017</v>
      </c>
      <c r="BX47" s="225"/>
      <c r="BY47" s="225"/>
      <c r="BZ47" s="225"/>
      <c r="CA47" s="225"/>
      <c r="CB47" s="225">
        <f>+BW47</f>
        <v>7772017</v>
      </c>
      <c r="CC47" s="214">
        <f t="shared" si="47"/>
        <v>7772017</v>
      </c>
    </row>
    <row r="48" spans="1:81" s="213" customFormat="1" ht="15.95" customHeight="1" x14ac:dyDescent="0.2">
      <c r="A48" s="228" t="s">
        <v>212</v>
      </c>
      <c r="B48" s="217"/>
      <c r="C48" s="203">
        <f t="shared" si="24"/>
        <v>3143896</v>
      </c>
      <c r="D48" s="203">
        <f t="shared" si="25"/>
        <v>0</v>
      </c>
      <c r="E48" s="215">
        <v>3143896</v>
      </c>
      <c r="F48" s="215"/>
      <c r="G48" s="215"/>
      <c r="H48" s="215"/>
      <c r="I48" s="215"/>
      <c r="J48" s="215"/>
      <c r="K48" s="214">
        <f t="shared" si="26"/>
        <v>0</v>
      </c>
      <c r="L48" s="216">
        <v>573</v>
      </c>
      <c r="M48" s="203">
        <f t="shared" si="27"/>
        <v>3106533</v>
      </c>
      <c r="N48" s="203">
        <f t="shared" si="28"/>
        <v>5421.5235602094244</v>
      </c>
      <c r="O48" s="215">
        <v>3106533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4">
        <f t="shared" si="29"/>
        <v>0</v>
      </c>
      <c r="V48" s="216">
        <v>579</v>
      </c>
      <c r="W48" s="203">
        <f t="shared" si="30"/>
        <v>3355066</v>
      </c>
      <c r="X48" s="203">
        <f t="shared" si="31"/>
        <v>5794.5872193436962</v>
      </c>
      <c r="Y48" s="215">
        <v>3355066</v>
      </c>
      <c r="Z48" s="215"/>
      <c r="AA48" s="215"/>
      <c r="AB48" s="215"/>
      <c r="AC48" s="215"/>
      <c r="AD48" s="215">
        <v>0</v>
      </c>
      <c r="AE48" s="214">
        <f t="shared" si="32"/>
        <v>0</v>
      </c>
      <c r="AF48" s="216">
        <v>467</v>
      </c>
      <c r="AG48" s="203">
        <f t="shared" si="33"/>
        <v>3694073</v>
      </c>
      <c r="AH48" s="203">
        <f t="shared" si="34"/>
        <v>7910.220556745182</v>
      </c>
      <c r="AI48" s="215">
        <v>3694073</v>
      </c>
      <c r="AJ48" s="215"/>
      <c r="AK48" s="215"/>
      <c r="AL48" s="215"/>
      <c r="AM48" s="215"/>
      <c r="AN48" s="215">
        <v>0</v>
      </c>
      <c r="AO48" s="214">
        <f t="shared" si="35"/>
        <v>0</v>
      </c>
      <c r="AP48" s="216">
        <v>442</v>
      </c>
      <c r="AQ48" s="203">
        <f t="shared" si="36"/>
        <v>4094457</v>
      </c>
      <c r="AR48" s="203">
        <f t="shared" si="37"/>
        <v>9263.4773755656115</v>
      </c>
      <c r="AS48" s="215">
        <v>4094457</v>
      </c>
      <c r="AT48" s="215"/>
      <c r="AU48" s="215"/>
      <c r="AV48" s="215"/>
      <c r="AW48" s="215"/>
      <c r="AX48" s="215">
        <v>0</v>
      </c>
      <c r="AY48" s="214">
        <f t="shared" si="38"/>
        <v>0</v>
      </c>
      <c r="AZ48" s="216">
        <v>345</v>
      </c>
      <c r="BA48" s="203">
        <f t="shared" si="39"/>
        <v>3001888.29</v>
      </c>
      <c r="BB48" s="203">
        <f t="shared" si="40"/>
        <v>8701.1254782608703</v>
      </c>
      <c r="BC48" s="215">
        <v>3001888.29</v>
      </c>
      <c r="BD48" s="215"/>
      <c r="BE48" s="215"/>
      <c r="BF48" s="215"/>
      <c r="BG48" s="215"/>
      <c r="BH48" s="215">
        <v>35547</v>
      </c>
      <c r="BI48" s="214">
        <f t="shared" si="41"/>
        <v>35547</v>
      </c>
      <c r="BJ48" s="216">
        <v>731</v>
      </c>
      <c r="BK48" s="203">
        <f t="shared" si="42"/>
        <v>3870562.4</v>
      </c>
      <c r="BL48" s="203">
        <f t="shared" si="43"/>
        <v>5294.8870041039672</v>
      </c>
      <c r="BM48" s="215">
        <v>3870562.4</v>
      </c>
      <c r="BN48" s="215"/>
      <c r="BO48" s="215"/>
      <c r="BP48" s="215"/>
      <c r="BQ48" s="215"/>
      <c r="BR48" s="215"/>
      <c r="BS48" s="214">
        <f t="shared" si="44"/>
        <v>0</v>
      </c>
      <c r="BT48" s="226">
        <v>636</v>
      </c>
      <c r="BU48" s="203">
        <f t="shared" si="45"/>
        <v>3659539</v>
      </c>
      <c r="BV48" s="203">
        <f t="shared" si="46"/>
        <v>5753.9921383647797</v>
      </c>
      <c r="BW48" s="225">
        <v>3659539</v>
      </c>
      <c r="BX48" s="225"/>
      <c r="BY48" s="225"/>
      <c r="BZ48" s="225"/>
      <c r="CA48" s="225"/>
      <c r="CB48" s="225">
        <v>3595429</v>
      </c>
      <c r="CC48" s="214">
        <f t="shared" si="47"/>
        <v>3595429</v>
      </c>
    </row>
    <row r="49" spans="1:81" s="213" customFormat="1" ht="15.95" customHeight="1" x14ac:dyDescent="0.2">
      <c r="A49" s="228" t="s">
        <v>211</v>
      </c>
      <c r="B49" s="217"/>
      <c r="C49" s="203">
        <f t="shared" si="24"/>
        <v>0</v>
      </c>
      <c r="D49" s="203">
        <f t="shared" si="25"/>
        <v>0</v>
      </c>
      <c r="E49" s="215"/>
      <c r="F49" s="215"/>
      <c r="G49" s="215"/>
      <c r="H49" s="215"/>
      <c r="I49" s="215"/>
      <c r="J49" s="215"/>
      <c r="K49" s="214">
        <f t="shared" si="26"/>
        <v>0</v>
      </c>
      <c r="L49" s="216">
        <v>8</v>
      </c>
      <c r="M49" s="203">
        <f t="shared" si="27"/>
        <v>42352</v>
      </c>
      <c r="N49" s="203">
        <f t="shared" si="28"/>
        <v>5294</v>
      </c>
      <c r="O49" s="215">
        <v>42352</v>
      </c>
      <c r="P49" s="215"/>
      <c r="Q49" s="215"/>
      <c r="R49" s="215"/>
      <c r="S49" s="215"/>
      <c r="T49" s="215">
        <v>42352</v>
      </c>
      <c r="U49" s="214">
        <f t="shared" si="29"/>
        <v>42352</v>
      </c>
      <c r="V49" s="216">
        <v>9</v>
      </c>
      <c r="W49" s="203">
        <f t="shared" si="30"/>
        <v>54604</v>
      </c>
      <c r="X49" s="203">
        <f t="shared" si="31"/>
        <v>6067.1111111111113</v>
      </c>
      <c r="Y49" s="215">
        <v>54604</v>
      </c>
      <c r="Z49" s="215"/>
      <c r="AA49" s="215"/>
      <c r="AB49" s="215"/>
      <c r="AC49" s="215"/>
      <c r="AD49" s="215">
        <v>54604</v>
      </c>
      <c r="AE49" s="214">
        <f t="shared" si="32"/>
        <v>54604</v>
      </c>
      <c r="AF49" s="216">
        <v>9</v>
      </c>
      <c r="AG49" s="203">
        <f t="shared" si="33"/>
        <v>52080</v>
      </c>
      <c r="AH49" s="203">
        <f t="shared" si="34"/>
        <v>5786.666666666667</v>
      </c>
      <c r="AI49" s="215">
        <v>52080</v>
      </c>
      <c r="AJ49" s="215"/>
      <c r="AK49" s="215"/>
      <c r="AL49" s="215"/>
      <c r="AM49" s="215"/>
      <c r="AN49" s="215">
        <v>52080</v>
      </c>
      <c r="AO49" s="214">
        <f t="shared" si="35"/>
        <v>52080</v>
      </c>
      <c r="AP49" s="216">
        <v>1</v>
      </c>
      <c r="AQ49" s="203">
        <f t="shared" si="36"/>
        <v>65990</v>
      </c>
      <c r="AR49" s="203">
        <f t="shared" si="37"/>
        <v>65990</v>
      </c>
      <c r="AS49" s="215">
        <v>65990</v>
      </c>
      <c r="AT49" s="215"/>
      <c r="AU49" s="215"/>
      <c r="AV49" s="215"/>
      <c r="AW49" s="215"/>
      <c r="AX49" s="215">
        <v>65990</v>
      </c>
      <c r="AY49" s="214">
        <f t="shared" si="38"/>
        <v>65990</v>
      </c>
      <c r="AZ49" s="216">
        <v>10</v>
      </c>
      <c r="BA49" s="203">
        <f t="shared" si="39"/>
        <v>65512</v>
      </c>
      <c r="BB49" s="203">
        <f t="shared" si="40"/>
        <v>6551.2</v>
      </c>
      <c r="BC49" s="215">
        <v>65512</v>
      </c>
      <c r="BD49" s="215"/>
      <c r="BE49" s="215"/>
      <c r="BF49" s="215"/>
      <c r="BG49" s="215"/>
      <c r="BH49" s="215">
        <v>65512</v>
      </c>
      <c r="BI49" s="214">
        <f t="shared" si="41"/>
        <v>65512</v>
      </c>
      <c r="BJ49" s="216"/>
      <c r="BK49" s="203">
        <f t="shared" si="42"/>
        <v>0</v>
      </c>
      <c r="BL49" s="203">
        <f t="shared" si="43"/>
        <v>0</v>
      </c>
      <c r="BM49" s="215"/>
      <c r="BN49" s="215"/>
      <c r="BO49" s="215"/>
      <c r="BP49" s="215"/>
      <c r="BQ49" s="215"/>
      <c r="BR49" s="215">
        <v>163250</v>
      </c>
      <c r="BS49" s="214">
        <f t="shared" si="44"/>
        <v>0</v>
      </c>
      <c r="BT49" s="226"/>
      <c r="BU49" s="203">
        <f t="shared" si="45"/>
        <v>0</v>
      </c>
      <c r="BV49" s="203">
        <f t="shared" si="46"/>
        <v>0</v>
      </c>
      <c r="BW49" s="225"/>
      <c r="BX49" s="225"/>
      <c r="BY49" s="225"/>
      <c r="BZ49" s="225"/>
      <c r="CA49" s="225"/>
      <c r="CB49" s="225"/>
      <c r="CC49" s="214">
        <f t="shared" si="47"/>
        <v>0</v>
      </c>
    </row>
    <row r="50" spans="1:81" s="213" customFormat="1" ht="15.95" customHeight="1" x14ac:dyDescent="0.2">
      <c r="A50" s="228" t="s">
        <v>210</v>
      </c>
      <c r="B50" s="217"/>
      <c r="C50" s="203">
        <f t="shared" si="24"/>
        <v>0</v>
      </c>
      <c r="D50" s="203">
        <f t="shared" si="25"/>
        <v>0</v>
      </c>
      <c r="E50" s="215"/>
      <c r="F50" s="215"/>
      <c r="G50" s="215"/>
      <c r="H50" s="215"/>
      <c r="I50" s="215"/>
      <c r="J50" s="215"/>
      <c r="K50" s="214">
        <f t="shared" si="26"/>
        <v>0</v>
      </c>
      <c r="L50" s="216"/>
      <c r="M50" s="203">
        <f t="shared" si="27"/>
        <v>0</v>
      </c>
      <c r="N50" s="203">
        <f t="shared" si="28"/>
        <v>0</v>
      </c>
      <c r="O50" s="215"/>
      <c r="P50" s="215"/>
      <c r="Q50" s="215"/>
      <c r="R50" s="215"/>
      <c r="S50" s="215"/>
      <c r="T50" s="215"/>
      <c r="U50" s="214">
        <f t="shared" si="29"/>
        <v>0</v>
      </c>
      <c r="V50" s="216">
        <v>6</v>
      </c>
      <c r="W50" s="203">
        <f t="shared" si="30"/>
        <v>6000</v>
      </c>
      <c r="X50" s="203">
        <f t="shared" si="31"/>
        <v>1000</v>
      </c>
      <c r="Y50" s="215">
        <v>6000</v>
      </c>
      <c r="Z50" s="215"/>
      <c r="AA50" s="215"/>
      <c r="AB50" s="215"/>
      <c r="AC50" s="215"/>
      <c r="AD50" s="215">
        <v>4000</v>
      </c>
      <c r="AE50" s="214">
        <f t="shared" si="32"/>
        <v>4000</v>
      </c>
      <c r="AF50" s="216">
        <v>6</v>
      </c>
      <c r="AG50" s="203">
        <f t="shared" si="33"/>
        <v>5000</v>
      </c>
      <c r="AH50" s="203">
        <f t="shared" si="34"/>
        <v>833.33333333333337</v>
      </c>
      <c r="AI50" s="215">
        <v>5000</v>
      </c>
      <c r="AJ50" s="215"/>
      <c r="AK50" s="215"/>
      <c r="AL50" s="215"/>
      <c r="AM50" s="215"/>
      <c r="AN50" s="215">
        <v>5000</v>
      </c>
      <c r="AO50" s="214">
        <f t="shared" si="35"/>
        <v>5000</v>
      </c>
      <c r="AP50" s="216">
        <v>7</v>
      </c>
      <c r="AQ50" s="203">
        <f t="shared" si="36"/>
        <v>6000</v>
      </c>
      <c r="AR50" s="203">
        <f t="shared" si="37"/>
        <v>857.14285714285711</v>
      </c>
      <c r="AS50" s="215">
        <v>6000</v>
      </c>
      <c r="AT50" s="215"/>
      <c r="AU50" s="215"/>
      <c r="AV50" s="215"/>
      <c r="AW50" s="215"/>
      <c r="AX50" s="215">
        <v>6000</v>
      </c>
      <c r="AY50" s="214">
        <f t="shared" si="38"/>
        <v>6000</v>
      </c>
      <c r="AZ50" s="216">
        <v>9</v>
      </c>
      <c r="BA50" s="203">
        <f t="shared" si="39"/>
        <v>9000</v>
      </c>
      <c r="BB50" s="203">
        <f t="shared" si="40"/>
        <v>1000</v>
      </c>
      <c r="BC50" s="215">
        <v>9000</v>
      </c>
      <c r="BD50" s="215"/>
      <c r="BE50" s="215"/>
      <c r="BF50" s="215"/>
      <c r="BG50" s="215"/>
      <c r="BH50" s="215">
        <v>8000</v>
      </c>
      <c r="BI50" s="214">
        <f t="shared" si="41"/>
        <v>8000</v>
      </c>
      <c r="BJ50" s="216">
        <v>11</v>
      </c>
      <c r="BK50" s="203">
        <f t="shared" si="42"/>
        <v>10500</v>
      </c>
      <c r="BL50" s="203">
        <f t="shared" si="43"/>
        <v>954.5454545454545</v>
      </c>
      <c r="BM50" s="215">
        <v>10500</v>
      </c>
      <c r="BN50" s="215"/>
      <c r="BO50" s="215"/>
      <c r="BP50" s="215"/>
      <c r="BQ50" s="215"/>
      <c r="BR50" s="215">
        <v>7500</v>
      </c>
      <c r="BS50" s="214">
        <f t="shared" si="44"/>
        <v>7500</v>
      </c>
      <c r="BT50" s="226">
        <v>13</v>
      </c>
      <c r="BU50" s="203">
        <f t="shared" si="45"/>
        <v>12500</v>
      </c>
      <c r="BV50" s="203">
        <f t="shared" si="46"/>
        <v>961.53846153846155</v>
      </c>
      <c r="BW50" s="225">
        <v>12500</v>
      </c>
      <c r="BX50" s="225"/>
      <c r="BY50" s="225"/>
      <c r="BZ50" s="225"/>
      <c r="CA50" s="225"/>
      <c r="CB50" s="225">
        <v>7500</v>
      </c>
      <c r="CC50" s="214">
        <f t="shared" si="47"/>
        <v>7500</v>
      </c>
    </row>
    <row r="51" spans="1:81" s="213" customFormat="1" ht="15.95" customHeight="1" x14ac:dyDescent="0.2">
      <c r="A51" s="228" t="s">
        <v>209</v>
      </c>
      <c r="B51" s="217"/>
      <c r="C51" s="203">
        <f t="shared" si="24"/>
        <v>0</v>
      </c>
      <c r="D51" s="203">
        <f t="shared" si="25"/>
        <v>0</v>
      </c>
      <c r="E51" s="215"/>
      <c r="F51" s="215"/>
      <c r="G51" s="215"/>
      <c r="H51" s="215"/>
      <c r="I51" s="215"/>
      <c r="J51" s="215"/>
      <c r="K51" s="214">
        <f t="shared" si="26"/>
        <v>0</v>
      </c>
      <c r="L51" s="216"/>
      <c r="M51" s="203">
        <f t="shared" si="27"/>
        <v>0</v>
      </c>
      <c r="N51" s="203">
        <f t="shared" si="28"/>
        <v>0</v>
      </c>
      <c r="O51" s="215"/>
      <c r="P51" s="215"/>
      <c r="Q51" s="215"/>
      <c r="R51" s="215"/>
      <c r="S51" s="215"/>
      <c r="T51" s="215"/>
      <c r="U51" s="214">
        <f t="shared" si="29"/>
        <v>0</v>
      </c>
      <c r="V51" s="216"/>
      <c r="W51" s="203">
        <f t="shared" si="30"/>
        <v>0</v>
      </c>
      <c r="X51" s="203">
        <f t="shared" si="31"/>
        <v>0</v>
      </c>
      <c r="Y51" s="215"/>
      <c r="Z51" s="215"/>
      <c r="AA51" s="215"/>
      <c r="AB51" s="215"/>
      <c r="AC51" s="215"/>
      <c r="AD51" s="215"/>
      <c r="AE51" s="214">
        <f t="shared" si="32"/>
        <v>0</v>
      </c>
      <c r="AF51" s="216"/>
      <c r="AG51" s="203">
        <f t="shared" si="33"/>
        <v>0</v>
      </c>
      <c r="AH51" s="203">
        <f t="shared" si="34"/>
        <v>0</v>
      </c>
      <c r="AI51" s="215"/>
      <c r="AJ51" s="215"/>
      <c r="AK51" s="215"/>
      <c r="AL51" s="215"/>
      <c r="AM51" s="215"/>
      <c r="AN51" s="215"/>
      <c r="AO51" s="214">
        <f t="shared" si="35"/>
        <v>0</v>
      </c>
      <c r="AP51" s="216"/>
      <c r="AQ51" s="203">
        <f t="shared" si="36"/>
        <v>0</v>
      </c>
      <c r="AR51" s="203">
        <f t="shared" si="37"/>
        <v>0</v>
      </c>
      <c r="AS51" s="215"/>
      <c r="AT51" s="215"/>
      <c r="AU51" s="215"/>
      <c r="AV51" s="215"/>
      <c r="AW51" s="215"/>
      <c r="AX51" s="215"/>
      <c r="AY51" s="214">
        <f t="shared" si="38"/>
        <v>0</v>
      </c>
      <c r="AZ51" s="216">
        <v>66</v>
      </c>
      <c r="BA51" s="203">
        <f t="shared" si="39"/>
        <v>98250</v>
      </c>
      <c r="BB51" s="203">
        <f t="shared" si="40"/>
        <v>1488.6363636363637</v>
      </c>
      <c r="BC51" s="215">
        <v>98250</v>
      </c>
      <c r="BD51" s="215"/>
      <c r="BE51" s="215"/>
      <c r="BF51" s="215"/>
      <c r="BG51" s="215"/>
      <c r="BH51" s="215">
        <v>98250</v>
      </c>
      <c r="BI51" s="214">
        <f t="shared" si="41"/>
        <v>98250</v>
      </c>
      <c r="BJ51" s="216">
        <v>103</v>
      </c>
      <c r="BK51" s="203">
        <f t="shared" si="42"/>
        <v>163250</v>
      </c>
      <c r="BL51" s="203">
        <f t="shared" si="43"/>
        <v>1584.9514563106795</v>
      </c>
      <c r="BM51" s="215">
        <v>163250</v>
      </c>
      <c r="BN51" s="215"/>
      <c r="BO51" s="215"/>
      <c r="BP51" s="215"/>
      <c r="BQ51" s="215"/>
      <c r="BR51" s="215">
        <v>163250</v>
      </c>
      <c r="BS51" s="214">
        <f t="shared" si="44"/>
        <v>163250</v>
      </c>
      <c r="BT51" s="226"/>
      <c r="BU51" s="203">
        <f t="shared" si="45"/>
        <v>0</v>
      </c>
      <c r="BV51" s="203">
        <f t="shared" si="46"/>
        <v>0</v>
      </c>
      <c r="BW51" s="225"/>
      <c r="BX51" s="225"/>
      <c r="BY51" s="225"/>
      <c r="BZ51" s="225"/>
      <c r="CA51" s="225"/>
      <c r="CB51" s="225"/>
      <c r="CC51" s="214">
        <f t="shared" si="47"/>
        <v>0</v>
      </c>
    </row>
    <row r="52" spans="1:81" s="213" customFormat="1" ht="15.95" customHeight="1" x14ac:dyDescent="0.2">
      <c r="A52" s="228" t="s">
        <v>208</v>
      </c>
      <c r="B52" s="217"/>
      <c r="C52" s="203"/>
      <c r="D52" s="203"/>
      <c r="E52" s="215"/>
      <c r="F52" s="215"/>
      <c r="G52" s="215"/>
      <c r="H52" s="215"/>
      <c r="I52" s="215"/>
      <c r="J52" s="215"/>
      <c r="K52" s="214">
        <f t="shared" si="26"/>
        <v>0</v>
      </c>
      <c r="L52" s="216">
        <v>160</v>
      </c>
      <c r="M52" s="203"/>
      <c r="N52" s="203"/>
      <c r="O52" s="215">
        <v>152000</v>
      </c>
      <c r="P52" s="215"/>
      <c r="Q52" s="215"/>
      <c r="R52" s="215"/>
      <c r="S52" s="215"/>
      <c r="T52" s="215">
        <v>152000</v>
      </c>
      <c r="U52" s="214">
        <f t="shared" si="29"/>
        <v>152000</v>
      </c>
      <c r="V52" s="216"/>
      <c r="W52" s="203">
        <f t="shared" si="30"/>
        <v>0</v>
      </c>
      <c r="X52" s="203">
        <f t="shared" si="31"/>
        <v>0</v>
      </c>
      <c r="Y52" s="215"/>
      <c r="Z52" s="215"/>
      <c r="AA52" s="215"/>
      <c r="AB52" s="215"/>
      <c r="AC52" s="215"/>
      <c r="AD52" s="215"/>
      <c r="AE52" s="214">
        <f t="shared" si="32"/>
        <v>0</v>
      </c>
      <c r="AF52" s="216"/>
      <c r="AG52" s="203">
        <f t="shared" si="33"/>
        <v>0</v>
      </c>
      <c r="AH52" s="203">
        <f t="shared" si="34"/>
        <v>0</v>
      </c>
      <c r="AI52" s="215"/>
      <c r="AJ52" s="215"/>
      <c r="AK52" s="215"/>
      <c r="AL52" s="215"/>
      <c r="AM52" s="215"/>
      <c r="AN52" s="215"/>
      <c r="AO52" s="214">
        <f t="shared" si="35"/>
        <v>0</v>
      </c>
      <c r="AP52" s="216"/>
      <c r="AQ52" s="203">
        <f t="shared" si="36"/>
        <v>0</v>
      </c>
      <c r="AR52" s="203">
        <f t="shared" si="37"/>
        <v>0</v>
      </c>
      <c r="AS52" s="215"/>
      <c r="AT52" s="215"/>
      <c r="AU52" s="215"/>
      <c r="AV52" s="215"/>
      <c r="AW52" s="215"/>
      <c r="AX52" s="215"/>
      <c r="AY52" s="214">
        <f t="shared" si="38"/>
        <v>0</v>
      </c>
      <c r="AZ52" s="216">
        <v>160</v>
      </c>
      <c r="BA52" s="203">
        <f t="shared" si="39"/>
        <v>152000</v>
      </c>
      <c r="BB52" s="203">
        <f t="shared" si="40"/>
        <v>950</v>
      </c>
      <c r="BC52" s="215">
        <v>152000</v>
      </c>
      <c r="BD52" s="215"/>
      <c r="BE52" s="215"/>
      <c r="BF52" s="215"/>
      <c r="BG52" s="215"/>
      <c r="BH52" s="215">
        <v>152000</v>
      </c>
      <c r="BI52" s="214">
        <f t="shared" si="41"/>
        <v>152000</v>
      </c>
      <c r="BJ52" s="216">
        <v>182</v>
      </c>
      <c r="BK52" s="203">
        <f t="shared" si="42"/>
        <v>259500</v>
      </c>
      <c r="BL52" s="203">
        <f t="shared" si="43"/>
        <v>1425.8241758241759</v>
      </c>
      <c r="BM52" s="215">
        <v>259500</v>
      </c>
      <c r="BN52" s="215"/>
      <c r="BO52" s="215"/>
      <c r="BP52" s="215"/>
      <c r="BQ52" s="215"/>
      <c r="BR52" s="215">
        <v>259500</v>
      </c>
      <c r="BS52" s="214">
        <f t="shared" si="44"/>
        <v>259500</v>
      </c>
      <c r="BT52" s="226">
        <v>217</v>
      </c>
      <c r="BU52" s="203">
        <f t="shared" si="45"/>
        <v>347302</v>
      </c>
      <c r="BV52" s="203">
        <f t="shared" si="46"/>
        <v>1600.4700460829492</v>
      </c>
      <c r="BW52" s="225">
        <v>347302</v>
      </c>
      <c r="BX52" s="225"/>
      <c r="BY52" s="225"/>
      <c r="BZ52" s="225"/>
      <c r="CA52" s="225"/>
      <c r="CB52" s="225">
        <f>+BW52</f>
        <v>347302</v>
      </c>
      <c r="CC52" s="214">
        <f t="shared" si="47"/>
        <v>347302</v>
      </c>
    </row>
    <row r="53" spans="1:81" s="213" customFormat="1" ht="15.95" customHeight="1" x14ac:dyDescent="0.2">
      <c r="A53" s="228" t="s">
        <v>207</v>
      </c>
      <c r="B53" s="217"/>
      <c r="C53" s="203"/>
      <c r="D53" s="203"/>
      <c r="E53" s="215"/>
      <c r="F53" s="215"/>
      <c r="G53" s="215"/>
      <c r="H53" s="215"/>
      <c r="I53" s="215"/>
      <c r="J53" s="215"/>
      <c r="K53" s="214">
        <f t="shared" si="26"/>
        <v>0</v>
      </c>
      <c r="L53" s="216">
        <v>160</v>
      </c>
      <c r="M53" s="203"/>
      <c r="N53" s="203"/>
      <c r="O53" s="215">
        <v>152000</v>
      </c>
      <c r="P53" s="215"/>
      <c r="Q53" s="215"/>
      <c r="R53" s="215"/>
      <c r="S53" s="215"/>
      <c r="T53" s="215">
        <v>152000</v>
      </c>
      <c r="U53" s="214">
        <f t="shared" si="29"/>
        <v>152000</v>
      </c>
      <c r="V53" s="216"/>
      <c r="W53" s="203">
        <f t="shared" si="30"/>
        <v>0</v>
      </c>
      <c r="X53" s="203">
        <f t="shared" si="31"/>
        <v>0</v>
      </c>
      <c r="Y53" s="215"/>
      <c r="Z53" s="215"/>
      <c r="AA53" s="215"/>
      <c r="AB53" s="215"/>
      <c r="AC53" s="215"/>
      <c r="AD53" s="215"/>
      <c r="AE53" s="214">
        <f t="shared" si="32"/>
        <v>0</v>
      </c>
      <c r="AF53" s="216"/>
      <c r="AG53" s="203">
        <f t="shared" si="33"/>
        <v>0</v>
      </c>
      <c r="AH53" s="203">
        <f t="shared" si="34"/>
        <v>0</v>
      </c>
      <c r="AI53" s="215"/>
      <c r="AJ53" s="215"/>
      <c r="AK53" s="215"/>
      <c r="AL53" s="215"/>
      <c r="AM53" s="215"/>
      <c r="AN53" s="215"/>
      <c r="AO53" s="214">
        <f t="shared" si="35"/>
        <v>0</v>
      </c>
      <c r="AP53" s="216"/>
      <c r="AQ53" s="203">
        <f t="shared" si="36"/>
        <v>0</v>
      </c>
      <c r="AR53" s="203">
        <f t="shared" si="37"/>
        <v>0</v>
      </c>
      <c r="AS53" s="215"/>
      <c r="AT53" s="215"/>
      <c r="AU53" s="215"/>
      <c r="AV53" s="215"/>
      <c r="AW53" s="215"/>
      <c r="AX53" s="215"/>
      <c r="AY53" s="214">
        <f t="shared" si="38"/>
        <v>0</v>
      </c>
      <c r="AZ53" s="216">
        <v>2</v>
      </c>
      <c r="BA53" s="203">
        <f t="shared" si="39"/>
        <v>30000</v>
      </c>
      <c r="BB53" s="203">
        <f t="shared" si="40"/>
        <v>15000</v>
      </c>
      <c r="BC53" s="215">
        <v>30000</v>
      </c>
      <c r="BD53" s="215"/>
      <c r="BE53" s="215"/>
      <c r="BF53" s="215"/>
      <c r="BG53" s="215"/>
      <c r="BH53" s="215"/>
      <c r="BI53" s="214">
        <f t="shared" si="41"/>
        <v>0</v>
      </c>
      <c r="BJ53" s="216">
        <v>9</v>
      </c>
      <c r="BK53" s="203">
        <f t="shared" si="42"/>
        <v>135000</v>
      </c>
      <c r="BL53" s="203">
        <f t="shared" si="43"/>
        <v>15000</v>
      </c>
      <c r="BM53" s="215">
        <v>135000</v>
      </c>
      <c r="BN53" s="215"/>
      <c r="BO53" s="215"/>
      <c r="BP53" s="215"/>
      <c r="BQ53" s="215"/>
      <c r="BR53" s="215">
        <v>0</v>
      </c>
      <c r="BS53" s="214">
        <f t="shared" si="44"/>
        <v>0</v>
      </c>
      <c r="BT53" s="226">
        <v>10</v>
      </c>
      <c r="BU53" s="203">
        <f t="shared" si="45"/>
        <v>142500</v>
      </c>
      <c r="BV53" s="203">
        <f t="shared" si="46"/>
        <v>14250</v>
      </c>
      <c r="BW53" s="225">
        <v>142500</v>
      </c>
      <c r="BX53" s="225"/>
      <c r="BY53" s="225"/>
      <c r="BZ53" s="225"/>
      <c r="CA53" s="225"/>
      <c r="CB53" s="225">
        <v>0</v>
      </c>
      <c r="CC53" s="214">
        <f t="shared" si="47"/>
        <v>0</v>
      </c>
    </row>
    <row r="54" spans="1:81" ht="15.95" customHeight="1" x14ac:dyDescent="0.2">
      <c r="A54" s="232" t="s">
        <v>206</v>
      </c>
      <c r="B54" s="223"/>
      <c r="C54" s="221"/>
      <c r="D54" s="221"/>
      <c r="E54" s="220"/>
      <c r="F54" s="220"/>
      <c r="G54" s="220"/>
      <c r="H54" s="220"/>
      <c r="I54" s="220"/>
      <c r="J54" s="220"/>
      <c r="K54" s="214"/>
      <c r="L54" s="222"/>
      <c r="M54" s="221"/>
      <c r="N54" s="221"/>
      <c r="O54" s="220"/>
      <c r="P54" s="220"/>
      <c r="Q54" s="220"/>
      <c r="R54" s="220"/>
      <c r="S54" s="220"/>
      <c r="T54" s="220"/>
      <c r="U54" s="214"/>
      <c r="V54" s="222"/>
      <c r="W54" s="221"/>
      <c r="X54" s="221"/>
      <c r="Y54" s="220"/>
      <c r="Z54" s="220"/>
      <c r="AA54" s="220"/>
      <c r="AB54" s="220"/>
      <c r="AC54" s="220"/>
      <c r="AD54" s="220"/>
      <c r="AE54" s="214"/>
      <c r="AF54" s="216"/>
      <c r="AG54" s="203"/>
      <c r="AH54" s="203"/>
      <c r="AI54" s="215"/>
      <c r="AJ54" s="215"/>
      <c r="AK54" s="215"/>
      <c r="AL54" s="215"/>
      <c r="AM54" s="215"/>
      <c r="AN54" s="215"/>
      <c r="AO54" s="214"/>
      <c r="AP54" s="216"/>
      <c r="AQ54" s="203"/>
      <c r="AR54" s="203"/>
      <c r="AS54" s="215"/>
      <c r="AT54" s="215"/>
      <c r="AU54" s="215"/>
      <c r="AV54" s="215"/>
      <c r="AW54" s="215"/>
      <c r="AX54" s="215"/>
      <c r="AY54" s="214"/>
      <c r="AZ54" s="226"/>
      <c r="BA54" s="203"/>
      <c r="BB54" s="203"/>
      <c r="BC54" s="225"/>
      <c r="BD54" s="225"/>
      <c r="BE54" s="225"/>
      <c r="BF54" s="225"/>
      <c r="BG54" s="225"/>
      <c r="BH54" s="225"/>
      <c r="BI54" s="214"/>
      <c r="BJ54" s="226"/>
      <c r="BK54" s="203">
        <f t="shared" si="42"/>
        <v>0</v>
      </c>
      <c r="BL54" s="203">
        <f t="shared" si="43"/>
        <v>0</v>
      </c>
      <c r="BM54" s="231"/>
      <c r="BN54" s="225"/>
      <c r="BO54" s="225"/>
      <c r="BP54" s="225"/>
      <c r="BQ54" s="225"/>
      <c r="BR54" s="225"/>
      <c r="BS54" s="214">
        <f>IF(BR54=0,0,(IF(BM128&lt;=BR54,BM128,BR54)))</f>
        <v>0</v>
      </c>
      <c r="BT54" s="226">
        <v>181</v>
      </c>
      <c r="BU54" s="203">
        <f t="shared" si="45"/>
        <v>2053615</v>
      </c>
      <c r="BV54" s="203">
        <f t="shared" si="46"/>
        <v>11345.939226519336</v>
      </c>
      <c r="BW54" s="225"/>
      <c r="BX54" s="225"/>
      <c r="BY54" s="225">
        <v>2053615</v>
      </c>
      <c r="BZ54" s="225"/>
      <c r="CA54" s="225"/>
      <c r="CB54" s="225">
        <v>2053614</v>
      </c>
      <c r="CC54" s="214">
        <f t="shared" si="47"/>
        <v>0</v>
      </c>
    </row>
    <row r="55" spans="1:81" ht="15.95" customHeight="1" x14ac:dyDescent="0.2">
      <c r="A55" s="227"/>
      <c r="B55" s="223"/>
      <c r="C55" s="221"/>
      <c r="D55" s="221"/>
      <c r="E55" s="220"/>
      <c r="F55" s="220"/>
      <c r="G55" s="220"/>
      <c r="H55" s="220"/>
      <c r="I55" s="220"/>
      <c r="J55" s="220"/>
      <c r="K55" s="214"/>
      <c r="L55" s="222"/>
      <c r="M55" s="221"/>
      <c r="N55" s="221"/>
      <c r="O55" s="220"/>
      <c r="P55" s="220"/>
      <c r="Q55" s="220"/>
      <c r="R55" s="220"/>
      <c r="S55" s="220"/>
      <c r="T55" s="220"/>
      <c r="U55" s="214"/>
      <c r="V55" s="222"/>
      <c r="W55" s="221"/>
      <c r="X55" s="221"/>
      <c r="Y55" s="220"/>
      <c r="Z55" s="220"/>
      <c r="AA55" s="220"/>
      <c r="AB55" s="220"/>
      <c r="AC55" s="220"/>
      <c r="AD55" s="220"/>
      <c r="AE55" s="214"/>
      <c r="AF55" s="216"/>
      <c r="AG55" s="203"/>
      <c r="AH55" s="203"/>
      <c r="AI55" s="215"/>
      <c r="AJ55" s="215"/>
      <c r="AK55" s="215"/>
      <c r="AL55" s="215"/>
      <c r="AM55" s="215"/>
      <c r="AN55" s="215"/>
      <c r="AO55" s="214"/>
      <c r="AP55" s="216"/>
      <c r="AQ55" s="203"/>
      <c r="AR55" s="203"/>
      <c r="AS55" s="215"/>
      <c r="AT55" s="215"/>
      <c r="AU55" s="215"/>
      <c r="AV55" s="215"/>
      <c r="AW55" s="215"/>
      <c r="AX55" s="215"/>
      <c r="AY55" s="214"/>
      <c r="AZ55" s="216"/>
      <c r="BA55" s="203"/>
      <c r="BB55" s="203"/>
      <c r="BC55" s="215"/>
      <c r="BD55" s="215"/>
      <c r="BE55" s="215"/>
      <c r="BF55" s="215"/>
      <c r="BG55" s="215"/>
      <c r="BH55" s="215"/>
      <c r="BI55" s="214"/>
      <c r="BJ55" s="216"/>
      <c r="BK55" s="203">
        <f t="shared" si="42"/>
        <v>0</v>
      </c>
      <c r="BL55" s="203">
        <f t="shared" si="43"/>
        <v>0</v>
      </c>
      <c r="BM55" s="215"/>
      <c r="BN55" s="215"/>
      <c r="BO55" s="215"/>
      <c r="BP55" s="215"/>
      <c r="BQ55" s="215"/>
      <c r="BR55" s="215"/>
      <c r="BS55" s="214">
        <f>IF(BR55=0,0,(IF(BM55&lt;=BR55,BM55,BR55)))</f>
        <v>0</v>
      </c>
      <c r="BT55" s="226"/>
      <c r="BU55" s="203">
        <f t="shared" si="45"/>
        <v>0</v>
      </c>
      <c r="BV55" s="203">
        <f t="shared" si="46"/>
        <v>0</v>
      </c>
      <c r="BW55" s="225"/>
      <c r="BX55" s="225"/>
      <c r="BY55" s="225"/>
      <c r="BZ55" s="225"/>
      <c r="CA55" s="225"/>
      <c r="CB55" s="225"/>
      <c r="CC55" s="214">
        <f t="shared" si="47"/>
        <v>0</v>
      </c>
    </row>
    <row r="56" spans="1:81" ht="15.95" customHeight="1" x14ac:dyDescent="0.2">
      <c r="A56" s="227"/>
      <c r="B56" s="223"/>
      <c r="C56" s="221"/>
      <c r="D56" s="221"/>
      <c r="E56" s="220"/>
      <c r="F56" s="220"/>
      <c r="G56" s="220"/>
      <c r="H56" s="220"/>
      <c r="I56" s="220"/>
      <c r="J56" s="220"/>
      <c r="K56" s="214"/>
      <c r="L56" s="222"/>
      <c r="M56" s="221"/>
      <c r="N56" s="221"/>
      <c r="O56" s="220"/>
      <c r="P56" s="220"/>
      <c r="Q56" s="220"/>
      <c r="R56" s="220"/>
      <c r="S56" s="220"/>
      <c r="T56" s="220"/>
      <c r="U56" s="214"/>
      <c r="V56" s="222"/>
      <c r="W56" s="221"/>
      <c r="X56" s="221"/>
      <c r="Y56" s="220"/>
      <c r="Z56" s="220"/>
      <c r="AA56" s="220"/>
      <c r="AB56" s="220"/>
      <c r="AC56" s="220"/>
      <c r="AD56" s="220"/>
      <c r="AE56" s="214"/>
      <c r="AF56" s="216"/>
      <c r="AG56" s="203"/>
      <c r="AH56" s="203"/>
      <c r="AI56" s="215"/>
      <c r="AJ56" s="215"/>
      <c r="AK56" s="215"/>
      <c r="AL56" s="215"/>
      <c r="AM56" s="215"/>
      <c r="AN56" s="215"/>
      <c r="AO56" s="214"/>
      <c r="AP56" s="216"/>
      <c r="AQ56" s="203"/>
      <c r="AR56" s="203"/>
      <c r="AS56" s="215"/>
      <c r="AT56" s="215"/>
      <c r="AU56" s="215"/>
      <c r="AV56" s="215"/>
      <c r="AW56" s="215"/>
      <c r="AX56" s="215"/>
      <c r="AY56" s="214"/>
      <c r="AZ56" s="216"/>
      <c r="BA56" s="203"/>
      <c r="BB56" s="203"/>
      <c r="BC56" s="215"/>
      <c r="BD56" s="215"/>
      <c r="BE56" s="215"/>
      <c r="BF56" s="215"/>
      <c r="BG56" s="215"/>
      <c r="BH56" s="215"/>
      <c r="BI56" s="214"/>
      <c r="BJ56" s="216"/>
      <c r="BK56" s="203">
        <f t="shared" si="42"/>
        <v>0</v>
      </c>
      <c r="BL56" s="203">
        <f t="shared" si="43"/>
        <v>0</v>
      </c>
      <c r="BM56" s="215"/>
      <c r="BN56" s="215"/>
      <c r="BO56" s="215"/>
      <c r="BP56" s="215"/>
      <c r="BQ56" s="215"/>
      <c r="BR56" s="215"/>
      <c r="BS56" s="214">
        <f>IF(BR56=0,0,(IF(BM56&lt;=BR56,BM56,BR56)))</f>
        <v>0</v>
      </c>
      <c r="BT56" s="226"/>
      <c r="BU56" s="203">
        <f t="shared" si="45"/>
        <v>0</v>
      </c>
      <c r="BV56" s="203">
        <f t="shared" si="46"/>
        <v>0</v>
      </c>
      <c r="BW56" s="225"/>
      <c r="BX56" s="225"/>
      <c r="BY56" s="225"/>
      <c r="BZ56" s="225"/>
      <c r="CA56" s="225"/>
      <c r="CB56" s="225"/>
      <c r="CC56" s="214">
        <f t="shared" si="47"/>
        <v>0</v>
      </c>
    </row>
    <row r="57" spans="1:81" ht="15.95" customHeight="1" x14ac:dyDescent="0.2">
      <c r="A57" s="227"/>
      <c r="B57" s="223"/>
      <c r="C57" s="221"/>
      <c r="D57" s="221"/>
      <c r="E57" s="220"/>
      <c r="F57" s="220"/>
      <c r="G57" s="220"/>
      <c r="H57" s="220"/>
      <c r="I57" s="220"/>
      <c r="J57" s="220"/>
      <c r="K57" s="214"/>
      <c r="L57" s="222"/>
      <c r="M57" s="221"/>
      <c r="N57" s="221"/>
      <c r="O57" s="220"/>
      <c r="P57" s="220"/>
      <c r="Q57" s="220"/>
      <c r="R57" s="220"/>
      <c r="S57" s="220"/>
      <c r="T57" s="220"/>
      <c r="U57" s="214"/>
      <c r="V57" s="222"/>
      <c r="W57" s="221"/>
      <c r="X57" s="221"/>
      <c r="Y57" s="220"/>
      <c r="Z57" s="220"/>
      <c r="AA57" s="220"/>
      <c r="AB57" s="220"/>
      <c r="AC57" s="220"/>
      <c r="AD57" s="220"/>
      <c r="AE57" s="214"/>
      <c r="AF57" s="216"/>
      <c r="AG57" s="203"/>
      <c r="AH57" s="203"/>
      <c r="AI57" s="215"/>
      <c r="AJ57" s="215"/>
      <c r="AK57" s="215"/>
      <c r="AL57" s="215"/>
      <c r="AM57" s="215"/>
      <c r="AN57" s="215"/>
      <c r="AO57" s="214"/>
      <c r="AP57" s="216"/>
      <c r="AQ57" s="203"/>
      <c r="AR57" s="203"/>
      <c r="AS57" s="215"/>
      <c r="AT57" s="215"/>
      <c r="AU57" s="215"/>
      <c r="AV57" s="215"/>
      <c r="AW57" s="215"/>
      <c r="AX57" s="215"/>
      <c r="AY57" s="214"/>
      <c r="AZ57" s="216"/>
      <c r="BA57" s="203"/>
      <c r="BB57" s="203"/>
      <c r="BC57" s="215"/>
      <c r="BD57" s="215"/>
      <c r="BE57" s="215"/>
      <c r="BF57" s="215"/>
      <c r="BG57" s="215"/>
      <c r="BH57" s="215"/>
      <c r="BI57" s="214"/>
      <c r="BJ57" s="216"/>
      <c r="BK57" s="203">
        <f t="shared" si="42"/>
        <v>0</v>
      </c>
      <c r="BL57" s="203">
        <f t="shared" si="43"/>
        <v>0</v>
      </c>
      <c r="BM57" s="215"/>
      <c r="BN57" s="215"/>
      <c r="BO57" s="215"/>
      <c r="BP57" s="215"/>
      <c r="BQ57" s="215"/>
      <c r="BR57" s="215"/>
      <c r="BS57" s="214">
        <f>IF(BR57=0,0,(IF(BM57&lt;=BR57,BM57,BR57)))</f>
        <v>0</v>
      </c>
      <c r="BT57" s="226"/>
      <c r="BU57" s="203">
        <f t="shared" si="45"/>
        <v>0</v>
      </c>
      <c r="BV57" s="203">
        <f t="shared" si="46"/>
        <v>0</v>
      </c>
      <c r="BW57" s="225"/>
      <c r="BX57" s="225"/>
      <c r="BY57" s="225"/>
      <c r="BZ57" s="225"/>
      <c r="CA57" s="225"/>
      <c r="CB57" s="225"/>
      <c r="CC57" s="214">
        <f t="shared" si="47"/>
        <v>0</v>
      </c>
    </row>
    <row r="58" spans="1:81" ht="15.95" customHeight="1" x14ac:dyDescent="0.2">
      <c r="A58" s="227"/>
      <c r="B58" s="223"/>
      <c r="C58" s="221"/>
      <c r="D58" s="221"/>
      <c r="E58" s="220"/>
      <c r="F58" s="220"/>
      <c r="G58" s="220"/>
      <c r="H58" s="220"/>
      <c r="I58" s="220"/>
      <c r="J58" s="220"/>
      <c r="K58" s="214"/>
      <c r="L58" s="222"/>
      <c r="M58" s="221"/>
      <c r="N58" s="221"/>
      <c r="O58" s="220"/>
      <c r="P58" s="220"/>
      <c r="Q58" s="220"/>
      <c r="R58" s="220"/>
      <c r="S58" s="220"/>
      <c r="T58" s="220"/>
      <c r="U58" s="214"/>
      <c r="V58" s="222"/>
      <c r="W58" s="221"/>
      <c r="X58" s="221"/>
      <c r="Y58" s="220"/>
      <c r="Z58" s="220"/>
      <c r="AA58" s="220"/>
      <c r="AB58" s="220"/>
      <c r="AC58" s="220"/>
      <c r="AD58" s="220"/>
      <c r="AE58" s="214"/>
      <c r="AF58" s="216"/>
      <c r="AG58" s="203"/>
      <c r="AH58" s="203"/>
      <c r="AI58" s="215"/>
      <c r="AJ58" s="215"/>
      <c r="AK58" s="215"/>
      <c r="AL58" s="215"/>
      <c r="AM58" s="215"/>
      <c r="AN58" s="215"/>
      <c r="AO58" s="214"/>
      <c r="AP58" s="216"/>
      <c r="AQ58" s="203"/>
      <c r="AR58" s="203"/>
      <c r="AS58" s="215"/>
      <c r="AT58" s="215"/>
      <c r="AU58" s="215"/>
      <c r="AV58" s="215"/>
      <c r="AW58" s="215"/>
      <c r="AX58" s="215"/>
      <c r="AY58" s="214"/>
      <c r="AZ58" s="216"/>
      <c r="BA58" s="203"/>
      <c r="BB58" s="203"/>
      <c r="BC58" s="215"/>
      <c r="BD58" s="215"/>
      <c r="BE58" s="215"/>
      <c r="BF58" s="215"/>
      <c r="BG58" s="215"/>
      <c r="BH58" s="215"/>
      <c r="BI58" s="214"/>
      <c r="BJ58" s="216"/>
      <c r="BK58" s="203">
        <f t="shared" si="42"/>
        <v>0</v>
      </c>
      <c r="BL58" s="203">
        <f t="shared" si="43"/>
        <v>0</v>
      </c>
      <c r="BM58" s="215"/>
      <c r="BN58" s="215"/>
      <c r="BO58" s="215"/>
      <c r="BP58" s="215"/>
      <c r="BQ58" s="215"/>
      <c r="BR58" s="215"/>
      <c r="BS58" s="214">
        <f>IF(BR58=0,0,(IF(BM58&lt;=BR58,BM58,BR58)))</f>
        <v>0</v>
      </c>
      <c r="BT58" s="226"/>
      <c r="BU58" s="203">
        <f t="shared" si="45"/>
        <v>0</v>
      </c>
      <c r="BV58" s="203">
        <f t="shared" si="46"/>
        <v>0</v>
      </c>
      <c r="BW58" s="225"/>
      <c r="BX58" s="225"/>
      <c r="BY58" s="225"/>
      <c r="BZ58" s="225"/>
      <c r="CA58" s="225"/>
      <c r="CB58" s="225"/>
      <c r="CC58" s="214">
        <f t="shared" si="47"/>
        <v>0</v>
      </c>
    </row>
    <row r="59" spans="1:81" ht="15.95" customHeight="1" x14ac:dyDescent="0.2">
      <c r="A59" s="227"/>
      <c r="B59" s="223"/>
      <c r="C59" s="221"/>
      <c r="D59" s="221"/>
      <c r="E59" s="220"/>
      <c r="F59" s="220"/>
      <c r="G59" s="220"/>
      <c r="H59" s="220"/>
      <c r="I59" s="220"/>
      <c r="J59" s="220"/>
      <c r="K59" s="214"/>
      <c r="L59" s="222"/>
      <c r="M59" s="221"/>
      <c r="N59" s="221"/>
      <c r="O59" s="220"/>
      <c r="P59" s="220"/>
      <c r="Q59" s="220"/>
      <c r="R59" s="220"/>
      <c r="S59" s="220"/>
      <c r="T59" s="220"/>
      <c r="U59" s="214"/>
      <c r="V59" s="222"/>
      <c r="W59" s="221"/>
      <c r="X59" s="221"/>
      <c r="Y59" s="220"/>
      <c r="Z59" s="220"/>
      <c r="AA59" s="220"/>
      <c r="AB59" s="220"/>
      <c r="AC59" s="220"/>
      <c r="AD59" s="220"/>
      <c r="AE59" s="214"/>
      <c r="AF59" s="216"/>
      <c r="AG59" s="203"/>
      <c r="AH59" s="203"/>
      <c r="AI59" s="215"/>
      <c r="AJ59" s="215"/>
      <c r="AK59" s="215"/>
      <c r="AL59" s="215"/>
      <c r="AM59" s="215"/>
      <c r="AN59" s="215"/>
      <c r="AO59" s="214"/>
      <c r="AP59" s="216"/>
      <c r="AQ59" s="203"/>
      <c r="AR59" s="203"/>
      <c r="AS59" s="215"/>
      <c r="AT59" s="215"/>
      <c r="AU59" s="215"/>
      <c r="AV59" s="215"/>
      <c r="AW59" s="215"/>
      <c r="AX59" s="215"/>
      <c r="AY59" s="214"/>
      <c r="AZ59" s="216"/>
      <c r="BA59" s="203"/>
      <c r="BB59" s="203"/>
      <c r="BC59" s="215"/>
      <c r="BD59" s="215"/>
      <c r="BE59" s="215"/>
      <c r="BF59" s="215"/>
      <c r="BG59" s="215"/>
      <c r="BH59" s="215"/>
      <c r="BI59" s="214"/>
      <c r="BJ59" s="216"/>
      <c r="BK59" s="203">
        <f t="shared" si="42"/>
        <v>0</v>
      </c>
      <c r="BL59" s="203">
        <f t="shared" si="43"/>
        <v>0</v>
      </c>
      <c r="BM59" s="215"/>
      <c r="BN59" s="215"/>
      <c r="BO59" s="215"/>
      <c r="BP59" s="215"/>
      <c r="BQ59" s="215"/>
      <c r="BR59" s="215"/>
      <c r="BS59" s="214">
        <f>IF(BR59=0,0,(IF(BM59&lt;=BR59,BM59,BR59)))</f>
        <v>0</v>
      </c>
      <c r="BT59" s="226"/>
      <c r="BU59" s="203">
        <f t="shared" si="45"/>
        <v>0</v>
      </c>
      <c r="BV59" s="203">
        <f t="shared" si="46"/>
        <v>0</v>
      </c>
      <c r="BW59" s="225"/>
      <c r="BX59" s="225"/>
      <c r="BY59" s="225"/>
      <c r="BZ59" s="225"/>
      <c r="CA59" s="225"/>
      <c r="CB59" s="225"/>
      <c r="CC59" s="214">
        <f t="shared" si="47"/>
        <v>0</v>
      </c>
    </row>
    <row r="60" spans="1:81" ht="15.95" customHeight="1" x14ac:dyDescent="0.2">
      <c r="A60" s="224" t="s">
        <v>163</v>
      </c>
      <c r="B60" s="223"/>
      <c r="C60" s="221"/>
      <c r="D60" s="221"/>
      <c r="E60" s="220"/>
      <c r="F60" s="220"/>
      <c r="G60" s="220"/>
      <c r="H60" s="220"/>
      <c r="I60" s="220"/>
      <c r="J60" s="220"/>
      <c r="K60" s="214"/>
      <c r="L60" s="222"/>
      <c r="M60" s="221"/>
      <c r="N60" s="221"/>
      <c r="O60" s="220"/>
      <c r="P60" s="220"/>
      <c r="Q60" s="220"/>
      <c r="R60" s="220"/>
      <c r="S60" s="220"/>
      <c r="T60" s="220"/>
      <c r="U60" s="214"/>
      <c r="V60" s="222"/>
      <c r="W60" s="221"/>
      <c r="X60" s="221"/>
      <c r="Y60" s="220"/>
      <c r="Z60" s="220"/>
      <c r="AA60" s="220"/>
      <c r="AB60" s="220"/>
      <c r="AC60" s="220"/>
      <c r="AD60" s="220"/>
      <c r="AE60" s="214"/>
      <c r="AF60" s="216"/>
      <c r="AG60" s="203"/>
      <c r="AH60" s="203"/>
      <c r="AI60" s="215"/>
      <c r="AJ60" s="215"/>
      <c r="AK60" s="215"/>
      <c r="AL60" s="215"/>
      <c r="AM60" s="215"/>
      <c r="AN60" s="215"/>
      <c r="AO60" s="214"/>
      <c r="AP60" s="216"/>
      <c r="AQ60" s="203"/>
      <c r="AR60" s="203"/>
      <c r="AS60" s="215"/>
      <c r="AT60" s="215"/>
      <c r="AU60" s="215"/>
      <c r="AV60" s="215"/>
      <c r="AW60" s="215"/>
      <c r="AX60" s="215"/>
      <c r="AY60" s="214"/>
      <c r="AZ60" s="216"/>
      <c r="BA60" s="203"/>
      <c r="BB60" s="203"/>
      <c r="BC60" s="215"/>
      <c r="BD60" s="215"/>
      <c r="BE60" s="215"/>
      <c r="BF60" s="215"/>
      <c r="BG60" s="215"/>
      <c r="BH60" s="215"/>
      <c r="BI60" s="214"/>
      <c r="BJ60" s="216"/>
      <c r="BK60" s="203"/>
      <c r="BL60" s="203"/>
      <c r="BM60" s="215"/>
      <c r="BN60" s="215"/>
      <c r="BO60" s="215"/>
      <c r="BP60" s="215"/>
      <c r="BQ60" s="215"/>
      <c r="BR60" s="215"/>
      <c r="BS60" s="214"/>
      <c r="BT60" s="216"/>
      <c r="BU60" s="203"/>
      <c r="BV60" s="203"/>
      <c r="BW60" s="215"/>
      <c r="BX60" s="215"/>
      <c r="BY60" s="215"/>
      <c r="BZ60" s="215"/>
      <c r="CA60" s="215"/>
      <c r="CB60" s="215"/>
      <c r="CC60" s="214"/>
    </row>
    <row r="61" spans="1:81" s="213" customFormat="1" ht="15.95" customHeight="1" x14ac:dyDescent="0.2">
      <c r="A61" s="219" t="s">
        <v>178</v>
      </c>
      <c r="B61" s="211">
        <f>SUM(B$36:B60)</f>
        <v>0</v>
      </c>
      <c r="C61" s="203">
        <f>SUM(C$36:C60)</f>
        <v>9469850</v>
      </c>
      <c r="D61" s="203">
        <f>IFERROR(C61/B61,0)</f>
        <v>0</v>
      </c>
      <c r="E61" s="202">
        <f>SUM(E$36:E60)</f>
        <v>9469850</v>
      </c>
      <c r="F61" s="202">
        <f>SUM(F$36:F60)</f>
        <v>0</v>
      </c>
      <c r="G61" s="202">
        <f>SUM(G$36:G60)</f>
        <v>0</v>
      </c>
      <c r="H61" s="202">
        <f>SUM(H$36:H60)</f>
        <v>0</v>
      </c>
      <c r="I61" s="202">
        <f>SUM(I$36:I60)</f>
        <v>0</v>
      </c>
      <c r="J61" s="202">
        <f>SUM(J$36:J60)</f>
        <v>0</v>
      </c>
      <c r="K61" s="214">
        <f>SUM(K$36:K60)</f>
        <v>0</v>
      </c>
      <c r="L61" s="205">
        <f>SUM(L$36:L60)</f>
        <v>5843</v>
      </c>
      <c r="M61" s="203">
        <f>SUM(M$36:M60)</f>
        <v>17105317</v>
      </c>
      <c r="N61" s="203">
        <f>IFERROR(M61/L61,0)</f>
        <v>2927.4887900051344</v>
      </c>
      <c r="O61" s="202">
        <f>SUM(O$36:O60)</f>
        <v>10079338</v>
      </c>
      <c r="P61" s="202">
        <f>SUM(P$36:P60)</f>
        <v>0</v>
      </c>
      <c r="Q61" s="202">
        <f>SUM(Q$36:Q60)</f>
        <v>0</v>
      </c>
      <c r="R61" s="202">
        <f>SUM(R$36:R60)</f>
        <v>0</v>
      </c>
      <c r="S61" s="202">
        <f>SUM(S$36:S60)</f>
        <v>7329979</v>
      </c>
      <c r="T61" s="202">
        <f>SUM(T$36:T60)</f>
        <v>12918337</v>
      </c>
      <c r="U61" s="214">
        <f>SUM(U$36:U60)</f>
        <v>6459439</v>
      </c>
      <c r="V61" s="205">
        <f>SUM(V$36:V60)</f>
        <v>5483</v>
      </c>
      <c r="W61" s="203">
        <f>SUM(W$36:W60)</f>
        <v>18467004</v>
      </c>
      <c r="X61" s="203">
        <f>IFERROR(W61/V61,0)</f>
        <v>3368.047419296006</v>
      </c>
      <c r="Y61" s="202">
        <f>SUM(Y$36:Y60)</f>
        <v>10721563</v>
      </c>
      <c r="Z61" s="202">
        <f>SUM(Z$36:Z60)</f>
        <v>0</v>
      </c>
      <c r="AA61" s="202">
        <f>SUM(AA$36:AA60)</f>
        <v>0</v>
      </c>
      <c r="AB61" s="202">
        <f>SUM(AB$36:AB60)</f>
        <v>0</v>
      </c>
      <c r="AC61" s="202">
        <f>SUM(AC$36:AC60)</f>
        <v>7745441</v>
      </c>
      <c r="AD61" s="202">
        <f>SUM(AD$36:AD60)</f>
        <v>13521428</v>
      </c>
      <c r="AE61" s="214">
        <f>SUM(AE$36:AE60)</f>
        <v>6793234</v>
      </c>
      <c r="AF61" s="205">
        <f>SUM(AF$36:AF60)</f>
        <v>5366</v>
      </c>
      <c r="AG61" s="203">
        <f>SUM(AG$36:AG60)</f>
        <v>19686576</v>
      </c>
      <c r="AH61" s="203">
        <f>IFERROR(AG61/AF61,0)</f>
        <v>3668.7618337681702</v>
      </c>
      <c r="AI61" s="202">
        <f>SUM(AI$36:AI60)</f>
        <v>11588843</v>
      </c>
      <c r="AJ61" s="202">
        <f>SUM(AJ$36:AJ60)</f>
        <v>0</v>
      </c>
      <c r="AK61" s="202">
        <f>SUM(AK$36:AK60)</f>
        <v>0</v>
      </c>
      <c r="AL61" s="202">
        <f>SUM(AL$36:AL60)</f>
        <v>0</v>
      </c>
      <c r="AM61" s="202">
        <f>SUM(AM$36:AM60)</f>
        <v>8097733</v>
      </c>
      <c r="AN61" s="202">
        <f>SUM(AN$36:AN60)</f>
        <v>14764529</v>
      </c>
      <c r="AO61" s="214">
        <f>SUM(AO$36:AO60)</f>
        <v>7566838</v>
      </c>
      <c r="AP61" s="205">
        <f>SUM(AP$36:AP60)</f>
        <v>5360</v>
      </c>
      <c r="AQ61" s="203">
        <f>SUM(AQ$36:AQ60)</f>
        <v>21155455</v>
      </c>
      <c r="AR61" s="203">
        <f>IFERROR(AQ61/AP61,0)</f>
        <v>3946.9132462686566</v>
      </c>
      <c r="AS61" s="202">
        <f>SUM(AS$36:AS60)</f>
        <v>12630721</v>
      </c>
      <c r="AT61" s="202">
        <f>SUM(AT$36:AT60)</f>
        <v>0</v>
      </c>
      <c r="AU61" s="202">
        <f>SUM(AU$36:AU60)</f>
        <v>0</v>
      </c>
      <c r="AV61" s="202">
        <f>SUM(AV$36:AV60)</f>
        <v>0</v>
      </c>
      <c r="AW61" s="202">
        <f>SUM(AW$36:AW60)</f>
        <v>8524734</v>
      </c>
      <c r="AX61" s="202">
        <f>SUM(AX$36:AX60)</f>
        <v>15913910</v>
      </c>
      <c r="AY61" s="214">
        <f>SUM(AY$36:AY60)</f>
        <v>8275045</v>
      </c>
      <c r="AZ61" s="205">
        <f>SUM(AZ$36:AZ60)</f>
        <v>5550</v>
      </c>
      <c r="BA61" s="203">
        <f>SUM(BA$36:BA60)</f>
        <v>21343150.82</v>
      </c>
      <c r="BB61" s="203">
        <f>IFERROR(BA61/AZ61,0)</f>
        <v>3845.6127603603604</v>
      </c>
      <c r="BC61" s="202">
        <f>SUM(BC$36:BC60)</f>
        <v>12556264.82</v>
      </c>
      <c r="BD61" s="202">
        <f>SUM(BD$36:BD60)</f>
        <v>0</v>
      </c>
      <c r="BE61" s="202">
        <f>SUM(BE$36:BE60)</f>
        <v>0</v>
      </c>
      <c r="BF61" s="202">
        <f>SUM(BF$36:BF60)</f>
        <v>0</v>
      </c>
      <c r="BG61" s="202">
        <f>SUM(BG$36:BG60)</f>
        <v>8786886</v>
      </c>
      <c r="BH61" s="202">
        <f>SUM(BH$36:BH60)</f>
        <v>17330984</v>
      </c>
      <c r="BI61" s="214">
        <f>SUM(BI$36:BI60)</f>
        <v>9370546</v>
      </c>
      <c r="BJ61" s="205">
        <f>SUM(BJ$36:BJ60)</f>
        <v>6330</v>
      </c>
      <c r="BK61" s="203">
        <f>SUM(BK$36:BK60)</f>
        <v>24271320.979999997</v>
      </c>
      <c r="BL61" s="203">
        <f>IFERROR(BK61/BJ61,0)</f>
        <v>3834.3319083728275</v>
      </c>
      <c r="BM61" s="202">
        <f>SUM(BM$36:BM60)</f>
        <v>15434719.98</v>
      </c>
      <c r="BN61" s="202">
        <f>SUM(BN$36:BN60)</f>
        <v>0</v>
      </c>
      <c r="BO61" s="202">
        <f>SUM(BO$36:BO60)</f>
        <v>0</v>
      </c>
      <c r="BP61" s="202">
        <f>SUM(BP$36:BP60)</f>
        <v>0</v>
      </c>
      <c r="BQ61" s="202">
        <f>SUM(BQ$36:BQ60)</f>
        <v>8836601</v>
      </c>
      <c r="BR61" s="202">
        <f>SUM(BR$36:BR60)</f>
        <v>19435532</v>
      </c>
      <c r="BS61" s="214">
        <f>SUM(BS$36:BS60)</f>
        <v>11215643.949999999</v>
      </c>
      <c r="BT61" s="205">
        <f>SUM(BT$36:BT60)</f>
        <v>7483</v>
      </c>
      <c r="BU61" s="203">
        <f>SUM(BU$36:BU60)</f>
        <v>25632047</v>
      </c>
      <c r="BV61" s="203">
        <f>IFERROR(BU61/BT61,0)</f>
        <v>3425.3704396632365</v>
      </c>
      <c r="BW61" s="202">
        <f>SUM(BW$36:BW60)</f>
        <v>13202414</v>
      </c>
      <c r="BX61" s="202">
        <f>SUM(BX$36:BX60)</f>
        <v>0</v>
      </c>
      <c r="BY61" s="202">
        <f>SUM(BY$36:BY60)</f>
        <v>2053615</v>
      </c>
      <c r="BZ61" s="202">
        <f>SUM(BZ$36:BZ60)</f>
        <v>0</v>
      </c>
      <c r="CA61" s="202">
        <f>SUM(CA$36:CA60)</f>
        <v>10376018</v>
      </c>
      <c r="CB61" s="202">
        <f>SUM(CB$36:CB60)</f>
        <v>24111160</v>
      </c>
      <c r="CC61" s="214">
        <f>SUM(CC$36:CC60)</f>
        <v>12681495</v>
      </c>
    </row>
    <row r="62" spans="1:81" ht="15.95" customHeight="1" x14ac:dyDescent="0.2">
      <c r="A62" s="218"/>
      <c r="B62" s="223"/>
      <c r="C62" s="221"/>
      <c r="D62" s="221"/>
      <c r="E62" s="220"/>
      <c r="F62" s="220"/>
      <c r="G62" s="220"/>
      <c r="H62" s="220"/>
      <c r="I62" s="220"/>
      <c r="J62" s="220"/>
      <c r="K62" s="214"/>
      <c r="L62" s="222"/>
      <c r="M62" s="221"/>
      <c r="N62" s="221"/>
      <c r="O62" s="220"/>
      <c r="P62" s="220"/>
      <c r="Q62" s="220"/>
      <c r="R62" s="220"/>
      <c r="S62" s="220"/>
      <c r="T62" s="220"/>
      <c r="U62" s="214"/>
      <c r="V62" s="222"/>
      <c r="W62" s="221"/>
      <c r="X62" s="221"/>
      <c r="Y62" s="220"/>
      <c r="Z62" s="220"/>
      <c r="AA62" s="220"/>
      <c r="AB62" s="220"/>
      <c r="AC62" s="220"/>
      <c r="AD62" s="220"/>
      <c r="AE62" s="214"/>
      <c r="AF62" s="216"/>
      <c r="AG62" s="203"/>
      <c r="AH62" s="203"/>
      <c r="AI62" s="215"/>
      <c r="AJ62" s="215"/>
      <c r="AK62" s="215"/>
      <c r="AL62" s="215"/>
      <c r="AM62" s="215"/>
      <c r="AN62" s="215"/>
      <c r="AO62" s="214"/>
      <c r="AP62" s="216"/>
      <c r="AQ62" s="203"/>
      <c r="AR62" s="203"/>
      <c r="AS62" s="215"/>
      <c r="AT62" s="215"/>
      <c r="AU62" s="215"/>
      <c r="AV62" s="215"/>
      <c r="AW62" s="215"/>
      <c r="AX62" s="215"/>
      <c r="AY62" s="214"/>
      <c r="AZ62" s="216"/>
      <c r="BA62" s="203"/>
      <c r="BB62" s="203"/>
      <c r="BC62" s="215"/>
      <c r="BD62" s="215"/>
      <c r="BE62" s="215"/>
      <c r="BF62" s="215"/>
      <c r="BG62" s="215"/>
      <c r="BH62" s="215"/>
      <c r="BI62" s="214"/>
      <c r="BJ62" s="216"/>
      <c r="BK62" s="203"/>
      <c r="BL62" s="203"/>
      <c r="BM62" s="215"/>
      <c r="BN62" s="215"/>
      <c r="BO62" s="215"/>
      <c r="BP62" s="215"/>
      <c r="BQ62" s="215"/>
      <c r="BR62" s="215"/>
      <c r="BS62" s="214"/>
      <c r="BT62" s="216"/>
      <c r="BU62" s="203"/>
      <c r="BV62" s="203"/>
      <c r="BW62" s="215"/>
      <c r="BX62" s="215"/>
      <c r="BY62" s="215"/>
      <c r="BZ62" s="215"/>
      <c r="CA62" s="215"/>
      <c r="CB62" s="215"/>
      <c r="CC62" s="214"/>
    </row>
    <row r="63" spans="1:81" ht="15.95" customHeight="1" x14ac:dyDescent="0.2">
      <c r="A63" s="230" t="s">
        <v>205</v>
      </c>
      <c r="B63" s="223"/>
      <c r="C63" s="221"/>
      <c r="D63" s="221"/>
      <c r="E63" s="220"/>
      <c r="F63" s="220"/>
      <c r="G63" s="220"/>
      <c r="H63" s="220"/>
      <c r="I63" s="220"/>
      <c r="J63" s="220"/>
      <c r="K63" s="214"/>
      <c r="L63" s="222"/>
      <c r="M63" s="221"/>
      <c r="N63" s="221"/>
      <c r="O63" s="220"/>
      <c r="P63" s="220"/>
      <c r="Q63" s="220"/>
      <c r="R63" s="220"/>
      <c r="S63" s="220"/>
      <c r="T63" s="220"/>
      <c r="U63" s="214"/>
      <c r="V63" s="222"/>
      <c r="W63" s="221"/>
      <c r="X63" s="221"/>
      <c r="Y63" s="220"/>
      <c r="Z63" s="220"/>
      <c r="AA63" s="220"/>
      <c r="AB63" s="220"/>
      <c r="AC63" s="220"/>
      <c r="AD63" s="220"/>
      <c r="AE63" s="214"/>
      <c r="AF63" s="216"/>
      <c r="AG63" s="203"/>
      <c r="AH63" s="203"/>
      <c r="AI63" s="215"/>
      <c r="AJ63" s="215"/>
      <c r="AK63" s="215"/>
      <c r="AL63" s="215"/>
      <c r="AM63" s="215"/>
      <c r="AN63" s="215"/>
      <c r="AO63" s="214"/>
      <c r="AP63" s="216"/>
      <c r="AQ63" s="203"/>
      <c r="AR63" s="203"/>
      <c r="AS63" s="215"/>
      <c r="AT63" s="215"/>
      <c r="AU63" s="215"/>
      <c r="AV63" s="215"/>
      <c r="AW63" s="215"/>
      <c r="AX63" s="215"/>
      <c r="AY63" s="214"/>
      <c r="AZ63" s="216"/>
      <c r="BA63" s="203"/>
      <c r="BB63" s="203"/>
      <c r="BC63" s="215"/>
      <c r="BD63" s="215"/>
      <c r="BE63" s="215"/>
      <c r="BF63" s="215"/>
      <c r="BG63" s="215"/>
      <c r="BH63" s="215"/>
      <c r="BI63" s="214"/>
      <c r="BJ63" s="216"/>
      <c r="BK63" s="203"/>
      <c r="BL63" s="203"/>
      <c r="BM63" s="215"/>
      <c r="BN63" s="215"/>
      <c r="BO63" s="215"/>
      <c r="BP63" s="215"/>
      <c r="BQ63" s="215"/>
      <c r="BR63" s="215"/>
      <c r="BS63" s="214"/>
      <c r="BT63" s="216"/>
      <c r="BU63" s="203"/>
      <c r="BV63" s="203"/>
      <c r="BW63" s="215"/>
      <c r="BX63" s="215"/>
      <c r="BY63" s="215"/>
      <c r="BZ63" s="215"/>
      <c r="CA63" s="215"/>
      <c r="CB63" s="215"/>
      <c r="CC63" s="214"/>
    </row>
    <row r="64" spans="1:81" ht="15.95" customHeight="1" x14ac:dyDescent="0.2">
      <c r="A64" s="228" t="s">
        <v>204</v>
      </c>
      <c r="B64" s="223"/>
      <c r="C64" s="203">
        <f t="shared" ref="C64:C77" si="48">SUM(E64:I64)</f>
        <v>0</v>
      </c>
      <c r="D64" s="203">
        <f t="shared" ref="D64:D77" si="49">IFERROR(C64/B64,0)</f>
        <v>0</v>
      </c>
      <c r="E64" s="220"/>
      <c r="F64" s="220"/>
      <c r="G64" s="220"/>
      <c r="H64" s="220"/>
      <c r="I64" s="220"/>
      <c r="J64" s="220"/>
      <c r="K64" s="214">
        <f t="shared" ref="K64:K77" si="50">IF(J64=0,0,(IF(E64&lt;=J64,E64,J64)))</f>
        <v>0</v>
      </c>
      <c r="L64" s="222">
        <v>3</v>
      </c>
      <c r="M64" s="203">
        <f t="shared" ref="M64:M77" si="51">SUM(O64:S64)</f>
        <v>3335</v>
      </c>
      <c r="N64" s="203">
        <f t="shared" ref="N64:N77" si="52">IFERROR(M64/L64,0)</f>
        <v>1111.6666666666667</v>
      </c>
      <c r="O64" s="220">
        <v>3335</v>
      </c>
      <c r="P64" s="220">
        <v>0</v>
      </c>
      <c r="Q64" s="220">
        <v>0</v>
      </c>
      <c r="R64" s="220">
        <v>0</v>
      </c>
      <c r="S64" s="220">
        <v>0</v>
      </c>
      <c r="T64" s="220">
        <v>3335</v>
      </c>
      <c r="U64" s="214">
        <f t="shared" ref="U64:U77" si="53">IF(T64=0,0,(IF(O64&lt;=T64,O64,T64)))</f>
        <v>3335</v>
      </c>
      <c r="V64" s="222">
        <v>5</v>
      </c>
      <c r="W64" s="203">
        <f t="shared" ref="W64:W77" si="54">SUM(Y64:AC64)</f>
        <v>7482</v>
      </c>
      <c r="X64" s="203">
        <f t="shared" ref="X64:X77" si="55">IFERROR(W64/V64,0)</f>
        <v>1496.4</v>
      </c>
      <c r="Y64" s="220">
        <v>7482</v>
      </c>
      <c r="Z64" s="220"/>
      <c r="AA64" s="220"/>
      <c r="AB64" s="220"/>
      <c r="AC64" s="220"/>
      <c r="AD64" s="220">
        <v>5300</v>
      </c>
      <c r="AE64" s="214">
        <f t="shared" ref="AE64:AE77" si="56">IF(AD64=0,0,(IF(Y64&lt;=AD64,Y64,AD64)))</f>
        <v>5300</v>
      </c>
      <c r="AF64" s="216">
        <v>5</v>
      </c>
      <c r="AG64" s="203">
        <f t="shared" ref="AG64:AG77" si="57">SUM(AI64:AM64)</f>
        <v>6235</v>
      </c>
      <c r="AH64" s="203">
        <f t="shared" ref="AH64:AH77" si="58">IFERROR(AG64/AF64,0)</f>
        <v>1247</v>
      </c>
      <c r="AI64" s="215">
        <v>6235</v>
      </c>
      <c r="AJ64" s="215"/>
      <c r="AK64" s="215"/>
      <c r="AL64" s="215"/>
      <c r="AM64" s="215"/>
      <c r="AN64" s="215">
        <v>6235</v>
      </c>
      <c r="AO64" s="214">
        <f t="shared" ref="AO64:AO77" si="59">IF(AN64=0,0,(IF(AI64&lt;=AN64,AI64,AN64)))</f>
        <v>6235</v>
      </c>
      <c r="AP64" s="216">
        <v>7</v>
      </c>
      <c r="AQ64" s="203">
        <f t="shared" ref="AQ64:AQ77" si="60">SUM(AS64:AW64)</f>
        <v>5900</v>
      </c>
      <c r="AR64" s="203">
        <f t="shared" ref="AR64:AR77" si="61">IFERROR(AQ64/AP64,0)</f>
        <v>842.85714285714289</v>
      </c>
      <c r="AS64" s="215">
        <v>5900</v>
      </c>
      <c r="AT64" s="215"/>
      <c r="AU64" s="215"/>
      <c r="AV64" s="215"/>
      <c r="AW64" s="215"/>
      <c r="AX64" s="215">
        <v>5900</v>
      </c>
      <c r="AY64" s="214">
        <f t="shared" ref="AY64:AY77" si="62">IF(AX64=0,0,(IF(AS64&lt;=AX64,AS64,AX64)))</f>
        <v>5900</v>
      </c>
      <c r="AZ64" s="216">
        <v>6</v>
      </c>
      <c r="BA64" s="203">
        <f t="shared" ref="BA64:BA77" si="63">SUM(BC64:BG64)</f>
        <v>117156.55</v>
      </c>
      <c r="BB64" s="203">
        <f t="shared" ref="BB64:BB77" si="64">IFERROR(BA64/AZ64,0)</f>
        <v>19526.091666666667</v>
      </c>
      <c r="BC64" s="215">
        <v>117156.55</v>
      </c>
      <c r="BD64" s="215"/>
      <c r="BE64" s="215"/>
      <c r="BF64" s="215"/>
      <c r="BG64" s="215"/>
      <c r="BH64" s="215">
        <v>108563</v>
      </c>
      <c r="BI64" s="214">
        <f t="shared" ref="BI64:BI77" si="65">IF(BH64=0,0,(IF(BC64&lt;=BH64,BC64,BH64)))</f>
        <v>108563</v>
      </c>
      <c r="BJ64" s="216">
        <v>3</v>
      </c>
      <c r="BK64" s="203">
        <f t="shared" ref="BK64:BK77" si="66">SUM(BM64:BQ64)</f>
        <v>3175.3</v>
      </c>
      <c r="BL64" s="203">
        <f t="shared" ref="BL64:BL77" si="67">IFERROR(BK64/BJ64,0)</f>
        <v>1058.4333333333334</v>
      </c>
      <c r="BM64" s="215">
        <v>3175.3</v>
      </c>
      <c r="BN64" s="215"/>
      <c r="BO64" s="215"/>
      <c r="BP64" s="215"/>
      <c r="BQ64" s="215"/>
      <c r="BR64" s="215">
        <v>3175</v>
      </c>
      <c r="BS64" s="214">
        <f t="shared" ref="BS64:BS77" si="68">IF(BR64=0,0,(IF(BM64&lt;=BR64,BM64,BR64)))</f>
        <v>3175</v>
      </c>
      <c r="BT64" s="226">
        <v>12</v>
      </c>
      <c r="BU64" s="203">
        <f t="shared" ref="BU64:BU84" si="69">SUM(BW64:CA64)</f>
        <v>51442.75</v>
      </c>
      <c r="BV64" s="203">
        <f t="shared" ref="BV64:BV84" si="70">IFERROR(BU64/BT64,0)</f>
        <v>4286.895833333333</v>
      </c>
      <c r="BW64" s="225">
        <v>51442.75</v>
      </c>
      <c r="BX64" s="225"/>
      <c r="BY64" s="225"/>
      <c r="BZ64" s="225"/>
      <c r="CA64" s="225"/>
      <c r="CB64" s="225">
        <f>+BW64</f>
        <v>51442.75</v>
      </c>
      <c r="CC64" s="214">
        <f t="shared" ref="CC64:CC84" si="71">IF(CB64=0,0,(IF(BW64&lt;=CB64,BW64,CB64)))</f>
        <v>51442.75</v>
      </c>
    </row>
    <row r="65" spans="1:81" s="213" customFormat="1" ht="15.95" customHeight="1" x14ac:dyDescent="0.2">
      <c r="A65" s="228" t="s">
        <v>203</v>
      </c>
      <c r="B65" s="217"/>
      <c r="C65" s="203">
        <f t="shared" si="48"/>
        <v>185687</v>
      </c>
      <c r="D65" s="203">
        <f t="shared" si="49"/>
        <v>0</v>
      </c>
      <c r="E65" s="215">
        <v>185687</v>
      </c>
      <c r="F65" s="215"/>
      <c r="G65" s="215"/>
      <c r="H65" s="215"/>
      <c r="I65" s="215"/>
      <c r="J65" s="215"/>
      <c r="K65" s="214">
        <f t="shared" si="50"/>
        <v>0</v>
      </c>
      <c r="L65" s="216">
        <v>30</v>
      </c>
      <c r="M65" s="203">
        <f t="shared" si="51"/>
        <v>164287</v>
      </c>
      <c r="N65" s="203">
        <f t="shared" si="52"/>
        <v>5476.2333333333336</v>
      </c>
      <c r="O65" s="215">
        <v>164287</v>
      </c>
      <c r="P65" s="215">
        <v>0</v>
      </c>
      <c r="Q65" s="215">
        <v>0</v>
      </c>
      <c r="R65" s="215">
        <v>0</v>
      </c>
      <c r="S65" s="215">
        <v>0</v>
      </c>
      <c r="T65" s="215">
        <v>0</v>
      </c>
      <c r="U65" s="214">
        <f t="shared" si="53"/>
        <v>0</v>
      </c>
      <c r="V65" s="216">
        <v>26</v>
      </c>
      <c r="W65" s="203">
        <f t="shared" si="54"/>
        <v>183513</v>
      </c>
      <c r="X65" s="203">
        <f t="shared" si="55"/>
        <v>7058.1923076923076</v>
      </c>
      <c r="Y65" s="215">
        <v>183513</v>
      </c>
      <c r="Z65" s="215"/>
      <c r="AA65" s="215"/>
      <c r="AB65" s="215"/>
      <c r="AC65" s="215"/>
      <c r="AD65" s="215">
        <v>0</v>
      </c>
      <c r="AE65" s="214">
        <f t="shared" si="56"/>
        <v>0</v>
      </c>
      <c r="AF65" s="216">
        <v>31</v>
      </c>
      <c r="AG65" s="203">
        <f t="shared" si="57"/>
        <v>205848</v>
      </c>
      <c r="AH65" s="203">
        <f t="shared" si="58"/>
        <v>6640.2580645161288</v>
      </c>
      <c r="AI65" s="215">
        <v>205848</v>
      </c>
      <c r="AJ65" s="215"/>
      <c r="AK65" s="215"/>
      <c r="AL65" s="215"/>
      <c r="AM65" s="215"/>
      <c r="AN65" s="215">
        <v>0</v>
      </c>
      <c r="AO65" s="214">
        <f t="shared" si="59"/>
        <v>0</v>
      </c>
      <c r="AP65" s="216">
        <v>28</v>
      </c>
      <c r="AQ65" s="203">
        <f t="shared" si="60"/>
        <v>206805</v>
      </c>
      <c r="AR65" s="203">
        <f t="shared" si="61"/>
        <v>7385.8928571428569</v>
      </c>
      <c r="AS65" s="215">
        <v>206805</v>
      </c>
      <c r="AT65" s="215"/>
      <c r="AU65" s="215"/>
      <c r="AV65" s="215"/>
      <c r="AW65" s="215"/>
      <c r="AX65" s="215">
        <v>0</v>
      </c>
      <c r="AY65" s="214">
        <f t="shared" si="62"/>
        <v>0</v>
      </c>
      <c r="AZ65" s="216">
        <v>27</v>
      </c>
      <c r="BA65" s="203">
        <f t="shared" si="63"/>
        <v>164746</v>
      </c>
      <c r="BB65" s="203">
        <f t="shared" si="64"/>
        <v>6101.7037037037035</v>
      </c>
      <c r="BC65" s="215">
        <v>164746</v>
      </c>
      <c r="BD65" s="215"/>
      <c r="BE65" s="215"/>
      <c r="BF65" s="215"/>
      <c r="BG65" s="215"/>
      <c r="BH65" s="215"/>
      <c r="BI65" s="214">
        <f t="shared" si="65"/>
        <v>0</v>
      </c>
      <c r="BJ65" s="216">
        <v>34</v>
      </c>
      <c r="BK65" s="203">
        <f t="shared" si="66"/>
        <v>266968.34000000003</v>
      </c>
      <c r="BL65" s="203">
        <f t="shared" si="67"/>
        <v>7852.0100000000011</v>
      </c>
      <c r="BM65" s="215">
        <v>266968.34000000003</v>
      </c>
      <c r="BN65" s="215"/>
      <c r="BO65" s="215"/>
      <c r="BP65" s="215"/>
      <c r="BQ65" s="215"/>
      <c r="BR65" s="215"/>
      <c r="BS65" s="214">
        <f t="shared" si="68"/>
        <v>0</v>
      </c>
      <c r="BT65" s="226">
        <v>36</v>
      </c>
      <c r="BU65" s="203">
        <f t="shared" si="69"/>
        <v>259494</v>
      </c>
      <c r="BV65" s="203">
        <f t="shared" si="70"/>
        <v>7208.166666666667</v>
      </c>
      <c r="BW65" s="225">
        <v>259494</v>
      </c>
      <c r="BX65" s="225"/>
      <c r="BY65" s="225"/>
      <c r="BZ65" s="225"/>
      <c r="CA65" s="225"/>
      <c r="CB65" s="225">
        <v>0</v>
      </c>
      <c r="CC65" s="214">
        <f t="shared" si="71"/>
        <v>0</v>
      </c>
    </row>
    <row r="66" spans="1:81" s="213" customFormat="1" ht="15.95" customHeight="1" x14ac:dyDescent="0.2">
      <c r="A66" s="228" t="s">
        <v>202</v>
      </c>
      <c r="B66" s="217"/>
      <c r="C66" s="203">
        <f t="shared" si="48"/>
        <v>0</v>
      </c>
      <c r="D66" s="203">
        <f t="shared" si="49"/>
        <v>0</v>
      </c>
      <c r="E66" s="215"/>
      <c r="F66" s="215"/>
      <c r="G66" s="215"/>
      <c r="H66" s="215"/>
      <c r="I66" s="215"/>
      <c r="J66" s="215"/>
      <c r="K66" s="214">
        <f t="shared" si="50"/>
        <v>0</v>
      </c>
      <c r="L66" s="216">
        <v>36</v>
      </c>
      <c r="M66" s="203">
        <f t="shared" si="51"/>
        <v>121646</v>
      </c>
      <c r="N66" s="203">
        <f t="shared" si="52"/>
        <v>3379.0555555555557</v>
      </c>
      <c r="O66" s="215"/>
      <c r="P66" s="215">
        <v>0</v>
      </c>
      <c r="Q66" s="215">
        <v>0</v>
      </c>
      <c r="R66" s="215">
        <v>121646</v>
      </c>
      <c r="S66" s="215">
        <v>0</v>
      </c>
      <c r="T66" s="215">
        <v>97823</v>
      </c>
      <c r="U66" s="214">
        <f t="shared" si="53"/>
        <v>0</v>
      </c>
      <c r="V66" s="216">
        <v>34</v>
      </c>
      <c r="W66" s="203">
        <f t="shared" si="54"/>
        <v>124106</v>
      </c>
      <c r="X66" s="203">
        <f t="shared" si="55"/>
        <v>3650.1764705882351</v>
      </c>
      <c r="Y66" s="215"/>
      <c r="Z66" s="215"/>
      <c r="AA66" s="215"/>
      <c r="AB66" s="215">
        <v>124106</v>
      </c>
      <c r="AC66" s="215"/>
      <c r="AD66" s="215">
        <v>107095</v>
      </c>
      <c r="AE66" s="214">
        <f t="shared" si="56"/>
        <v>0</v>
      </c>
      <c r="AF66" s="216">
        <v>36</v>
      </c>
      <c r="AG66" s="203">
        <f t="shared" si="57"/>
        <v>126956</v>
      </c>
      <c r="AH66" s="203">
        <f t="shared" si="58"/>
        <v>3526.5555555555557</v>
      </c>
      <c r="AI66" s="215"/>
      <c r="AJ66" s="215"/>
      <c r="AK66" s="215"/>
      <c r="AL66" s="215">
        <v>126956</v>
      </c>
      <c r="AM66" s="215"/>
      <c r="AN66" s="215">
        <v>108922</v>
      </c>
      <c r="AO66" s="214">
        <f t="shared" si="59"/>
        <v>0</v>
      </c>
      <c r="AP66" s="216">
        <v>30</v>
      </c>
      <c r="AQ66" s="203">
        <f t="shared" si="60"/>
        <v>92846</v>
      </c>
      <c r="AR66" s="203">
        <f t="shared" si="61"/>
        <v>3094.8666666666668</v>
      </c>
      <c r="AS66" s="215"/>
      <c r="AT66" s="215"/>
      <c r="AU66" s="215"/>
      <c r="AV66" s="215">
        <v>92846</v>
      </c>
      <c r="AW66" s="215"/>
      <c r="AX66" s="215">
        <v>74991</v>
      </c>
      <c r="AY66" s="214">
        <f t="shared" si="62"/>
        <v>0</v>
      </c>
      <c r="AZ66" s="216">
        <v>20</v>
      </c>
      <c r="BA66" s="203">
        <f t="shared" si="63"/>
        <v>76898</v>
      </c>
      <c r="BB66" s="203">
        <f t="shared" si="64"/>
        <v>3844.9</v>
      </c>
      <c r="BC66" s="215"/>
      <c r="BD66" s="215"/>
      <c r="BE66" s="215"/>
      <c r="BF66" s="215">
        <v>76898</v>
      </c>
      <c r="BG66" s="215"/>
      <c r="BH66" s="215">
        <v>64439</v>
      </c>
      <c r="BI66" s="214">
        <f t="shared" si="65"/>
        <v>0</v>
      </c>
      <c r="BJ66" s="216">
        <v>17</v>
      </c>
      <c r="BK66" s="203">
        <f t="shared" si="66"/>
        <v>49251</v>
      </c>
      <c r="BL66" s="203">
        <f t="shared" si="67"/>
        <v>2897.1176470588234</v>
      </c>
      <c r="BM66" s="215"/>
      <c r="BN66" s="215"/>
      <c r="BO66" s="215"/>
      <c r="BP66" s="215">
        <v>49251</v>
      </c>
      <c r="BQ66" s="215"/>
      <c r="BR66" s="215">
        <v>46538</v>
      </c>
      <c r="BS66" s="214">
        <f t="shared" si="68"/>
        <v>0</v>
      </c>
      <c r="BT66" s="226">
        <v>16</v>
      </c>
      <c r="BU66" s="203">
        <f t="shared" si="69"/>
        <v>78187</v>
      </c>
      <c r="BV66" s="203">
        <f t="shared" si="70"/>
        <v>4886.6875</v>
      </c>
      <c r="BW66" s="225"/>
      <c r="BX66" s="225"/>
      <c r="BY66" s="225"/>
      <c r="BZ66" s="225">
        <v>78187</v>
      </c>
      <c r="CA66" s="225"/>
      <c r="CB66" s="225">
        <v>58887</v>
      </c>
      <c r="CC66" s="214">
        <f t="shared" si="71"/>
        <v>0</v>
      </c>
    </row>
    <row r="67" spans="1:81" s="213" customFormat="1" ht="15.95" customHeight="1" x14ac:dyDescent="0.2">
      <c r="A67" s="228" t="s">
        <v>201</v>
      </c>
      <c r="B67" s="217"/>
      <c r="C67" s="203">
        <f t="shared" si="48"/>
        <v>549178</v>
      </c>
      <c r="D67" s="203">
        <f t="shared" si="49"/>
        <v>0</v>
      </c>
      <c r="E67" s="215">
        <v>549178</v>
      </c>
      <c r="F67" s="215"/>
      <c r="G67" s="215"/>
      <c r="H67" s="215"/>
      <c r="I67" s="215"/>
      <c r="J67" s="215"/>
      <c r="K67" s="214">
        <f t="shared" si="50"/>
        <v>0</v>
      </c>
      <c r="L67" s="216">
        <v>184</v>
      </c>
      <c r="M67" s="203">
        <f t="shared" si="51"/>
        <v>542839</v>
      </c>
      <c r="N67" s="203">
        <f t="shared" si="52"/>
        <v>2950.211956521739</v>
      </c>
      <c r="O67" s="215">
        <v>542839</v>
      </c>
      <c r="P67" s="215">
        <v>0</v>
      </c>
      <c r="Q67" s="215">
        <v>0</v>
      </c>
      <c r="R67" s="215">
        <v>0</v>
      </c>
      <c r="S67" s="215">
        <v>0</v>
      </c>
      <c r="T67" s="215">
        <v>542839</v>
      </c>
      <c r="U67" s="214">
        <f t="shared" si="53"/>
        <v>542839</v>
      </c>
      <c r="V67" s="216">
        <v>202</v>
      </c>
      <c r="W67" s="203">
        <f t="shared" si="54"/>
        <v>577438</v>
      </c>
      <c r="X67" s="203">
        <f t="shared" si="55"/>
        <v>2858.6039603960394</v>
      </c>
      <c r="Y67" s="215">
        <v>577438</v>
      </c>
      <c r="Z67" s="215"/>
      <c r="AA67" s="215"/>
      <c r="AB67" s="215"/>
      <c r="AC67" s="215"/>
      <c r="AD67" s="215">
        <v>577438</v>
      </c>
      <c r="AE67" s="214">
        <f t="shared" si="56"/>
        <v>577438</v>
      </c>
      <c r="AF67" s="216">
        <v>169</v>
      </c>
      <c r="AG67" s="203">
        <f t="shared" si="57"/>
        <v>504806</v>
      </c>
      <c r="AH67" s="203">
        <f t="shared" si="58"/>
        <v>2987.0177514792899</v>
      </c>
      <c r="AI67" s="215">
        <v>504806</v>
      </c>
      <c r="AJ67" s="215"/>
      <c r="AK67" s="215"/>
      <c r="AL67" s="215"/>
      <c r="AM67" s="215"/>
      <c r="AN67" s="215">
        <v>504806</v>
      </c>
      <c r="AO67" s="214">
        <f t="shared" si="59"/>
        <v>504806</v>
      </c>
      <c r="AP67" s="216">
        <v>174</v>
      </c>
      <c r="AQ67" s="203">
        <f t="shared" si="60"/>
        <v>544343</v>
      </c>
      <c r="AR67" s="203">
        <f t="shared" si="61"/>
        <v>3128.4080459770116</v>
      </c>
      <c r="AS67" s="215">
        <v>544343</v>
      </c>
      <c r="AT67" s="215"/>
      <c r="AU67" s="215"/>
      <c r="AV67" s="215"/>
      <c r="AW67" s="215"/>
      <c r="AX67" s="215">
        <v>544343</v>
      </c>
      <c r="AY67" s="214">
        <f t="shared" si="62"/>
        <v>544343</v>
      </c>
      <c r="AZ67" s="216">
        <v>155</v>
      </c>
      <c r="BA67" s="203">
        <f t="shared" si="63"/>
        <v>521694.31999999995</v>
      </c>
      <c r="BB67" s="203">
        <f t="shared" si="64"/>
        <v>3365.7698064516126</v>
      </c>
      <c r="BC67" s="215">
        <v>521694.31999999995</v>
      </c>
      <c r="BD67" s="215"/>
      <c r="BE67" s="215"/>
      <c r="BF67" s="215"/>
      <c r="BG67" s="215"/>
      <c r="BH67" s="215">
        <v>521694</v>
      </c>
      <c r="BI67" s="214">
        <f t="shared" si="65"/>
        <v>521694</v>
      </c>
      <c r="BJ67" s="216">
        <v>158</v>
      </c>
      <c r="BK67" s="203">
        <f t="shared" si="66"/>
        <v>506436.38</v>
      </c>
      <c r="BL67" s="203">
        <f t="shared" si="67"/>
        <v>3205.2935443037977</v>
      </c>
      <c r="BM67" s="215">
        <v>506436.38</v>
      </c>
      <c r="BN67" s="215"/>
      <c r="BO67" s="215"/>
      <c r="BP67" s="215"/>
      <c r="BQ67" s="215"/>
      <c r="BR67" s="215">
        <v>511568</v>
      </c>
      <c r="BS67" s="214">
        <f t="shared" si="68"/>
        <v>506436.38</v>
      </c>
      <c r="BT67" s="226">
        <v>162</v>
      </c>
      <c r="BU67" s="203">
        <f t="shared" si="69"/>
        <v>492871</v>
      </c>
      <c r="BV67" s="203">
        <f t="shared" si="70"/>
        <v>3042.4135802469136</v>
      </c>
      <c r="BW67" s="225">
        <v>492871</v>
      </c>
      <c r="BX67" s="225"/>
      <c r="BY67" s="225"/>
      <c r="BZ67" s="225"/>
      <c r="CA67" s="225"/>
      <c r="CB67" s="225">
        <f>+BW67</f>
        <v>492871</v>
      </c>
      <c r="CC67" s="214">
        <f t="shared" si="71"/>
        <v>492871</v>
      </c>
    </row>
    <row r="68" spans="1:81" s="213" customFormat="1" ht="15.95" customHeight="1" x14ac:dyDescent="0.2">
      <c r="A68" s="228" t="s">
        <v>200</v>
      </c>
      <c r="B68" s="217"/>
      <c r="C68" s="203">
        <f t="shared" si="48"/>
        <v>1128259</v>
      </c>
      <c r="D68" s="203">
        <f t="shared" si="49"/>
        <v>0</v>
      </c>
      <c r="E68" s="215">
        <v>1128259</v>
      </c>
      <c r="F68" s="215"/>
      <c r="G68" s="215"/>
      <c r="H68" s="215"/>
      <c r="I68" s="215"/>
      <c r="J68" s="215"/>
      <c r="K68" s="214">
        <f t="shared" si="50"/>
        <v>0</v>
      </c>
      <c r="L68" s="216">
        <v>33</v>
      </c>
      <c r="M68" s="203">
        <f t="shared" si="51"/>
        <v>1489363</v>
      </c>
      <c r="N68" s="203">
        <f t="shared" si="52"/>
        <v>45132.21212121212</v>
      </c>
      <c r="O68" s="215">
        <f>1531715-42352</f>
        <v>1489363</v>
      </c>
      <c r="P68" s="215">
        <v>0</v>
      </c>
      <c r="Q68" s="215">
        <v>0</v>
      </c>
      <c r="R68" s="215">
        <v>0</v>
      </c>
      <c r="S68" s="215">
        <v>0</v>
      </c>
      <c r="T68" s="215">
        <v>0</v>
      </c>
      <c r="U68" s="214">
        <f t="shared" si="53"/>
        <v>0</v>
      </c>
      <c r="V68" s="216">
        <v>151</v>
      </c>
      <c r="W68" s="203">
        <f t="shared" si="54"/>
        <v>1301863</v>
      </c>
      <c r="X68" s="203">
        <f t="shared" si="55"/>
        <v>8621.6092715231789</v>
      </c>
      <c r="Y68" s="215">
        <v>1301863</v>
      </c>
      <c r="Z68" s="215"/>
      <c r="AA68" s="215"/>
      <c r="AB68" s="215"/>
      <c r="AC68" s="215"/>
      <c r="AD68" s="215"/>
      <c r="AE68" s="214">
        <f t="shared" si="56"/>
        <v>0</v>
      </c>
      <c r="AF68" s="216">
        <v>152</v>
      </c>
      <c r="AG68" s="203">
        <f t="shared" si="57"/>
        <v>1330238</v>
      </c>
      <c r="AH68" s="203">
        <f t="shared" si="58"/>
        <v>8751.5657894736851</v>
      </c>
      <c r="AI68" s="215">
        <v>1330238</v>
      </c>
      <c r="AJ68" s="215"/>
      <c r="AK68" s="215"/>
      <c r="AL68" s="215"/>
      <c r="AM68" s="215"/>
      <c r="AN68" s="215">
        <v>0</v>
      </c>
      <c r="AO68" s="214">
        <f t="shared" si="59"/>
        <v>0</v>
      </c>
      <c r="AP68" s="216">
        <v>177</v>
      </c>
      <c r="AQ68" s="203">
        <f t="shared" si="60"/>
        <v>1576193</v>
      </c>
      <c r="AR68" s="203">
        <f t="shared" si="61"/>
        <v>8905.0451977401135</v>
      </c>
      <c r="AS68" s="215">
        <v>1576193</v>
      </c>
      <c r="AT68" s="215"/>
      <c r="AU68" s="215"/>
      <c r="AV68" s="215"/>
      <c r="AW68" s="215"/>
      <c r="AX68" s="215">
        <v>0</v>
      </c>
      <c r="AY68" s="214">
        <f t="shared" si="62"/>
        <v>0</v>
      </c>
      <c r="AZ68" s="216">
        <v>114</v>
      </c>
      <c r="BA68" s="203">
        <f t="shared" si="63"/>
        <v>496000.8</v>
      </c>
      <c r="BB68" s="203">
        <f t="shared" si="64"/>
        <v>4350.8842105263157</v>
      </c>
      <c r="BC68" s="215">
        <v>496000.8</v>
      </c>
      <c r="BD68" s="215"/>
      <c r="BE68" s="215"/>
      <c r="BF68" s="215"/>
      <c r="BG68" s="215"/>
      <c r="BH68" s="215"/>
      <c r="BI68" s="214">
        <f t="shared" si="65"/>
        <v>0</v>
      </c>
      <c r="BJ68" s="216">
        <v>135</v>
      </c>
      <c r="BK68" s="203">
        <f t="shared" si="66"/>
        <v>960478.94</v>
      </c>
      <c r="BL68" s="203">
        <f t="shared" si="67"/>
        <v>7114.6588148148148</v>
      </c>
      <c r="BM68" s="215">
        <v>960478.94</v>
      </c>
      <c r="BN68" s="215"/>
      <c r="BO68" s="215"/>
      <c r="BP68" s="215"/>
      <c r="BQ68" s="215"/>
      <c r="BR68" s="215">
        <v>0</v>
      </c>
      <c r="BS68" s="214">
        <f t="shared" si="68"/>
        <v>0</v>
      </c>
      <c r="BT68" s="226">
        <v>265</v>
      </c>
      <c r="BU68" s="203">
        <f t="shared" si="69"/>
        <v>1435632</v>
      </c>
      <c r="BV68" s="203">
        <f t="shared" si="70"/>
        <v>5417.4792452830188</v>
      </c>
      <c r="BW68" s="225">
        <v>1435632</v>
      </c>
      <c r="BX68" s="225"/>
      <c r="BY68" s="225"/>
      <c r="BZ68" s="225"/>
      <c r="CA68" s="225"/>
      <c r="CB68" s="225">
        <v>0</v>
      </c>
      <c r="CC68" s="214">
        <f t="shared" si="71"/>
        <v>0</v>
      </c>
    </row>
    <row r="69" spans="1:81" s="213" customFormat="1" ht="15.95" customHeight="1" x14ac:dyDescent="0.2">
      <c r="A69" s="228" t="s">
        <v>199</v>
      </c>
      <c r="B69" s="217"/>
      <c r="C69" s="203">
        <f t="shared" si="48"/>
        <v>34599</v>
      </c>
      <c r="D69" s="203">
        <f t="shared" si="49"/>
        <v>0</v>
      </c>
      <c r="E69" s="215">
        <v>34599</v>
      </c>
      <c r="F69" s="215"/>
      <c r="G69" s="215"/>
      <c r="H69" s="215"/>
      <c r="I69" s="215"/>
      <c r="J69" s="215"/>
      <c r="K69" s="214">
        <f t="shared" si="50"/>
        <v>0</v>
      </c>
      <c r="L69" s="216">
        <v>26</v>
      </c>
      <c r="M69" s="203">
        <f t="shared" si="51"/>
        <v>57442</v>
      </c>
      <c r="N69" s="203">
        <f t="shared" si="52"/>
        <v>2209.3076923076924</v>
      </c>
      <c r="O69" s="215">
        <v>57442</v>
      </c>
      <c r="P69" s="215">
        <v>0</v>
      </c>
      <c r="Q69" s="215">
        <v>0</v>
      </c>
      <c r="R69" s="215">
        <v>0</v>
      </c>
      <c r="S69" s="215">
        <v>0</v>
      </c>
      <c r="T69" s="215">
        <v>57442</v>
      </c>
      <c r="U69" s="214">
        <f t="shared" si="53"/>
        <v>57442</v>
      </c>
      <c r="V69" s="216">
        <v>24</v>
      </c>
      <c r="W69" s="203">
        <f t="shared" si="54"/>
        <v>45705</v>
      </c>
      <c r="X69" s="203">
        <f t="shared" si="55"/>
        <v>1904.375</v>
      </c>
      <c r="Y69" s="215">
        <v>45705</v>
      </c>
      <c r="Z69" s="215"/>
      <c r="AA69" s="215"/>
      <c r="AB69" s="215"/>
      <c r="AC69" s="215"/>
      <c r="AD69" s="215">
        <v>45705</v>
      </c>
      <c r="AE69" s="214">
        <f t="shared" si="56"/>
        <v>45705</v>
      </c>
      <c r="AF69" s="216">
        <v>26</v>
      </c>
      <c r="AG69" s="203">
        <f t="shared" si="57"/>
        <v>64787</v>
      </c>
      <c r="AH69" s="203">
        <f t="shared" si="58"/>
        <v>2491.8076923076924</v>
      </c>
      <c r="AI69" s="215">
        <v>64787</v>
      </c>
      <c r="AJ69" s="215"/>
      <c r="AK69" s="215"/>
      <c r="AL69" s="215"/>
      <c r="AM69" s="215"/>
      <c r="AN69" s="215">
        <v>64787</v>
      </c>
      <c r="AO69" s="214">
        <f t="shared" si="59"/>
        <v>64787</v>
      </c>
      <c r="AP69" s="216">
        <v>19</v>
      </c>
      <c r="AQ69" s="203">
        <f t="shared" si="60"/>
        <v>55313</v>
      </c>
      <c r="AR69" s="203">
        <f t="shared" si="61"/>
        <v>2911.2105263157896</v>
      </c>
      <c r="AS69" s="215">
        <v>55313</v>
      </c>
      <c r="AT69" s="215"/>
      <c r="AU69" s="215"/>
      <c r="AV69" s="215"/>
      <c r="AW69" s="215"/>
      <c r="AX69" s="215">
        <v>55313</v>
      </c>
      <c r="AY69" s="214">
        <f t="shared" si="62"/>
        <v>55313</v>
      </c>
      <c r="AZ69" s="216">
        <v>17</v>
      </c>
      <c r="BA69" s="203">
        <f t="shared" si="63"/>
        <v>46958.49</v>
      </c>
      <c r="BB69" s="203">
        <f t="shared" si="64"/>
        <v>2762.2641176470588</v>
      </c>
      <c r="BC69" s="215">
        <v>46958.49</v>
      </c>
      <c r="BD69" s="215"/>
      <c r="BE69" s="215"/>
      <c r="BF69" s="215"/>
      <c r="BG69" s="215"/>
      <c r="BH69" s="215">
        <v>46958</v>
      </c>
      <c r="BI69" s="214">
        <f t="shared" si="65"/>
        <v>46958</v>
      </c>
      <c r="BJ69" s="216">
        <v>15</v>
      </c>
      <c r="BK69" s="203">
        <f t="shared" si="66"/>
        <v>43726.01</v>
      </c>
      <c r="BL69" s="203">
        <f t="shared" si="67"/>
        <v>2915.0673333333334</v>
      </c>
      <c r="BM69" s="215">
        <v>43726.01</v>
      </c>
      <c r="BN69" s="215"/>
      <c r="BO69" s="215"/>
      <c r="BP69" s="215"/>
      <c r="BQ69" s="215"/>
      <c r="BR69" s="215">
        <v>47066.5</v>
      </c>
      <c r="BS69" s="214">
        <f t="shared" si="68"/>
        <v>43726.01</v>
      </c>
      <c r="BT69" s="226">
        <v>15</v>
      </c>
      <c r="BU69" s="203">
        <f t="shared" si="69"/>
        <v>42148</v>
      </c>
      <c r="BV69" s="203">
        <f t="shared" si="70"/>
        <v>2809.8666666666668</v>
      </c>
      <c r="BW69" s="225">
        <v>42148</v>
      </c>
      <c r="BX69" s="225"/>
      <c r="BY69" s="225"/>
      <c r="BZ69" s="225"/>
      <c r="CA69" s="225"/>
      <c r="CB69" s="225">
        <f>+BW69</f>
        <v>42148</v>
      </c>
      <c r="CC69" s="214">
        <f t="shared" si="71"/>
        <v>42148</v>
      </c>
    </row>
    <row r="70" spans="1:81" s="213" customFormat="1" ht="15.95" customHeight="1" x14ac:dyDescent="0.2">
      <c r="A70" s="228" t="s">
        <v>198</v>
      </c>
      <c r="B70" s="217"/>
      <c r="C70" s="203">
        <f t="shared" si="48"/>
        <v>0</v>
      </c>
      <c r="D70" s="203">
        <f t="shared" si="49"/>
        <v>0</v>
      </c>
      <c r="E70" s="215"/>
      <c r="F70" s="215"/>
      <c r="G70" s="215"/>
      <c r="H70" s="215"/>
      <c r="I70" s="215"/>
      <c r="J70" s="215"/>
      <c r="K70" s="214">
        <f t="shared" si="50"/>
        <v>0</v>
      </c>
      <c r="L70" s="216">
        <v>45</v>
      </c>
      <c r="M70" s="203">
        <f t="shared" si="51"/>
        <v>99140</v>
      </c>
      <c r="N70" s="203">
        <f t="shared" si="52"/>
        <v>2203.1111111111113</v>
      </c>
      <c r="O70" s="215"/>
      <c r="P70" s="215">
        <v>0</v>
      </c>
      <c r="Q70" s="215">
        <v>99140</v>
      </c>
      <c r="R70" s="215">
        <v>0</v>
      </c>
      <c r="S70" s="215">
        <v>0</v>
      </c>
      <c r="T70" s="215">
        <v>99140</v>
      </c>
      <c r="U70" s="214">
        <f t="shared" si="53"/>
        <v>0</v>
      </c>
      <c r="V70" s="216">
        <v>45</v>
      </c>
      <c r="W70" s="203">
        <f t="shared" si="54"/>
        <v>117545</v>
      </c>
      <c r="X70" s="203">
        <f t="shared" si="55"/>
        <v>2612.1111111111113</v>
      </c>
      <c r="Y70" s="215"/>
      <c r="Z70" s="215"/>
      <c r="AA70" s="215">
        <v>117545</v>
      </c>
      <c r="AB70" s="215"/>
      <c r="AC70" s="215"/>
      <c r="AD70" s="215">
        <v>117545</v>
      </c>
      <c r="AE70" s="214">
        <f t="shared" si="56"/>
        <v>0</v>
      </c>
      <c r="AF70" s="216">
        <v>38</v>
      </c>
      <c r="AG70" s="203">
        <f t="shared" si="57"/>
        <v>77790</v>
      </c>
      <c r="AH70" s="203">
        <f t="shared" si="58"/>
        <v>2047.1052631578948</v>
      </c>
      <c r="AI70" s="215"/>
      <c r="AJ70" s="215"/>
      <c r="AK70" s="215">
        <v>77790</v>
      </c>
      <c r="AL70" s="215"/>
      <c r="AM70" s="215"/>
      <c r="AN70" s="215">
        <v>77790</v>
      </c>
      <c r="AO70" s="214">
        <f t="shared" si="59"/>
        <v>0</v>
      </c>
      <c r="AP70" s="216">
        <v>27</v>
      </c>
      <c r="AQ70" s="203">
        <f t="shared" si="60"/>
        <v>72584</v>
      </c>
      <c r="AR70" s="203">
        <f t="shared" si="61"/>
        <v>2688.2962962962961</v>
      </c>
      <c r="AS70" s="215"/>
      <c r="AT70" s="215"/>
      <c r="AU70" s="215">
        <v>72584</v>
      </c>
      <c r="AV70" s="215"/>
      <c r="AW70" s="215"/>
      <c r="AX70" s="215">
        <v>72584</v>
      </c>
      <c r="AY70" s="214">
        <f t="shared" si="62"/>
        <v>0</v>
      </c>
      <c r="AZ70" s="216">
        <v>34</v>
      </c>
      <c r="BA70" s="203">
        <f t="shared" si="63"/>
        <v>129177</v>
      </c>
      <c r="BB70" s="203">
        <f t="shared" si="64"/>
        <v>3799.3235294117649</v>
      </c>
      <c r="BC70" s="215"/>
      <c r="BD70" s="215"/>
      <c r="BE70" s="215">
        <v>129177</v>
      </c>
      <c r="BF70" s="215"/>
      <c r="BG70" s="215"/>
      <c r="BH70" s="215">
        <v>129777</v>
      </c>
      <c r="BI70" s="214">
        <f t="shared" si="65"/>
        <v>0</v>
      </c>
      <c r="BJ70" s="216">
        <v>41</v>
      </c>
      <c r="BK70" s="203">
        <f t="shared" si="66"/>
        <v>173746</v>
      </c>
      <c r="BL70" s="203">
        <f t="shared" si="67"/>
        <v>4237.707317073171</v>
      </c>
      <c r="BM70" s="215"/>
      <c r="BN70" s="215"/>
      <c r="BO70" s="215">
        <v>173746</v>
      </c>
      <c r="BP70" s="215"/>
      <c r="BQ70" s="215"/>
      <c r="BR70" s="215">
        <v>165991</v>
      </c>
      <c r="BS70" s="214">
        <f t="shared" si="68"/>
        <v>0</v>
      </c>
      <c r="BT70" s="226">
        <v>40</v>
      </c>
      <c r="BU70" s="203">
        <f t="shared" si="69"/>
        <v>156321</v>
      </c>
      <c r="BV70" s="203">
        <f t="shared" si="70"/>
        <v>3908.0250000000001</v>
      </c>
      <c r="BW70" s="225"/>
      <c r="BX70" s="225"/>
      <c r="BY70" s="225">
        <v>156321</v>
      </c>
      <c r="BZ70" s="225"/>
      <c r="CA70" s="225"/>
      <c r="CB70" s="225">
        <v>156321</v>
      </c>
      <c r="CC70" s="214">
        <f t="shared" si="71"/>
        <v>0</v>
      </c>
    </row>
    <row r="71" spans="1:81" s="213" customFormat="1" ht="15.95" customHeight="1" x14ac:dyDescent="0.2">
      <c r="A71" s="228" t="s">
        <v>197</v>
      </c>
      <c r="B71" s="217"/>
      <c r="C71" s="203">
        <f t="shared" si="48"/>
        <v>0</v>
      </c>
      <c r="D71" s="203">
        <f t="shared" si="49"/>
        <v>0</v>
      </c>
      <c r="E71" s="215"/>
      <c r="F71" s="215"/>
      <c r="G71" s="215"/>
      <c r="H71" s="215"/>
      <c r="I71" s="215"/>
      <c r="J71" s="215"/>
      <c r="K71" s="214">
        <f t="shared" si="50"/>
        <v>0</v>
      </c>
      <c r="L71" s="216">
        <v>31</v>
      </c>
      <c r="M71" s="203">
        <f t="shared" si="51"/>
        <v>218346</v>
      </c>
      <c r="N71" s="203">
        <f t="shared" si="52"/>
        <v>7043.4193548387093</v>
      </c>
      <c r="O71" s="215"/>
      <c r="P71" s="215">
        <v>0</v>
      </c>
      <c r="Q71" s="215">
        <v>0</v>
      </c>
      <c r="R71" s="215">
        <v>218346</v>
      </c>
      <c r="S71" s="215">
        <v>0</v>
      </c>
      <c r="T71" s="215">
        <v>22631</v>
      </c>
      <c r="U71" s="214">
        <f t="shared" si="53"/>
        <v>0</v>
      </c>
      <c r="V71" s="216">
        <v>34</v>
      </c>
      <c r="W71" s="203">
        <f t="shared" si="54"/>
        <v>240686</v>
      </c>
      <c r="X71" s="203">
        <f t="shared" si="55"/>
        <v>7079</v>
      </c>
      <c r="Y71" s="215"/>
      <c r="Z71" s="215"/>
      <c r="AA71" s="215"/>
      <c r="AB71" s="215">
        <v>240686</v>
      </c>
      <c r="AC71" s="215"/>
      <c r="AD71" s="215">
        <v>24020</v>
      </c>
      <c r="AE71" s="214">
        <f t="shared" si="56"/>
        <v>0</v>
      </c>
      <c r="AF71" s="216">
        <v>32</v>
      </c>
      <c r="AG71" s="203">
        <f t="shared" si="57"/>
        <v>243756</v>
      </c>
      <c r="AH71" s="203">
        <f t="shared" si="58"/>
        <v>7617.375</v>
      </c>
      <c r="AI71" s="215"/>
      <c r="AJ71" s="215"/>
      <c r="AK71" s="215"/>
      <c r="AL71" s="215">
        <v>243756</v>
      </c>
      <c r="AM71" s="215"/>
      <c r="AN71" s="215">
        <v>9491</v>
      </c>
      <c r="AO71" s="214">
        <f t="shared" si="59"/>
        <v>0</v>
      </c>
      <c r="AP71" s="216">
        <v>28</v>
      </c>
      <c r="AQ71" s="203">
        <f t="shared" si="60"/>
        <v>237339</v>
      </c>
      <c r="AR71" s="203">
        <f t="shared" si="61"/>
        <v>8476.3928571428569</v>
      </c>
      <c r="AS71" s="215"/>
      <c r="AT71" s="215"/>
      <c r="AU71" s="215"/>
      <c r="AV71" s="215">
        <v>237339</v>
      </c>
      <c r="AW71" s="215"/>
      <c r="AX71" s="215">
        <v>9970</v>
      </c>
      <c r="AY71" s="214">
        <f t="shared" si="62"/>
        <v>0</v>
      </c>
      <c r="AZ71" s="216">
        <v>24</v>
      </c>
      <c r="BA71" s="203">
        <f t="shared" si="63"/>
        <v>204702</v>
      </c>
      <c r="BB71" s="203">
        <f t="shared" si="64"/>
        <v>8529.25</v>
      </c>
      <c r="BC71" s="215"/>
      <c r="BD71" s="215"/>
      <c r="BE71" s="215"/>
      <c r="BF71" s="215">
        <v>204702</v>
      </c>
      <c r="BG71" s="215"/>
      <c r="BH71" s="215">
        <v>10350</v>
      </c>
      <c r="BI71" s="214">
        <f t="shared" si="65"/>
        <v>0</v>
      </c>
      <c r="BJ71" s="216">
        <v>13</v>
      </c>
      <c r="BK71" s="203">
        <f t="shared" si="66"/>
        <v>108536</v>
      </c>
      <c r="BL71" s="203">
        <f t="shared" si="67"/>
        <v>8348.9230769230762</v>
      </c>
      <c r="BM71" s="215"/>
      <c r="BN71" s="215"/>
      <c r="BO71" s="215"/>
      <c r="BP71" s="215">
        <v>108536</v>
      </c>
      <c r="BQ71" s="215"/>
      <c r="BR71" s="215">
        <v>4277</v>
      </c>
      <c r="BS71" s="214">
        <f t="shared" si="68"/>
        <v>0</v>
      </c>
      <c r="BT71" s="226">
        <v>7</v>
      </c>
      <c r="BU71" s="203">
        <f t="shared" si="69"/>
        <v>44126</v>
      </c>
      <c r="BV71" s="203">
        <f t="shared" si="70"/>
        <v>6303.7142857142853</v>
      </c>
      <c r="BW71" s="225"/>
      <c r="BX71" s="225"/>
      <c r="BY71" s="225"/>
      <c r="BZ71" s="225">
        <v>44126</v>
      </c>
      <c r="CA71" s="225"/>
      <c r="CB71" s="225">
        <v>44126</v>
      </c>
      <c r="CC71" s="214">
        <f t="shared" si="71"/>
        <v>0</v>
      </c>
    </row>
    <row r="72" spans="1:81" s="213" customFormat="1" ht="15.95" customHeight="1" x14ac:dyDescent="0.2">
      <c r="A72" s="228" t="s">
        <v>196</v>
      </c>
      <c r="B72" s="217"/>
      <c r="C72" s="203">
        <f t="shared" si="48"/>
        <v>115546</v>
      </c>
      <c r="D72" s="203">
        <f t="shared" si="49"/>
        <v>0</v>
      </c>
      <c r="E72" s="215">
        <v>115546</v>
      </c>
      <c r="F72" s="215"/>
      <c r="G72" s="215"/>
      <c r="H72" s="215"/>
      <c r="I72" s="215"/>
      <c r="J72" s="215"/>
      <c r="K72" s="214">
        <f t="shared" si="50"/>
        <v>0</v>
      </c>
      <c r="L72" s="216">
        <v>61</v>
      </c>
      <c r="M72" s="203">
        <f t="shared" si="51"/>
        <v>133082</v>
      </c>
      <c r="N72" s="203">
        <f t="shared" si="52"/>
        <v>2181.6721311475408</v>
      </c>
      <c r="O72" s="215">
        <v>133082</v>
      </c>
      <c r="P72" s="215">
        <v>0</v>
      </c>
      <c r="Q72" s="215">
        <v>0</v>
      </c>
      <c r="R72" s="215">
        <v>0</v>
      </c>
      <c r="S72" s="215">
        <v>0</v>
      </c>
      <c r="T72" s="215">
        <v>133082</v>
      </c>
      <c r="U72" s="214">
        <f t="shared" si="53"/>
        <v>133082</v>
      </c>
      <c r="V72" s="216">
        <v>53</v>
      </c>
      <c r="W72" s="203">
        <f t="shared" si="54"/>
        <v>118343</v>
      </c>
      <c r="X72" s="203">
        <f t="shared" si="55"/>
        <v>2232.8867924528304</v>
      </c>
      <c r="Y72" s="215">
        <v>118343</v>
      </c>
      <c r="Z72" s="215"/>
      <c r="AA72" s="215"/>
      <c r="AB72" s="215"/>
      <c r="AC72" s="215"/>
      <c r="AD72" s="215">
        <v>118343</v>
      </c>
      <c r="AE72" s="214">
        <f t="shared" si="56"/>
        <v>118343</v>
      </c>
      <c r="AF72" s="216">
        <v>60</v>
      </c>
      <c r="AG72" s="203">
        <f t="shared" si="57"/>
        <v>131984</v>
      </c>
      <c r="AH72" s="203">
        <f t="shared" si="58"/>
        <v>2199.7333333333331</v>
      </c>
      <c r="AI72" s="215">
        <v>131984</v>
      </c>
      <c r="AJ72" s="215"/>
      <c r="AK72" s="215"/>
      <c r="AL72" s="215"/>
      <c r="AM72" s="215"/>
      <c r="AN72" s="215">
        <v>131984</v>
      </c>
      <c r="AO72" s="214">
        <f t="shared" si="59"/>
        <v>131984</v>
      </c>
      <c r="AP72" s="216">
        <v>49</v>
      </c>
      <c r="AQ72" s="203">
        <f t="shared" si="60"/>
        <v>117338</v>
      </c>
      <c r="AR72" s="203">
        <f t="shared" si="61"/>
        <v>2394.6530612244896</v>
      </c>
      <c r="AS72" s="215">
        <v>117338</v>
      </c>
      <c r="AT72" s="215"/>
      <c r="AU72" s="215"/>
      <c r="AV72" s="215"/>
      <c r="AW72" s="215"/>
      <c r="AX72" s="215">
        <v>117338</v>
      </c>
      <c r="AY72" s="214">
        <f t="shared" si="62"/>
        <v>117338</v>
      </c>
      <c r="AZ72" s="216">
        <v>41</v>
      </c>
      <c r="BA72" s="203">
        <f t="shared" si="63"/>
        <v>104882.98</v>
      </c>
      <c r="BB72" s="203">
        <f t="shared" si="64"/>
        <v>2558.121463414634</v>
      </c>
      <c r="BC72" s="215">
        <v>104882.98</v>
      </c>
      <c r="BD72" s="215"/>
      <c r="BE72" s="215"/>
      <c r="BF72" s="215"/>
      <c r="BG72" s="215"/>
      <c r="BH72" s="215">
        <v>104883</v>
      </c>
      <c r="BI72" s="214">
        <f t="shared" si="65"/>
        <v>104882.98</v>
      </c>
      <c r="BJ72" s="216">
        <v>45</v>
      </c>
      <c r="BK72" s="203">
        <f t="shared" si="66"/>
        <v>105838.72</v>
      </c>
      <c r="BL72" s="203">
        <f t="shared" si="67"/>
        <v>2351.9715555555554</v>
      </c>
      <c r="BM72" s="215">
        <v>105838.72</v>
      </c>
      <c r="BN72" s="215"/>
      <c r="BO72" s="215"/>
      <c r="BP72" s="215"/>
      <c r="BQ72" s="215"/>
      <c r="BR72" s="215">
        <v>108177</v>
      </c>
      <c r="BS72" s="214">
        <f t="shared" si="68"/>
        <v>105838.72</v>
      </c>
      <c r="BT72" s="226">
        <v>40</v>
      </c>
      <c r="BU72" s="203">
        <f t="shared" si="69"/>
        <v>93960</v>
      </c>
      <c r="BV72" s="203">
        <f t="shared" si="70"/>
        <v>2349</v>
      </c>
      <c r="BW72" s="225">
        <v>93960</v>
      </c>
      <c r="BX72" s="225"/>
      <c r="BY72" s="225"/>
      <c r="BZ72" s="225"/>
      <c r="CA72" s="225"/>
      <c r="CB72" s="225">
        <f>+BW72</f>
        <v>93960</v>
      </c>
      <c r="CC72" s="214">
        <f t="shared" si="71"/>
        <v>93960</v>
      </c>
    </row>
    <row r="73" spans="1:81" s="213" customFormat="1" ht="15.95" customHeight="1" x14ac:dyDescent="0.2">
      <c r="A73" s="228" t="s">
        <v>195</v>
      </c>
      <c r="B73" s="217"/>
      <c r="C73" s="203">
        <f t="shared" si="48"/>
        <v>687547</v>
      </c>
      <c r="D73" s="203">
        <f t="shared" si="49"/>
        <v>0</v>
      </c>
      <c r="E73" s="215">
        <v>687547</v>
      </c>
      <c r="F73" s="215"/>
      <c r="G73" s="215"/>
      <c r="H73" s="215"/>
      <c r="I73" s="215"/>
      <c r="J73" s="215"/>
      <c r="K73" s="214">
        <f t="shared" si="50"/>
        <v>0</v>
      </c>
      <c r="L73" s="216">
        <v>346</v>
      </c>
      <c r="M73" s="203">
        <f t="shared" si="51"/>
        <v>753050</v>
      </c>
      <c r="N73" s="203">
        <f t="shared" si="52"/>
        <v>2176.4450867052024</v>
      </c>
      <c r="O73" s="215">
        <v>753050</v>
      </c>
      <c r="P73" s="215">
        <v>0</v>
      </c>
      <c r="Q73" s="215">
        <v>0</v>
      </c>
      <c r="R73" s="215">
        <v>0</v>
      </c>
      <c r="S73" s="215">
        <v>0</v>
      </c>
      <c r="T73" s="215">
        <v>753050</v>
      </c>
      <c r="U73" s="214">
        <f t="shared" si="53"/>
        <v>753050</v>
      </c>
      <c r="V73" s="216">
        <v>317</v>
      </c>
      <c r="W73" s="203">
        <f t="shared" si="54"/>
        <v>717380</v>
      </c>
      <c r="X73" s="203">
        <f t="shared" si="55"/>
        <v>2263.0283911671922</v>
      </c>
      <c r="Y73" s="215">
        <v>717380</v>
      </c>
      <c r="Z73" s="215"/>
      <c r="AA73" s="215"/>
      <c r="AB73" s="215"/>
      <c r="AC73" s="215"/>
      <c r="AD73" s="215">
        <v>717380</v>
      </c>
      <c r="AE73" s="214">
        <f t="shared" si="56"/>
        <v>717380</v>
      </c>
      <c r="AF73" s="216">
        <v>313</v>
      </c>
      <c r="AG73" s="203">
        <f t="shared" si="57"/>
        <v>701026</v>
      </c>
      <c r="AH73" s="203">
        <f t="shared" si="58"/>
        <v>2239.6996805111821</v>
      </c>
      <c r="AI73" s="215">
        <v>701026</v>
      </c>
      <c r="AJ73" s="215"/>
      <c r="AK73" s="215"/>
      <c r="AL73" s="215"/>
      <c r="AM73" s="215"/>
      <c r="AN73" s="215">
        <v>701026</v>
      </c>
      <c r="AO73" s="214">
        <f t="shared" si="59"/>
        <v>701026</v>
      </c>
      <c r="AP73" s="216">
        <v>334</v>
      </c>
      <c r="AQ73" s="203">
        <f t="shared" si="60"/>
        <v>889514</v>
      </c>
      <c r="AR73" s="203">
        <f t="shared" si="61"/>
        <v>2663.2155688622756</v>
      </c>
      <c r="AS73" s="215">
        <v>889514</v>
      </c>
      <c r="AT73" s="215"/>
      <c r="AU73" s="215"/>
      <c r="AV73" s="215"/>
      <c r="AW73" s="215"/>
      <c r="AX73" s="215">
        <v>889514</v>
      </c>
      <c r="AY73" s="214">
        <f t="shared" si="62"/>
        <v>889514</v>
      </c>
      <c r="AZ73" s="216">
        <v>371</v>
      </c>
      <c r="BA73" s="203">
        <f t="shared" si="63"/>
        <v>972612.94</v>
      </c>
      <c r="BB73" s="203">
        <f t="shared" si="64"/>
        <v>2621.5982210242587</v>
      </c>
      <c r="BC73" s="215">
        <v>972612.94</v>
      </c>
      <c r="BD73" s="215"/>
      <c r="BE73" s="215"/>
      <c r="BF73" s="215"/>
      <c r="BG73" s="215"/>
      <c r="BH73" s="215">
        <v>970648</v>
      </c>
      <c r="BI73" s="214">
        <f t="shared" si="65"/>
        <v>970648</v>
      </c>
      <c r="BJ73" s="216">
        <v>334</v>
      </c>
      <c r="BK73" s="203">
        <f t="shared" si="66"/>
        <v>846715.21</v>
      </c>
      <c r="BL73" s="203">
        <f t="shared" si="67"/>
        <v>2535.075479041916</v>
      </c>
      <c r="BM73" s="215">
        <v>846715.21</v>
      </c>
      <c r="BN73" s="215"/>
      <c r="BO73" s="215"/>
      <c r="BP73" s="215"/>
      <c r="BQ73" s="215"/>
      <c r="BR73" s="215">
        <v>848792</v>
      </c>
      <c r="BS73" s="214">
        <f t="shared" si="68"/>
        <v>846715.21</v>
      </c>
      <c r="BT73" s="226">
        <v>385</v>
      </c>
      <c r="BU73" s="203">
        <f t="shared" si="69"/>
        <v>906922</v>
      </c>
      <c r="BV73" s="203">
        <f t="shared" si="70"/>
        <v>2355.6415584415586</v>
      </c>
      <c r="BW73" s="225">
        <v>906922</v>
      </c>
      <c r="BX73" s="225"/>
      <c r="BY73" s="225"/>
      <c r="BZ73" s="225"/>
      <c r="CA73" s="225"/>
      <c r="CB73" s="225">
        <f>+BW73</f>
        <v>906922</v>
      </c>
      <c r="CC73" s="214">
        <f t="shared" si="71"/>
        <v>906922</v>
      </c>
    </row>
    <row r="74" spans="1:81" s="213" customFormat="1" ht="15.95" customHeight="1" x14ac:dyDescent="0.2">
      <c r="A74" s="228" t="s">
        <v>194</v>
      </c>
      <c r="B74" s="217"/>
      <c r="C74" s="203">
        <f t="shared" si="48"/>
        <v>0</v>
      </c>
      <c r="D74" s="203">
        <f t="shared" si="49"/>
        <v>0</v>
      </c>
      <c r="E74" s="215"/>
      <c r="F74" s="215"/>
      <c r="G74" s="215"/>
      <c r="H74" s="215"/>
      <c r="I74" s="215"/>
      <c r="J74" s="215"/>
      <c r="K74" s="214">
        <f t="shared" si="50"/>
        <v>0</v>
      </c>
      <c r="L74" s="216">
        <v>111</v>
      </c>
      <c r="M74" s="203">
        <f t="shared" si="51"/>
        <v>918124</v>
      </c>
      <c r="N74" s="203">
        <f t="shared" si="52"/>
        <v>8271.3873873873872</v>
      </c>
      <c r="O74" s="215"/>
      <c r="P74" s="215">
        <v>0</v>
      </c>
      <c r="Q74" s="215">
        <v>918124</v>
      </c>
      <c r="R74" s="215">
        <v>0</v>
      </c>
      <c r="S74" s="215">
        <v>0</v>
      </c>
      <c r="T74" s="215">
        <v>737960</v>
      </c>
      <c r="U74" s="214">
        <f t="shared" si="53"/>
        <v>0</v>
      </c>
      <c r="V74" s="216">
        <v>104</v>
      </c>
      <c r="W74" s="203">
        <f t="shared" si="54"/>
        <v>859916</v>
      </c>
      <c r="X74" s="203">
        <f t="shared" si="55"/>
        <v>8268.4230769230762</v>
      </c>
      <c r="Y74" s="215"/>
      <c r="Z74" s="215"/>
      <c r="AA74" s="215">
        <v>859916</v>
      </c>
      <c r="AB74" s="215"/>
      <c r="AC74" s="215"/>
      <c r="AD74" s="215">
        <v>714858</v>
      </c>
      <c r="AE74" s="214">
        <f t="shared" si="56"/>
        <v>0</v>
      </c>
      <c r="AF74" s="216">
        <v>82</v>
      </c>
      <c r="AG74" s="203">
        <f t="shared" si="57"/>
        <v>681467</v>
      </c>
      <c r="AH74" s="203">
        <f t="shared" si="58"/>
        <v>8310.5731707317082</v>
      </c>
      <c r="AI74" s="215"/>
      <c r="AJ74" s="215"/>
      <c r="AK74" s="215">
        <v>681467</v>
      </c>
      <c r="AL74" s="215"/>
      <c r="AM74" s="215"/>
      <c r="AN74" s="215">
        <v>546219</v>
      </c>
      <c r="AO74" s="214">
        <f t="shared" si="59"/>
        <v>0</v>
      </c>
      <c r="AP74" s="216">
        <v>67</v>
      </c>
      <c r="AQ74" s="203">
        <f t="shared" si="60"/>
        <v>547748</v>
      </c>
      <c r="AR74" s="203">
        <f t="shared" si="61"/>
        <v>8175.3432835820895</v>
      </c>
      <c r="AS74" s="215"/>
      <c r="AT74" s="215"/>
      <c r="AU74" s="215">
        <v>547748</v>
      </c>
      <c r="AV74" s="215"/>
      <c r="AW74" s="215"/>
      <c r="AX74" s="215">
        <v>386777</v>
      </c>
      <c r="AY74" s="214">
        <f t="shared" si="62"/>
        <v>0</v>
      </c>
      <c r="AZ74" s="216">
        <v>75</v>
      </c>
      <c r="BA74" s="203">
        <f t="shared" si="63"/>
        <v>592159</v>
      </c>
      <c r="BB74" s="203">
        <f t="shared" si="64"/>
        <v>7895.4533333333329</v>
      </c>
      <c r="BC74" s="215"/>
      <c r="BD74" s="215"/>
      <c r="BE74" s="215">
        <v>592159</v>
      </c>
      <c r="BF74" s="215"/>
      <c r="BG74" s="215"/>
      <c r="BH74" s="215">
        <v>410234</v>
      </c>
      <c r="BI74" s="214">
        <f t="shared" si="65"/>
        <v>0</v>
      </c>
      <c r="BJ74" s="216">
        <v>55</v>
      </c>
      <c r="BK74" s="203">
        <f t="shared" si="66"/>
        <v>251311</v>
      </c>
      <c r="BL74" s="203">
        <f t="shared" si="67"/>
        <v>4569.2909090909088</v>
      </c>
      <c r="BM74" s="215"/>
      <c r="BN74" s="215"/>
      <c r="BO74" s="215">
        <v>251311</v>
      </c>
      <c r="BP74" s="215"/>
      <c r="BQ74" s="215"/>
      <c r="BR74" s="215">
        <v>170163</v>
      </c>
      <c r="BS74" s="214">
        <f t="shared" si="68"/>
        <v>0</v>
      </c>
      <c r="BT74" s="226">
        <v>200</v>
      </c>
      <c r="BU74" s="203">
        <f t="shared" si="69"/>
        <v>1193039</v>
      </c>
      <c r="BV74" s="203">
        <f t="shared" si="70"/>
        <v>5965.1949999999997</v>
      </c>
      <c r="BW74" s="225"/>
      <c r="BX74" s="225"/>
      <c r="BY74" s="225">
        <v>1193039</v>
      </c>
      <c r="BZ74" s="225"/>
      <c r="CA74" s="225"/>
      <c r="CB74" s="225">
        <v>1193039</v>
      </c>
      <c r="CC74" s="214">
        <f t="shared" si="71"/>
        <v>0</v>
      </c>
    </row>
    <row r="75" spans="1:81" s="213" customFormat="1" ht="15.95" customHeight="1" x14ac:dyDescent="0.2">
      <c r="A75" s="228" t="s">
        <v>193</v>
      </c>
      <c r="B75" s="217"/>
      <c r="C75" s="203">
        <f t="shared" si="48"/>
        <v>724024</v>
      </c>
      <c r="D75" s="203">
        <f t="shared" si="49"/>
        <v>0</v>
      </c>
      <c r="E75" s="215">
        <v>724024</v>
      </c>
      <c r="F75" s="215"/>
      <c r="G75" s="215"/>
      <c r="H75" s="215"/>
      <c r="I75" s="215"/>
      <c r="J75" s="215"/>
      <c r="K75" s="214">
        <f t="shared" si="50"/>
        <v>0</v>
      </c>
      <c r="L75" s="216">
        <v>136</v>
      </c>
      <c r="M75" s="203">
        <f t="shared" si="51"/>
        <v>952522</v>
      </c>
      <c r="N75" s="203">
        <f t="shared" si="52"/>
        <v>7003.838235294118</v>
      </c>
      <c r="O75" s="215">
        <v>952522</v>
      </c>
      <c r="P75" s="215">
        <v>0</v>
      </c>
      <c r="Q75" s="215">
        <v>0</v>
      </c>
      <c r="R75" s="215">
        <v>0</v>
      </c>
      <c r="S75" s="215">
        <v>0</v>
      </c>
      <c r="T75" s="215">
        <v>952522</v>
      </c>
      <c r="U75" s="214">
        <f t="shared" si="53"/>
        <v>952522</v>
      </c>
      <c r="V75" s="216">
        <v>161</v>
      </c>
      <c r="W75" s="203">
        <f t="shared" si="54"/>
        <v>1040773</v>
      </c>
      <c r="X75" s="203">
        <f t="shared" si="55"/>
        <v>6464.4285714285716</v>
      </c>
      <c r="Y75" s="215">
        <v>1040773</v>
      </c>
      <c r="Z75" s="215"/>
      <c r="AA75" s="215"/>
      <c r="AB75" s="215"/>
      <c r="AC75" s="215"/>
      <c r="AD75" s="215">
        <v>1040773</v>
      </c>
      <c r="AE75" s="214">
        <f t="shared" si="56"/>
        <v>1040773</v>
      </c>
      <c r="AF75" s="216">
        <v>130</v>
      </c>
      <c r="AG75" s="203">
        <f t="shared" si="57"/>
        <v>1135914</v>
      </c>
      <c r="AH75" s="203">
        <f t="shared" si="58"/>
        <v>8737.7999999999993</v>
      </c>
      <c r="AI75" s="215">
        <v>1135914</v>
      </c>
      <c r="AJ75" s="215"/>
      <c r="AK75" s="215"/>
      <c r="AL75" s="215"/>
      <c r="AM75" s="215"/>
      <c r="AN75" s="215">
        <v>1135914</v>
      </c>
      <c r="AO75" s="214">
        <f t="shared" si="59"/>
        <v>1135914</v>
      </c>
      <c r="AP75" s="216">
        <v>155</v>
      </c>
      <c r="AQ75" s="203">
        <f t="shared" si="60"/>
        <v>1239991</v>
      </c>
      <c r="AR75" s="203">
        <f t="shared" si="61"/>
        <v>7999.941935483871</v>
      </c>
      <c r="AS75" s="215">
        <v>1239991</v>
      </c>
      <c r="AT75" s="215"/>
      <c r="AU75" s="215"/>
      <c r="AV75" s="215"/>
      <c r="AW75" s="215"/>
      <c r="AX75" s="215">
        <v>1239991</v>
      </c>
      <c r="AY75" s="214">
        <f t="shared" si="62"/>
        <v>1239991</v>
      </c>
      <c r="AZ75" s="216">
        <v>162</v>
      </c>
      <c r="BA75" s="203">
        <f t="shared" si="63"/>
        <v>1454990.93</v>
      </c>
      <c r="BB75" s="203">
        <f t="shared" si="64"/>
        <v>8981.4254938271606</v>
      </c>
      <c r="BC75" s="215">
        <v>1454990.93</v>
      </c>
      <c r="BD75" s="215"/>
      <c r="BE75" s="215"/>
      <c r="BF75" s="215"/>
      <c r="BG75" s="215"/>
      <c r="BH75" s="215">
        <v>1454991</v>
      </c>
      <c r="BI75" s="214">
        <f t="shared" si="65"/>
        <v>1454990.93</v>
      </c>
      <c r="BJ75" s="216">
        <v>208</v>
      </c>
      <c r="BK75" s="203">
        <f t="shared" si="66"/>
        <v>1533129.9500000002</v>
      </c>
      <c r="BL75" s="203">
        <f t="shared" si="67"/>
        <v>7370.8170673076929</v>
      </c>
      <c r="BM75" s="215">
        <v>1533129.9500000002</v>
      </c>
      <c r="BN75" s="215"/>
      <c r="BO75" s="215"/>
      <c r="BP75" s="215"/>
      <c r="BQ75" s="215"/>
      <c r="BR75" s="215">
        <v>1550667.0500000054</v>
      </c>
      <c r="BS75" s="214">
        <f t="shared" si="68"/>
        <v>1533129.9500000002</v>
      </c>
      <c r="BT75" s="226">
        <v>219</v>
      </c>
      <c r="BU75" s="203">
        <f t="shared" si="69"/>
        <v>1636901</v>
      </c>
      <c r="BV75" s="203">
        <f t="shared" si="70"/>
        <v>7474.433789954338</v>
      </c>
      <c r="BW75" s="225">
        <v>1636901</v>
      </c>
      <c r="BX75" s="225"/>
      <c r="BY75" s="225"/>
      <c r="BZ75" s="225"/>
      <c r="CA75" s="225"/>
      <c r="CB75" s="225">
        <f>+BW75</f>
        <v>1636901</v>
      </c>
      <c r="CC75" s="214">
        <f t="shared" si="71"/>
        <v>1636901</v>
      </c>
    </row>
    <row r="76" spans="1:81" s="213" customFormat="1" ht="15.95" customHeight="1" x14ac:dyDescent="0.2">
      <c r="A76" s="228" t="s">
        <v>192</v>
      </c>
      <c r="B76" s="217"/>
      <c r="C76" s="203">
        <f t="shared" si="48"/>
        <v>181162</v>
      </c>
      <c r="D76" s="203">
        <f t="shared" si="49"/>
        <v>0</v>
      </c>
      <c r="E76" s="215">
        <v>181162</v>
      </c>
      <c r="F76" s="215"/>
      <c r="G76" s="215"/>
      <c r="H76" s="215"/>
      <c r="I76" s="215"/>
      <c r="J76" s="215"/>
      <c r="K76" s="214">
        <f t="shared" si="50"/>
        <v>0</v>
      </c>
      <c r="L76" s="216">
        <v>52</v>
      </c>
      <c r="M76" s="203">
        <f t="shared" si="51"/>
        <v>110686</v>
      </c>
      <c r="N76" s="203">
        <f t="shared" si="52"/>
        <v>2128.5769230769229</v>
      </c>
      <c r="O76" s="215">
        <v>110686</v>
      </c>
      <c r="P76" s="215">
        <v>0</v>
      </c>
      <c r="Q76" s="215">
        <v>0</v>
      </c>
      <c r="R76" s="215">
        <v>0</v>
      </c>
      <c r="S76" s="215">
        <v>0</v>
      </c>
      <c r="T76" s="215">
        <v>0</v>
      </c>
      <c r="U76" s="214">
        <f t="shared" si="53"/>
        <v>0</v>
      </c>
      <c r="V76" s="216">
        <v>44</v>
      </c>
      <c r="W76" s="203">
        <f t="shared" si="54"/>
        <v>95679</v>
      </c>
      <c r="X76" s="203">
        <f t="shared" si="55"/>
        <v>2174.5227272727275</v>
      </c>
      <c r="Y76" s="215">
        <v>95679</v>
      </c>
      <c r="Z76" s="215"/>
      <c r="AA76" s="215"/>
      <c r="AB76" s="215"/>
      <c r="AC76" s="215"/>
      <c r="AD76" s="215">
        <v>0</v>
      </c>
      <c r="AE76" s="214">
        <f t="shared" si="56"/>
        <v>0</v>
      </c>
      <c r="AF76" s="216">
        <v>65</v>
      </c>
      <c r="AG76" s="203">
        <f t="shared" si="57"/>
        <v>169887</v>
      </c>
      <c r="AH76" s="203">
        <f t="shared" si="58"/>
        <v>2613.646153846154</v>
      </c>
      <c r="AI76" s="215">
        <v>169887</v>
      </c>
      <c r="AJ76" s="215"/>
      <c r="AK76" s="215"/>
      <c r="AL76" s="215"/>
      <c r="AM76" s="215"/>
      <c r="AN76" s="215">
        <v>0</v>
      </c>
      <c r="AO76" s="214">
        <f t="shared" si="59"/>
        <v>0</v>
      </c>
      <c r="AP76" s="216">
        <v>74</v>
      </c>
      <c r="AQ76" s="203">
        <f t="shared" si="60"/>
        <v>207297</v>
      </c>
      <c r="AR76" s="203">
        <f t="shared" si="61"/>
        <v>2801.3108108108108</v>
      </c>
      <c r="AS76" s="215">
        <v>207297</v>
      </c>
      <c r="AT76" s="215"/>
      <c r="AU76" s="215"/>
      <c r="AV76" s="215"/>
      <c r="AW76" s="215"/>
      <c r="AX76" s="215">
        <v>0</v>
      </c>
      <c r="AY76" s="214">
        <f t="shared" si="62"/>
        <v>0</v>
      </c>
      <c r="AZ76" s="216">
        <v>72</v>
      </c>
      <c r="BA76" s="203">
        <f t="shared" si="63"/>
        <v>157054.65</v>
      </c>
      <c r="BB76" s="203">
        <f t="shared" si="64"/>
        <v>2181.3145833333333</v>
      </c>
      <c r="BC76" s="215">
        <v>157054.65</v>
      </c>
      <c r="BD76" s="215"/>
      <c r="BE76" s="215"/>
      <c r="BF76" s="215"/>
      <c r="BG76" s="215"/>
      <c r="BH76" s="215">
        <v>12277</v>
      </c>
      <c r="BI76" s="214">
        <f t="shared" si="65"/>
        <v>12277</v>
      </c>
      <c r="BJ76" s="216">
        <v>68</v>
      </c>
      <c r="BK76" s="203">
        <f t="shared" si="66"/>
        <v>179313.21</v>
      </c>
      <c r="BL76" s="203">
        <f t="shared" si="67"/>
        <v>2636.9589705882354</v>
      </c>
      <c r="BM76" s="215">
        <v>179313.21</v>
      </c>
      <c r="BN76" s="215"/>
      <c r="BO76" s="215"/>
      <c r="BP76" s="215"/>
      <c r="BQ76" s="215"/>
      <c r="BR76" s="215">
        <v>12794</v>
      </c>
      <c r="BS76" s="214">
        <f t="shared" si="68"/>
        <v>12794</v>
      </c>
      <c r="BT76" s="226">
        <v>93</v>
      </c>
      <c r="BU76" s="203">
        <f t="shared" si="69"/>
        <v>236614</v>
      </c>
      <c r="BV76" s="203">
        <f t="shared" si="70"/>
        <v>2544.2365591397847</v>
      </c>
      <c r="BW76" s="225">
        <v>236614</v>
      </c>
      <c r="BX76" s="225"/>
      <c r="BY76" s="225"/>
      <c r="BZ76" s="225"/>
      <c r="CA76" s="225"/>
      <c r="CB76" s="225">
        <v>21924</v>
      </c>
      <c r="CC76" s="214">
        <f t="shared" si="71"/>
        <v>21924</v>
      </c>
    </row>
    <row r="77" spans="1:81" s="213" customFormat="1" ht="15.95" customHeight="1" x14ac:dyDescent="0.2">
      <c r="A77" s="228" t="s">
        <v>191</v>
      </c>
      <c r="B77" s="217"/>
      <c r="C77" s="203">
        <f t="shared" si="48"/>
        <v>0</v>
      </c>
      <c r="D77" s="203">
        <f t="shared" si="49"/>
        <v>0</v>
      </c>
      <c r="E77" s="215"/>
      <c r="F77" s="215"/>
      <c r="G77" s="215"/>
      <c r="H77" s="215"/>
      <c r="I77" s="215"/>
      <c r="J77" s="215"/>
      <c r="K77" s="214">
        <f t="shared" si="50"/>
        <v>0</v>
      </c>
      <c r="L77" s="216"/>
      <c r="M77" s="203">
        <f t="shared" si="51"/>
        <v>0</v>
      </c>
      <c r="N77" s="203">
        <f t="shared" si="52"/>
        <v>0</v>
      </c>
      <c r="O77" s="215"/>
      <c r="P77" s="215"/>
      <c r="Q77" s="215"/>
      <c r="R77" s="215"/>
      <c r="S77" s="215"/>
      <c r="T77" s="215"/>
      <c r="U77" s="214">
        <f t="shared" si="53"/>
        <v>0</v>
      </c>
      <c r="V77" s="216"/>
      <c r="W77" s="203">
        <f t="shared" si="54"/>
        <v>0</v>
      </c>
      <c r="X77" s="203">
        <f t="shared" si="55"/>
        <v>0</v>
      </c>
      <c r="Y77" s="215"/>
      <c r="Z77" s="215"/>
      <c r="AA77" s="215"/>
      <c r="AB77" s="215"/>
      <c r="AC77" s="215"/>
      <c r="AD77" s="215"/>
      <c r="AE77" s="214">
        <f t="shared" si="56"/>
        <v>0</v>
      </c>
      <c r="AF77" s="216">
        <v>161</v>
      </c>
      <c r="AG77" s="203">
        <f t="shared" si="57"/>
        <v>39016</v>
      </c>
      <c r="AH77" s="203">
        <f t="shared" si="58"/>
        <v>242.33540372670808</v>
      </c>
      <c r="AI77" s="215">
        <v>39016</v>
      </c>
      <c r="AJ77" s="215"/>
      <c r="AK77" s="215"/>
      <c r="AL77" s="215"/>
      <c r="AM77" s="215"/>
      <c r="AN77" s="215"/>
      <c r="AO77" s="214">
        <f t="shared" si="59"/>
        <v>0</v>
      </c>
      <c r="AP77" s="216">
        <v>158</v>
      </c>
      <c r="AQ77" s="203">
        <f t="shared" si="60"/>
        <v>51820</v>
      </c>
      <c r="AR77" s="203">
        <f t="shared" si="61"/>
        <v>327.97468354430379</v>
      </c>
      <c r="AS77" s="215">
        <v>51820</v>
      </c>
      <c r="AT77" s="215"/>
      <c r="AU77" s="215"/>
      <c r="AV77" s="215"/>
      <c r="AW77" s="215"/>
      <c r="AX77" s="215">
        <v>50111</v>
      </c>
      <c r="AY77" s="214">
        <f t="shared" si="62"/>
        <v>50111</v>
      </c>
      <c r="AZ77" s="216">
        <v>135</v>
      </c>
      <c r="BA77" s="203">
        <f t="shared" si="63"/>
        <v>41017.07</v>
      </c>
      <c r="BB77" s="203">
        <f t="shared" si="64"/>
        <v>303.83014814814817</v>
      </c>
      <c r="BC77" s="215">
        <v>41017.07</v>
      </c>
      <c r="BD77" s="215"/>
      <c r="BE77" s="215"/>
      <c r="BF77" s="215"/>
      <c r="BG77" s="215"/>
      <c r="BH77" s="215">
        <v>31384</v>
      </c>
      <c r="BI77" s="214">
        <f t="shared" si="65"/>
        <v>31384</v>
      </c>
      <c r="BJ77" s="216">
        <v>159</v>
      </c>
      <c r="BK77" s="203">
        <f t="shared" si="66"/>
        <v>31471.64</v>
      </c>
      <c r="BL77" s="203">
        <f t="shared" si="67"/>
        <v>197.93484276729561</v>
      </c>
      <c r="BM77" s="215">
        <v>31471.64</v>
      </c>
      <c r="BN77" s="215"/>
      <c r="BO77" s="215"/>
      <c r="BP77" s="215"/>
      <c r="BQ77" s="215"/>
      <c r="BR77" s="215">
        <v>29220</v>
      </c>
      <c r="BS77" s="214">
        <f t="shared" si="68"/>
        <v>29220</v>
      </c>
      <c r="BT77" s="226">
        <v>204</v>
      </c>
      <c r="BU77" s="203">
        <f t="shared" si="69"/>
        <v>41049</v>
      </c>
      <c r="BV77" s="203">
        <f t="shared" si="70"/>
        <v>201.22058823529412</v>
      </c>
      <c r="BW77" s="225">
        <v>41049</v>
      </c>
      <c r="BX77" s="225"/>
      <c r="BY77" s="225"/>
      <c r="BZ77" s="225"/>
      <c r="CA77" s="225"/>
      <c r="CB77" s="225">
        <v>38380</v>
      </c>
      <c r="CC77" s="214">
        <f t="shared" si="71"/>
        <v>38380</v>
      </c>
    </row>
    <row r="78" spans="1:81" s="213" customFormat="1" ht="15.95" customHeight="1" x14ac:dyDescent="0.2">
      <c r="A78" s="227"/>
      <c r="B78" s="217"/>
      <c r="C78" s="203"/>
      <c r="D78" s="203"/>
      <c r="E78" s="215"/>
      <c r="F78" s="215"/>
      <c r="G78" s="215"/>
      <c r="H78" s="215"/>
      <c r="I78" s="215"/>
      <c r="J78" s="215"/>
      <c r="K78" s="214"/>
      <c r="L78" s="216"/>
      <c r="M78" s="203"/>
      <c r="N78" s="203"/>
      <c r="O78" s="215"/>
      <c r="P78" s="215"/>
      <c r="Q78" s="215"/>
      <c r="R78" s="215"/>
      <c r="S78" s="215"/>
      <c r="T78" s="215"/>
      <c r="U78" s="214"/>
      <c r="V78" s="216"/>
      <c r="W78" s="203"/>
      <c r="X78" s="203"/>
      <c r="Y78" s="215"/>
      <c r="Z78" s="215"/>
      <c r="AA78" s="215"/>
      <c r="AB78" s="215"/>
      <c r="AC78" s="215"/>
      <c r="AD78" s="215"/>
      <c r="AE78" s="214"/>
      <c r="AF78" s="216"/>
      <c r="AG78" s="203"/>
      <c r="AH78" s="203"/>
      <c r="AI78" s="215"/>
      <c r="AJ78" s="215"/>
      <c r="AK78" s="215"/>
      <c r="AL78" s="215"/>
      <c r="AM78" s="215"/>
      <c r="AN78" s="215"/>
      <c r="AO78" s="214"/>
      <c r="AP78" s="216"/>
      <c r="AQ78" s="203"/>
      <c r="AR78" s="203"/>
      <c r="AS78" s="215"/>
      <c r="AT78" s="215"/>
      <c r="AU78" s="215"/>
      <c r="AV78" s="215"/>
      <c r="AW78" s="215"/>
      <c r="AX78" s="215"/>
      <c r="AY78" s="214"/>
      <c r="AZ78" s="216"/>
      <c r="BA78" s="203"/>
      <c r="BB78" s="203"/>
      <c r="BC78" s="215"/>
      <c r="BD78" s="215"/>
      <c r="BE78" s="215"/>
      <c r="BF78" s="215"/>
      <c r="BG78" s="215"/>
      <c r="BH78" s="215"/>
      <c r="BI78" s="214"/>
      <c r="BJ78" s="216"/>
      <c r="BK78" s="203"/>
      <c r="BL78" s="203"/>
      <c r="BM78" s="215"/>
      <c r="BN78" s="215"/>
      <c r="BO78" s="215"/>
      <c r="BP78" s="215"/>
      <c r="BQ78" s="215"/>
      <c r="BR78" s="215"/>
      <c r="BS78" s="214"/>
      <c r="BT78" s="226"/>
      <c r="BU78" s="203">
        <f t="shared" si="69"/>
        <v>0</v>
      </c>
      <c r="BV78" s="203">
        <f t="shared" si="70"/>
        <v>0</v>
      </c>
      <c r="BW78" s="225"/>
      <c r="BX78" s="225"/>
      <c r="BY78" s="225"/>
      <c r="BZ78" s="225"/>
      <c r="CA78" s="225"/>
      <c r="CB78" s="225"/>
      <c r="CC78" s="214">
        <f t="shared" si="71"/>
        <v>0</v>
      </c>
    </row>
    <row r="79" spans="1:81" s="213" customFormat="1" ht="15.95" customHeight="1" x14ac:dyDescent="0.2">
      <c r="A79" s="227"/>
      <c r="B79" s="217"/>
      <c r="C79" s="203"/>
      <c r="D79" s="203"/>
      <c r="E79" s="215"/>
      <c r="F79" s="215"/>
      <c r="G79" s="215"/>
      <c r="H79" s="215"/>
      <c r="I79" s="215"/>
      <c r="J79" s="215"/>
      <c r="K79" s="214"/>
      <c r="L79" s="216"/>
      <c r="M79" s="203"/>
      <c r="N79" s="203"/>
      <c r="O79" s="215"/>
      <c r="P79" s="215"/>
      <c r="Q79" s="215"/>
      <c r="R79" s="215"/>
      <c r="S79" s="215"/>
      <c r="T79" s="215"/>
      <c r="U79" s="214"/>
      <c r="V79" s="216"/>
      <c r="W79" s="203"/>
      <c r="X79" s="203"/>
      <c r="Y79" s="215"/>
      <c r="Z79" s="215"/>
      <c r="AA79" s="215"/>
      <c r="AB79" s="215"/>
      <c r="AC79" s="215"/>
      <c r="AD79" s="215"/>
      <c r="AE79" s="214"/>
      <c r="AF79" s="216"/>
      <c r="AG79" s="203"/>
      <c r="AH79" s="203"/>
      <c r="AI79" s="215"/>
      <c r="AJ79" s="215"/>
      <c r="AK79" s="215"/>
      <c r="AL79" s="215"/>
      <c r="AM79" s="215"/>
      <c r="AN79" s="215"/>
      <c r="AO79" s="214"/>
      <c r="AP79" s="216"/>
      <c r="AQ79" s="203"/>
      <c r="AR79" s="203"/>
      <c r="AS79" s="215"/>
      <c r="AT79" s="215"/>
      <c r="AU79" s="215"/>
      <c r="AV79" s="215"/>
      <c r="AW79" s="215"/>
      <c r="AX79" s="215"/>
      <c r="AY79" s="214"/>
      <c r="AZ79" s="216"/>
      <c r="BA79" s="203"/>
      <c r="BB79" s="203"/>
      <c r="BC79" s="215"/>
      <c r="BD79" s="215"/>
      <c r="BE79" s="215"/>
      <c r="BF79" s="215"/>
      <c r="BG79" s="215"/>
      <c r="BH79" s="215"/>
      <c r="BI79" s="214"/>
      <c r="BJ79" s="216"/>
      <c r="BK79" s="203"/>
      <c r="BL79" s="203"/>
      <c r="BM79" s="215"/>
      <c r="BN79" s="215"/>
      <c r="BO79" s="215"/>
      <c r="BP79" s="215"/>
      <c r="BQ79" s="215"/>
      <c r="BR79" s="215"/>
      <c r="BS79" s="214"/>
      <c r="BT79" s="226"/>
      <c r="BU79" s="203">
        <f t="shared" si="69"/>
        <v>0</v>
      </c>
      <c r="BV79" s="203">
        <f t="shared" si="70"/>
        <v>0</v>
      </c>
      <c r="BW79" s="225"/>
      <c r="BX79" s="225"/>
      <c r="BY79" s="225"/>
      <c r="BZ79" s="225"/>
      <c r="CA79" s="225"/>
      <c r="CB79" s="225"/>
      <c r="CC79" s="214">
        <f t="shared" si="71"/>
        <v>0</v>
      </c>
    </row>
    <row r="80" spans="1:81" s="213" customFormat="1" ht="15.95" customHeight="1" x14ac:dyDescent="0.2">
      <c r="A80" s="227"/>
      <c r="B80" s="217"/>
      <c r="C80" s="203">
        <f>SUM(E80:I80)</f>
        <v>0</v>
      </c>
      <c r="D80" s="203">
        <f>IFERROR(C80/B80,0)</f>
        <v>0</v>
      </c>
      <c r="E80" s="215"/>
      <c r="F80" s="215"/>
      <c r="G80" s="215"/>
      <c r="H80" s="215"/>
      <c r="I80" s="215"/>
      <c r="J80" s="215"/>
      <c r="K80" s="214">
        <f>IF(J80=0,0,(IF(E80&lt;=J80,E80,J80)))</f>
        <v>0</v>
      </c>
      <c r="L80" s="216"/>
      <c r="M80" s="203">
        <f>SUM(O80:S80)</f>
        <v>0</v>
      </c>
      <c r="N80" s="203">
        <f>IFERROR(M80/L80,0)</f>
        <v>0</v>
      </c>
      <c r="O80" s="215"/>
      <c r="P80" s="215"/>
      <c r="Q80" s="215"/>
      <c r="R80" s="215"/>
      <c r="S80" s="215"/>
      <c r="T80" s="215"/>
      <c r="U80" s="214">
        <f>IF(T80=0,0,(IF(O80&lt;=T80,O80,T80)))</f>
        <v>0</v>
      </c>
      <c r="V80" s="216"/>
      <c r="W80" s="203">
        <f>SUM(Y80:AC80)</f>
        <v>0</v>
      </c>
      <c r="X80" s="203">
        <f>IFERROR(W80/V80,0)</f>
        <v>0</v>
      </c>
      <c r="Y80" s="215"/>
      <c r="Z80" s="215"/>
      <c r="AA80" s="215"/>
      <c r="AB80" s="215"/>
      <c r="AC80" s="215"/>
      <c r="AD80" s="215"/>
      <c r="AE80" s="214">
        <f>IF(AD80=0,0,(IF(Y80&lt;=AD80,Y80,AD80)))</f>
        <v>0</v>
      </c>
      <c r="AF80" s="216"/>
      <c r="AG80" s="203">
        <f>SUM(AI80:AM80)</f>
        <v>0</v>
      </c>
      <c r="AH80" s="203">
        <f>IFERROR(AG80/AF80,0)</f>
        <v>0</v>
      </c>
      <c r="AI80" s="215"/>
      <c r="AJ80" s="215"/>
      <c r="AK80" s="215"/>
      <c r="AL80" s="215"/>
      <c r="AM80" s="215"/>
      <c r="AN80" s="215"/>
      <c r="AO80" s="214">
        <f>IF(AN80=0,0,(IF(AI80&lt;=AN80,AI80,AN80)))</f>
        <v>0</v>
      </c>
      <c r="AP80" s="216"/>
      <c r="AQ80" s="203">
        <f>SUM(AS80:AW80)</f>
        <v>0</v>
      </c>
      <c r="AR80" s="203">
        <f>IFERROR(AQ80/AP80,0)</f>
        <v>0</v>
      </c>
      <c r="AS80" s="215"/>
      <c r="AT80" s="215"/>
      <c r="AU80" s="215"/>
      <c r="AV80" s="215"/>
      <c r="AW80" s="215"/>
      <c r="AX80" s="215"/>
      <c r="AY80" s="214">
        <f>IF(AX80=0,0,(IF(AS80&lt;=AX80,AS80,AX80)))</f>
        <v>0</v>
      </c>
      <c r="AZ80" s="216"/>
      <c r="BA80" s="203">
        <f>SUM(BC80:BG80)</f>
        <v>0</v>
      </c>
      <c r="BB80" s="203">
        <f>IFERROR(BA80/AZ80,0)</f>
        <v>0</v>
      </c>
      <c r="BC80" s="215"/>
      <c r="BD80" s="215"/>
      <c r="BE80" s="215"/>
      <c r="BF80" s="215"/>
      <c r="BG80" s="215"/>
      <c r="BH80" s="215"/>
      <c r="BI80" s="214">
        <f>IF(BH80=0,0,(IF(BC80&lt;=BH80,BC80,BH80)))</f>
        <v>0</v>
      </c>
      <c r="BJ80" s="216"/>
      <c r="BK80" s="203">
        <f>SUM(BM80:BQ80)</f>
        <v>0</v>
      </c>
      <c r="BL80" s="203">
        <f>IFERROR(BK80/BJ80,0)</f>
        <v>0</v>
      </c>
      <c r="BM80" s="215"/>
      <c r="BN80" s="215"/>
      <c r="BO80" s="215"/>
      <c r="BP80" s="215"/>
      <c r="BQ80" s="215"/>
      <c r="BR80" s="215"/>
      <c r="BS80" s="214">
        <f>IF(BR80=0,0,(IF(BM80&lt;=BR80,BM80,BR80)))</f>
        <v>0</v>
      </c>
      <c r="BT80" s="226"/>
      <c r="BU80" s="203">
        <f t="shared" si="69"/>
        <v>0</v>
      </c>
      <c r="BV80" s="203">
        <f t="shared" si="70"/>
        <v>0</v>
      </c>
      <c r="BW80" s="225"/>
      <c r="BX80" s="225"/>
      <c r="BY80" s="225"/>
      <c r="BZ80" s="225"/>
      <c r="CA80" s="225"/>
      <c r="CB80" s="225"/>
      <c r="CC80" s="214">
        <f t="shared" si="71"/>
        <v>0</v>
      </c>
    </row>
    <row r="81" spans="1:81" s="213" customFormat="1" ht="15.95" customHeight="1" x14ac:dyDescent="0.2">
      <c r="A81" s="227"/>
      <c r="B81" s="217"/>
      <c r="C81" s="203">
        <f>SUM(E81:I81)</f>
        <v>0</v>
      </c>
      <c r="D81" s="203">
        <f>IFERROR(C81/B81,0)</f>
        <v>0</v>
      </c>
      <c r="E81" s="215"/>
      <c r="F81" s="215"/>
      <c r="G81" s="215"/>
      <c r="H81" s="215"/>
      <c r="I81" s="215"/>
      <c r="J81" s="215"/>
      <c r="K81" s="214">
        <f>IF(J81=0,0,(IF(E81&lt;=J81,E81,J81)))</f>
        <v>0</v>
      </c>
      <c r="L81" s="216"/>
      <c r="M81" s="203">
        <f>SUM(O81:S81)</f>
        <v>0</v>
      </c>
      <c r="N81" s="203">
        <f>IFERROR(M81/L81,0)</f>
        <v>0</v>
      </c>
      <c r="O81" s="215"/>
      <c r="P81" s="215"/>
      <c r="Q81" s="215"/>
      <c r="R81" s="215"/>
      <c r="S81" s="215"/>
      <c r="T81" s="215"/>
      <c r="U81" s="214">
        <f>IF(T81=0,0,(IF(O81&lt;=T81,O81,T81)))</f>
        <v>0</v>
      </c>
      <c r="V81" s="216"/>
      <c r="W81" s="203">
        <f>SUM(Y81:AC81)</f>
        <v>0</v>
      </c>
      <c r="X81" s="203">
        <f>IFERROR(W81/V81,0)</f>
        <v>0</v>
      </c>
      <c r="Y81" s="215"/>
      <c r="Z81" s="215"/>
      <c r="AA81" s="215"/>
      <c r="AB81" s="215"/>
      <c r="AC81" s="215"/>
      <c r="AD81" s="215"/>
      <c r="AE81" s="214">
        <f>IF(AD81=0,0,(IF(Y81&lt;=AD81,Y81,AD81)))</f>
        <v>0</v>
      </c>
      <c r="AF81" s="216"/>
      <c r="AG81" s="203">
        <f>SUM(AI81:AM81)</f>
        <v>0</v>
      </c>
      <c r="AH81" s="203">
        <f>IFERROR(AG81/AF81,0)</f>
        <v>0</v>
      </c>
      <c r="AI81" s="215"/>
      <c r="AJ81" s="215"/>
      <c r="AK81" s="215"/>
      <c r="AL81" s="215"/>
      <c r="AM81" s="215"/>
      <c r="AN81" s="215"/>
      <c r="AO81" s="214">
        <f>IF(AN81=0,0,(IF(AI81&lt;=AN81,AI81,AN81)))</f>
        <v>0</v>
      </c>
      <c r="AP81" s="216"/>
      <c r="AQ81" s="203">
        <f>SUM(AS81:AW81)</f>
        <v>0</v>
      </c>
      <c r="AR81" s="203">
        <f>IFERROR(AQ81/AP81,0)</f>
        <v>0</v>
      </c>
      <c r="AS81" s="215"/>
      <c r="AT81" s="215"/>
      <c r="AU81" s="215"/>
      <c r="AV81" s="215"/>
      <c r="AW81" s="215"/>
      <c r="AX81" s="215"/>
      <c r="AY81" s="214">
        <f>IF(AX81=0,0,(IF(AS81&lt;=AX81,AS81,AX81)))</f>
        <v>0</v>
      </c>
      <c r="AZ81" s="216"/>
      <c r="BA81" s="203">
        <f>SUM(BC81:BG81)</f>
        <v>0</v>
      </c>
      <c r="BB81" s="203">
        <f>IFERROR(BA81/AZ81,0)</f>
        <v>0</v>
      </c>
      <c r="BC81" s="215"/>
      <c r="BD81" s="215"/>
      <c r="BE81" s="215"/>
      <c r="BF81" s="215"/>
      <c r="BG81" s="215"/>
      <c r="BH81" s="215"/>
      <c r="BI81" s="214">
        <f>IF(BH81=0,0,(IF(BC81&lt;=BH81,BC81,BH81)))</f>
        <v>0</v>
      </c>
      <c r="BJ81" s="216"/>
      <c r="BK81" s="203">
        <f>SUM(BM81:BQ81)</f>
        <v>0</v>
      </c>
      <c r="BL81" s="203">
        <f>IFERROR(BK81/BJ81,0)</f>
        <v>0</v>
      </c>
      <c r="BM81" s="215"/>
      <c r="BN81" s="215"/>
      <c r="BO81" s="215"/>
      <c r="BP81" s="215"/>
      <c r="BQ81" s="215"/>
      <c r="BR81" s="215"/>
      <c r="BS81" s="214">
        <f>IF(BR81=0,0,(IF(BM81&lt;=BR81,BM81,BR81)))</f>
        <v>0</v>
      </c>
      <c r="BT81" s="226"/>
      <c r="BU81" s="203">
        <f t="shared" si="69"/>
        <v>0</v>
      </c>
      <c r="BV81" s="203">
        <f t="shared" si="70"/>
        <v>0</v>
      </c>
      <c r="BW81" s="225"/>
      <c r="BX81" s="225"/>
      <c r="BY81" s="225"/>
      <c r="BZ81" s="225"/>
      <c r="CA81" s="225"/>
      <c r="CB81" s="225"/>
      <c r="CC81" s="214">
        <f t="shared" si="71"/>
        <v>0</v>
      </c>
    </row>
    <row r="82" spans="1:81" s="213" customFormat="1" ht="15.95" customHeight="1" x14ac:dyDescent="0.2">
      <c r="A82" s="227"/>
      <c r="B82" s="217"/>
      <c r="C82" s="203">
        <f>SUM(E82:I82)</f>
        <v>0</v>
      </c>
      <c r="D82" s="203">
        <f>IFERROR(C82/B82,0)</f>
        <v>0</v>
      </c>
      <c r="E82" s="215"/>
      <c r="F82" s="215"/>
      <c r="G82" s="215"/>
      <c r="H82" s="215"/>
      <c r="I82" s="215"/>
      <c r="J82" s="215"/>
      <c r="K82" s="214">
        <f>IF(J82=0,0,(IF(E82&lt;=J82,E82,J82)))</f>
        <v>0</v>
      </c>
      <c r="L82" s="216"/>
      <c r="M82" s="203">
        <f>SUM(O82:S82)</f>
        <v>0</v>
      </c>
      <c r="N82" s="203">
        <f>IFERROR(M82/L82,0)</f>
        <v>0</v>
      </c>
      <c r="O82" s="215"/>
      <c r="P82" s="215"/>
      <c r="Q82" s="215"/>
      <c r="R82" s="215"/>
      <c r="S82" s="215"/>
      <c r="T82" s="215"/>
      <c r="U82" s="214">
        <f>IF(T82=0,0,(IF(O82&lt;=T82,O82,T82)))</f>
        <v>0</v>
      </c>
      <c r="V82" s="216"/>
      <c r="W82" s="203">
        <f>SUM(Y82:AC82)</f>
        <v>0</v>
      </c>
      <c r="X82" s="203">
        <f>IFERROR(W82/V82,0)</f>
        <v>0</v>
      </c>
      <c r="Y82" s="215"/>
      <c r="Z82" s="215"/>
      <c r="AA82" s="215"/>
      <c r="AB82" s="215"/>
      <c r="AC82" s="215"/>
      <c r="AD82" s="215"/>
      <c r="AE82" s="214">
        <f>IF(AD82=0,0,(IF(Y82&lt;=AD82,Y82,AD82)))</f>
        <v>0</v>
      </c>
      <c r="AF82" s="216"/>
      <c r="AG82" s="203">
        <f>SUM(AI82:AM82)</f>
        <v>0</v>
      </c>
      <c r="AH82" s="203">
        <f>IFERROR(AG82/AF82,0)</f>
        <v>0</v>
      </c>
      <c r="AI82" s="215"/>
      <c r="AJ82" s="215"/>
      <c r="AK82" s="215"/>
      <c r="AL82" s="215"/>
      <c r="AM82" s="215"/>
      <c r="AN82" s="215"/>
      <c r="AO82" s="214">
        <f>IF(AN82=0,0,(IF(AI82&lt;=AN82,AI82,AN82)))</f>
        <v>0</v>
      </c>
      <c r="AP82" s="216"/>
      <c r="AQ82" s="203">
        <f>SUM(AS82:AW82)</f>
        <v>0</v>
      </c>
      <c r="AR82" s="203">
        <f>IFERROR(AQ82/AP82,0)</f>
        <v>0</v>
      </c>
      <c r="AS82" s="215"/>
      <c r="AT82" s="215"/>
      <c r="AU82" s="215"/>
      <c r="AV82" s="215"/>
      <c r="AW82" s="215"/>
      <c r="AX82" s="215"/>
      <c r="AY82" s="214">
        <f>IF(AX82=0,0,(IF(AS82&lt;=AX82,AS82,AX82)))</f>
        <v>0</v>
      </c>
      <c r="AZ82" s="216"/>
      <c r="BA82" s="203">
        <f>SUM(BC82:BG82)</f>
        <v>0</v>
      </c>
      <c r="BB82" s="203">
        <f>IFERROR(BA82/AZ82,0)</f>
        <v>0</v>
      </c>
      <c r="BC82" s="215"/>
      <c r="BD82" s="215"/>
      <c r="BE82" s="215"/>
      <c r="BF82" s="215"/>
      <c r="BG82" s="215"/>
      <c r="BH82" s="215"/>
      <c r="BI82" s="214">
        <f>IF(BH82=0,0,(IF(BC82&lt;=BH82,BC82,BH82)))</f>
        <v>0</v>
      </c>
      <c r="BJ82" s="216"/>
      <c r="BK82" s="203">
        <f>SUM(BM82:BQ82)</f>
        <v>0</v>
      </c>
      <c r="BL82" s="203">
        <f>IFERROR(BK82/BJ82,0)</f>
        <v>0</v>
      </c>
      <c r="BM82" s="215"/>
      <c r="BN82" s="215"/>
      <c r="BO82" s="215"/>
      <c r="BP82" s="215"/>
      <c r="BQ82" s="215"/>
      <c r="BR82" s="215"/>
      <c r="BS82" s="214">
        <f>IF(BR82=0,0,(IF(BM82&lt;=BR82,BM82,BR82)))</f>
        <v>0</v>
      </c>
      <c r="BT82" s="226"/>
      <c r="BU82" s="203">
        <f t="shared" si="69"/>
        <v>0</v>
      </c>
      <c r="BV82" s="203">
        <f t="shared" si="70"/>
        <v>0</v>
      </c>
      <c r="BW82" s="225"/>
      <c r="BX82" s="225"/>
      <c r="BY82" s="225"/>
      <c r="BZ82" s="225"/>
      <c r="CA82" s="225"/>
      <c r="CB82" s="225"/>
      <c r="CC82" s="214">
        <f t="shared" si="71"/>
        <v>0</v>
      </c>
    </row>
    <row r="83" spans="1:81" s="213" customFormat="1" ht="15.95" customHeight="1" x14ac:dyDescent="0.2">
      <c r="A83" s="227"/>
      <c r="B83" s="217"/>
      <c r="C83" s="203">
        <f>SUM(E83:I83)</f>
        <v>0</v>
      </c>
      <c r="D83" s="203">
        <f>IFERROR(C83/B83,0)</f>
        <v>0</v>
      </c>
      <c r="E83" s="215"/>
      <c r="F83" s="215"/>
      <c r="G83" s="215"/>
      <c r="H83" s="215"/>
      <c r="I83" s="215"/>
      <c r="J83" s="215"/>
      <c r="K83" s="214">
        <f>IF(J83=0,0,(IF(E83&lt;=J83,E83,J83)))</f>
        <v>0</v>
      </c>
      <c r="L83" s="216"/>
      <c r="M83" s="203">
        <f>SUM(O83:S83)</f>
        <v>0</v>
      </c>
      <c r="N83" s="203">
        <f>IFERROR(M83/L83,0)</f>
        <v>0</v>
      </c>
      <c r="O83" s="215"/>
      <c r="P83" s="215"/>
      <c r="Q83" s="215"/>
      <c r="R83" s="215"/>
      <c r="S83" s="215"/>
      <c r="T83" s="215"/>
      <c r="U83" s="214">
        <f>IF(T83=0,0,(IF(O83&lt;=T83,O83,T83)))</f>
        <v>0</v>
      </c>
      <c r="V83" s="216"/>
      <c r="W83" s="203">
        <f>SUM(Y83:AC83)</f>
        <v>0</v>
      </c>
      <c r="X83" s="203">
        <f>IFERROR(W83/V83,0)</f>
        <v>0</v>
      </c>
      <c r="Y83" s="215"/>
      <c r="Z83" s="215"/>
      <c r="AA83" s="215"/>
      <c r="AB83" s="215"/>
      <c r="AC83" s="215"/>
      <c r="AD83" s="215"/>
      <c r="AE83" s="214">
        <f>IF(AD83=0,0,(IF(Y83&lt;=AD83,Y83,AD83)))</f>
        <v>0</v>
      </c>
      <c r="AF83" s="216"/>
      <c r="AG83" s="203">
        <f>SUM(AI83:AM83)</f>
        <v>0</v>
      </c>
      <c r="AH83" s="203">
        <f>IFERROR(AG83/AF83,0)</f>
        <v>0</v>
      </c>
      <c r="AI83" s="215"/>
      <c r="AJ83" s="215"/>
      <c r="AK83" s="215"/>
      <c r="AL83" s="215"/>
      <c r="AM83" s="215"/>
      <c r="AN83" s="215"/>
      <c r="AO83" s="214">
        <f>IF(AN83=0,0,(IF(AI83&lt;=AN83,AI83,AN83)))</f>
        <v>0</v>
      </c>
      <c r="AP83" s="216"/>
      <c r="AQ83" s="203">
        <f>SUM(AS83:AW83)</f>
        <v>0</v>
      </c>
      <c r="AR83" s="203">
        <f>IFERROR(AQ83/AP83,0)</f>
        <v>0</v>
      </c>
      <c r="AS83" s="215"/>
      <c r="AT83" s="215"/>
      <c r="AU83" s="215"/>
      <c r="AV83" s="215"/>
      <c r="AW83" s="215"/>
      <c r="AX83" s="215"/>
      <c r="AY83" s="214">
        <f>IF(AX83=0,0,(IF(AS83&lt;=AX83,AS83,AX83)))</f>
        <v>0</v>
      </c>
      <c r="AZ83" s="216"/>
      <c r="BA83" s="203">
        <f>SUM(BC83:BG83)</f>
        <v>0</v>
      </c>
      <c r="BB83" s="203">
        <f>IFERROR(BA83/AZ83,0)</f>
        <v>0</v>
      </c>
      <c r="BC83" s="215"/>
      <c r="BD83" s="215"/>
      <c r="BE83" s="215"/>
      <c r="BF83" s="215"/>
      <c r="BG83" s="215"/>
      <c r="BH83" s="215"/>
      <c r="BI83" s="214">
        <f>IF(BH83=0,0,(IF(BC83&lt;=BH83,BC83,BH83)))</f>
        <v>0</v>
      </c>
      <c r="BJ83" s="216"/>
      <c r="BK83" s="203">
        <f>SUM(BM83:BQ83)</f>
        <v>0</v>
      </c>
      <c r="BL83" s="203">
        <f>IFERROR(BK83/BJ83,0)</f>
        <v>0</v>
      </c>
      <c r="BM83" s="215"/>
      <c r="BN83" s="215"/>
      <c r="BO83" s="215"/>
      <c r="BP83" s="215"/>
      <c r="BQ83" s="215"/>
      <c r="BR83" s="215"/>
      <c r="BS83" s="214">
        <f>IF(BR83=0,0,(IF(BM83&lt;=BR83,BM83,BR83)))</f>
        <v>0</v>
      </c>
      <c r="BT83" s="226"/>
      <c r="BU83" s="203">
        <f t="shared" si="69"/>
        <v>0</v>
      </c>
      <c r="BV83" s="203">
        <f t="shared" si="70"/>
        <v>0</v>
      </c>
      <c r="BW83" s="225"/>
      <c r="BX83" s="225"/>
      <c r="BY83" s="225"/>
      <c r="BZ83" s="225"/>
      <c r="CA83" s="225"/>
      <c r="CB83" s="225"/>
      <c r="CC83" s="214">
        <f t="shared" si="71"/>
        <v>0</v>
      </c>
    </row>
    <row r="84" spans="1:81" s="213" customFormat="1" ht="15.95" customHeight="1" x14ac:dyDescent="0.2">
      <c r="A84" s="227"/>
      <c r="B84" s="217"/>
      <c r="C84" s="203">
        <f>SUM(E84:I84)</f>
        <v>0</v>
      </c>
      <c r="D84" s="203">
        <f>IFERROR(C84/B84,0)</f>
        <v>0</v>
      </c>
      <c r="E84" s="215"/>
      <c r="F84" s="215"/>
      <c r="G84" s="215"/>
      <c r="H84" s="215"/>
      <c r="I84" s="215"/>
      <c r="J84" s="215"/>
      <c r="K84" s="214">
        <f>IF(J84=0,0,(IF(E84&lt;=J84,E84,J84)))</f>
        <v>0</v>
      </c>
      <c r="L84" s="216"/>
      <c r="M84" s="203">
        <f>SUM(O84:S84)</f>
        <v>0</v>
      </c>
      <c r="N84" s="203">
        <f>IFERROR(M84/L84,0)</f>
        <v>0</v>
      </c>
      <c r="O84" s="215"/>
      <c r="P84" s="215"/>
      <c r="Q84" s="215"/>
      <c r="R84" s="215"/>
      <c r="S84" s="215"/>
      <c r="T84" s="215"/>
      <c r="U84" s="214">
        <f>IF(T84=0,0,(IF(O84&lt;=T84,O84,T84)))</f>
        <v>0</v>
      </c>
      <c r="V84" s="216"/>
      <c r="W84" s="203">
        <f>SUM(Y84:AC84)</f>
        <v>0</v>
      </c>
      <c r="X84" s="203">
        <f>IFERROR(W84/V84,0)</f>
        <v>0</v>
      </c>
      <c r="Y84" s="215"/>
      <c r="Z84" s="215"/>
      <c r="AA84" s="215"/>
      <c r="AB84" s="215"/>
      <c r="AC84" s="215"/>
      <c r="AD84" s="215"/>
      <c r="AE84" s="214">
        <f>IF(AD84=0,0,(IF(Y84&lt;=AD84,Y84,AD84)))</f>
        <v>0</v>
      </c>
      <c r="AF84" s="216"/>
      <c r="AG84" s="203">
        <f>SUM(AI84:AM84)</f>
        <v>0</v>
      </c>
      <c r="AH84" s="203">
        <f>IFERROR(AG84/AF84,0)</f>
        <v>0</v>
      </c>
      <c r="AI84" s="215"/>
      <c r="AJ84" s="215"/>
      <c r="AK84" s="215"/>
      <c r="AL84" s="215"/>
      <c r="AM84" s="215"/>
      <c r="AN84" s="215"/>
      <c r="AO84" s="214">
        <f>IF(AN84=0,0,(IF(AI84&lt;=AN84,AI84,AN84)))</f>
        <v>0</v>
      </c>
      <c r="AP84" s="216"/>
      <c r="AQ84" s="203">
        <f>SUM(AS84:AW84)</f>
        <v>0</v>
      </c>
      <c r="AR84" s="203">
        <f>IFERROR(AQ84/AP84,0)</f>
        <v>0</v>
      </c>
      <c r="AS84" s="215"/>
      <c r="AT84" s="215"/>
      <c r="AU84" s="215"/>
      <c r="AV84" s="215"/>
      <c r="AW84" s="215"/>
      <c r="AX84" s="215"/>
      <c r="AY84" s="214">
        <f>IF(AX84=0,0,(IF(AS84&lt;=AX84,AS84,AX84)))</f>
        <v>0</v>
      </c>
      <c r="AZ84" s="216"/>
      <c r="BA84" s="203">
        <f>SUM(BC84:BG84)</f>
        <v>0</v>
      </c>
      <c r="BB84" s="203">
        <f>IFERROR(BA84/AZ84,0)</f>
        <v>0</v>
      </c>
      <c r="BC84" s="215"/>
      <c r="BD84" s="215"/>
      <c r="BE84" s="215"/>
      <c r="BF84" s="215"/>
      <c r="BG84" s="215"/>
      <c r="BH84" s="215"/>
      <c r="BI84" s="214">
        <f>IF(BH84=0,0,(IF(BC84&lt;=BH84,BC84,BH84)))</f>
        <v>0</v>
      </c>
      <c r="BJ84" s="216"/>
      <c r="BK84" s="203">
        <f>SUM(BM84:BQ84)</f>
        <v>0</v>
      </c>
      <c r="BL84" s="203">
        <f>IFERROR(BK84/BJ84,0)</f>
        <v>0</v>
      </c>
      <c r="BM84" s="215"/>
      <c r="BN84" s="215"/>
      <c r="BO84" s="215"/>
      <c r="BP84" s="215"/>
      <c r="BQ84" s="215"/>
      <c r="BR84" s="215"/>
      <c r="BS84" s="214">
        <f>IF(BR84=0,0,(IF(BM84&lt;=BR84,BM84,BR84)))</f>
        <v>0</v>
      </c>
      <c r="BT84" s="226"/>
      <c r="BU84" s="203">
        <f t="shared" si="69"/>
        <v>0</v>
      </c>
      <c r="BV84" s="203">
        <f t="shared" si="70"/>
        <v>0</v>
      </c>
      <c r="BW84" s="225"/>
      <c r="BX84" s="225"/>
      <c r="BY84" s="225"/>
      <c r="BZ84" s="225"/>
      <c r="CA84" s="225"/>
      <c r="CB84" s="225"/>
      <c r="CC84" s="214">
        <f t="shared" si="71"/>
        <v>0</v>
      </c>
    </row>
    <row r="85" spans="1:81" ht="15.95" customHeight="1" x14ac:dyDescent="0.2">
      <c r="A85" s="224" t="s">
        <v>163</v>
      </c>
      <c r="B85" s="223"/>
      <c r="C85" s="221"/>
      <c r="D85" s="221"/>
      <c r="E85" s="220"/>
      <c r="F85" s="220"/>
      <c r="G85" s="220"/>
      <c r="H85" s="220"/>
      <c r="I85" s="220"/>
      <c r="J85" s="220"/>
      <c r="K85" s="214"/>
      <c r="L85" s="222"/>
      <c r="M85" s="221"/>
      <c r="N85" s="221"/>
      <c r="O85" s="220"/>
      <c r="P85" s="220"/>
      <c r="Q85" s="220"/>
      <c r="R85" s="220"/>
      <c r="S85" s="220"/>
      <c r="T85" s="220"/>
      <c r="U85" s="214"/>
      <c r="V85" s="222"/>
      <c r="W85" s="221"/>
      <c r="X85" s="221"/>
      <c r="Y85" s="220"/>
      <c r="Z85" s="220"/>
      <c r="AA85" s="220"/>
      <c r="AB85" s="220"/>
      <c r="AC85" s="220"/>
      <c r="AD85" s="220"/>
      <c r="AE85" s="214"/>
      <c r="AF85" s="216"/>
      <c r="AG85" s="203"/>
      <c r="AH85" s="203"/>
      <c r="AI85" s="215"/>
      <c r="AJ85" s="215"/>
      <c r="AK85" s="215"/>
      <c r="AL85" s="215"/>
      <c r="AM85" s="215"/>
      <c r="AN85" s="215"/>
      <c r="AO85" s="214"/>
      <c r="AP85" s="216"/>
      <c r="AQ85" s="203"/>
      <c r="AR85" s="203"/>
      <c r="AS85" s="215"/>
      <c r="AT85" s="215"/>
      <c r="AU85" s="215"/>
      <c r="AV85" s="215"/>
      <c r="AW85" s="215"/>
      <c r="AX85" s="215"/>
      <c r="AY85" s="214"/>
      <c r="AZ85" s="216"/>
      <c r="BA85" s="203"/>
      <c r="BB85" s="203"/>
      <c r="BC85" s="215"/>
      <c r="BD85" s="215"/>
      <c r="BE85" s="215"/>
      <c r="BF85" s="215"/>
      <c r="BG85" s="215"/>
      <c r="BH85" s="215"/>
      <c r="BI85" s="214"/>
      <c r="BJ85" s="216"/>
      <c r="BK85" s="203"/>
      <c r="BL85" s="203"/>
      <c r="BM85" s="215"/>
      <c r="BN85" s="215"/>
      <c r="BO85" s="215"/>
      <c r="BP85" s="215"/>
      <c r="BQ85" s="215"/>
      <c r="BR85" s="215"/>
      <c r="BS85" s="214"/>
      <c r="BT85" s="216"/>
      <c r="BU85" s="203"/>
      <c r="BV85" s="203"/>
      <c r="BW85" s="215"/>
      <c r="BX85" s="215"/>
      <c r="BY85" s="215"/>
      <c r="BZ85" s="215"/>
      <c r="CA85" s="215"/>
      <c r="CB85" s="215"/>
      <c r="CC85" s="214"/>
    </row>
    <row r="86" spans="1:81" s="213" customFormat="1" ht="15.95" customHeight="1" x14ac:dyDescent="0.2">
      <c r="A86" s="219" t="s">
        <v>190</v>
      </c>
      <c r="B86" s="211">
        <f>SUM(B$63:B85)</f>
        <v>0</v>
      </c>
      <c r="C86" s="203">
        <f>SUM(C$63:C85)</f>
        <v>3606002</v>
      </c>
      <c r="D86" s="203">
        <f>IFERROR(C86/B86,0)</f>
        <v>0</v>
      </c>
      <c r="E86" s="202">
        <f>SUM(E$63:E85)</f>
        <v>3606002</v>
      </c>
      <c r="F86" s="202">
        <f>SUM(F$63:F85)</f>
        <v>0</v>
      </c>
      <c r="G86" s="202">
        <f>SUM(G$63:G85)</f>
        <v>0</v>
      </c>
      <c r="H86" s="202">
        <f>SUM(H$63:H85)</f>
        <v>0</v>
      </c>
      <c r="I86" s="202">
        <f>SUM(I$63:I85)</f>
        <v>0</v>
      </c>
      <c r="J86" s="202">
        <f>SUM(J$63:J85)</f>
        <v>0</v>
      </c>
      <c r="K86" s="214">
        <f>SUM(K$63:K85)</f>
        <v>0</v>
      </c>
      <c r="L86" s="205">
        <f>SUM(L$63:L85)</f>
        <v>1094</v>
      </c>
      <c r="M86" s="203">
        <f>SUM(M$63:M85)</f>
        <v>5563862</v>
      </c>
      <c r="N86" s="203">
        <f>IFERROR(M86/L86,0)</f>
        <v>5085.7970749542965</v>
      </c>
      <c r="O86" s="202">
        <f>SUM(O$63:O85)</f>
        <v>4206606</v>
      </c>
      <c r="P86" s="202">
        <f>SUM(P$63:P85)</f>
        <v>0</v>
      </c>
      <c r="Q86" s="202">
        <f>SUM(Q$63:Q85)</f>
        <v>1017264</v>
      </c>
      <c r="R86" s="202">
        <f>SUM(R$63:R85)</f>
        <v>339992</v>
      </c>
      <c r="S86" s="202">
        <f>SUM(S$63:S85)</f>
        <v>0</v>
      </c>
      <c r="T86" s="202">
        <f>SUM(T$63:T85)</f>
        <v>3399824</v>
      </c>
      <c r="U86" s="214">
        <f>SUM(U$63:U85)</f>
        <v>2442270</v>
      </c>
      <c r="V86" s="205">
        <f>SUM(V$63:V85)</f>
        <v>1200</v>
      </c>
      <c r="W86" s="203">
        <f>SUM(W$63:W85)</f>
        <v>5430429</v>
      </c>
      <c r="X86" s="203">
        <f>IFERROR(W86/V86,0)</f>
        <v>4525.3575000000001</v>
      </c>
      <c r="Y86" s="202">
        <f>SUM(Y$63:Y85)</f>
        <v>4088176</v>
      </c>
      <c r="Z86" s="202">
        <f>SUM(Z$63:Z85)</f>
        <v>0</v>
      </c>
      <c r="AA86" s="202">
        <f>SUM(AA$63:AA85)</f>
        <v>977461</v>
      </c>
      <c r="AB86" s="202">
        <f>SUM(AB$63:AB85)</f>
        <v>364792</v>
      </c>
      <c r="AC86" s="202">
        <f>SUM(AC$63:AC85)</f>
        <v>0</v>
      </c>
      <c r="AD86" s="202">
        <f>SUM(AD$63:AD85)</f>
        <v>3468457</v>
      </c>
      <c r="AE86" s="214">
        <f>SUM(AE$63:AE85)</f>
        <v>2504939</v>
      </c>
      <c r="AF86" s="205">
        <f>SUM(AF$63:AF85)</f>
        <v>1300</v>
      </c>
      <c r="AG86" s="203">
        <f>SUM(AG$63:AG85)</f>
        <v>5419710</v>
      </c>
      <c r="AH86" s="203">
        <f>IFERROR(AG86/AF86,0)</f>
        <v>4169.0076923076922</v>
      </c>
      <c r="AI86" s="202">
        <f>SUM(AI$63:AI85)</f>
        <v>4289741</v>
      </c>
      <c r="AJ86" s="202">
        <f>SUM(AJ$63:AJ85)</f>
        <v>0</v>
      </c>
      <c r="AK86" s="202">
        <f>SUM(AK$63:AK85)</f>
        <v>759257</v>
      </c>
      <c r="AL86" s="202">
        <f>SUM(AL$63:AL85)</f>
        <v>370712</v>
      </c>
      <c r="AM86" s="202">
        <f>SUM(AM$63:AM85)</f>
        <v>0</v>
      </c>
      <c r="AN86" s="202">
        <f>SUM(AN$63:AN85)</f>
        <v>3287174</v>
      </c>
      <c r="AO86" s="214">
        <f>SUM(AO$63:AO85)</f>
        <v>2544752</v>
      </c>
      <c r="AP86" s="205">
        <f>SUM(AP$63:AP85)</f>
        <v>1327</v>
      </c>
      <c r="AQ86" s="203">
        <f>SUM(AQ$63:AQ85)</f>
        <v>5845031</v>
      </c>
      <c r="AR86" s="203">
        <f>IFERROR(AQ86/AP86,0)</f>
        <v>4404.6955538809343</v>
      </c>
      <c r="AS86" s="202">
        <f>SUM(AS$63:AS85)</f>
        <v>4894514</v>
      </c>
      <c r="AT86" s="202">
        <f>SUM(AT$63:AT85)</f>
        <v>0</v>
      </c>
      <c r="AU86" s="202">
        <f>SUM(AU$63:AU85)</f>
        <v>620332</v>
      </c>
      <c r="AV86" s="202">
        <f>SUM(AV$63:AV85)</f>
        <v>330185</v>
      </c>
      <c r="AW86" s="202">
        <f>SUM(AW$63:AW85)</f>
        <v>0</v>
      </c>
      <c r="AX86" s="202">
        <f>SUM(AX$63:AX85)</f>
        <v>3446832</v>
      </c>
      <c r="AY86" s="214">
        <f>SUM(AY$63:AY85)</f>
        <v>2902510</v>
      </c>
      <c r="AZ86" s="205">
        <f>SUM(AZ$63:AZ85)</f>
        <v>1253</v>
      </c>
      <c r="BA86" s="203">
        <f>SUM(BA$63:BA85)</f>
        <v>5080050.7300000004</v>
      </c>
      <c r="BB86" s="203">
        <f>IFERROR(BA86/AZ86,0)</f>
        <v>4054.3102394253792</v>
      </c>
      <c r="BC86" s="202">
        <f>SUM(BC$63:BC85)</f>
        <v>4077114.7299999995</v>
      </c>
      <c r="BD86" s="202">
        <f>SUM(BD$63:BD85)</f>
        <v>0</v>
      </c>
      <c r="BE86" s="202">
        <f>SUM(BE$63:BE85)</f>
        <v>721336</v>
      </c>
      <c r="BF86" s="202">
        <f>SUM(BF$63:BF85)</f>
        <v>281600</v>
      </c>
      <c r="BG86" s="202">
        <f>SUM(BG$63:BG85)</f>
        <v>0</v>
      </c>
      <c r="BH86" s="202">
        <f>SUM(BH$63:BH85)</f>
        <v>3866198</v>
      </c>
      <c r="BI86" s="214">
        <f>SUM(BI$63:BI85)</f>
        <v>3251397.91</v>
      </c>
      <c r="BJ86" s="205">
        <f>SUM(BJ$63:BJ85)</f>
        <v>1285</v>
      </c>
      <c r="BK86" s="203">
        <f>SUM(BK$63:BK85)</f>
        <v>5060097.6999999993</v>
      </c>
      <c r="BL86" s="203">
        <f>IFERROR(BK86/BJ86,0)</f>
        <v>3937.8192217898827</v>
      </c>
      <c r="BM86" s="202">
        <f>SUM(BM$63:BM85)</f>
        <v>4477253.6999999993</v>
      </c>
      <c r="BN86" s="202">
        <f>SUM(BN$63:BN85)</f>
        <v>0</v>
      </c>
      <c r="BO86" s="202">
        <f>SUM(BO$63:BO85)</f>
        <v>425057</v>
      </c>
      <c r="BP86" s="202">
        <f>SUM(BP$63:BP85)</f>
        <v>157787</v>
      </c>
      <c r="BQ86" s="202">
        <f>SUM(BQ$63:BQ85)</f>
        <v>0</v>
      </c>
      <c r="BR86" s="202">
        <f>SUM(BR$63:BR85)</f>
        <v>3498428.5500000054</v>
      </c>
      <c r="BS86" s="214">
        <f>SUM(BS$63:BS85)</f>
        <v>3081035.27</v>
      </c>
      <c r="BT86" s="205">
        <f>SUM(BT$63:BT85)</f>
        <v>1694</v>
      </c>
      <c r="BU86" s="203">
        <f>SUM(BU$63:BU85)</f>
        <v>6668706.75</v>
      </c>
      <c r="BV86" s="203">
        <f>IFERROR(BU86/BT86,0)</f>
        <v>3936.662780401417</v>
      </c>
      <c r="BW86" s="202">
        <f>SUM(BW$63:BW85)</f>
        <v>5197033.75</v>
      </c>
      <c r="BX86" s="202">
        <f>SUM(BX$63:BX85)</f>
        <v>0</v>
      </c>
      <c r="BY86" s="202">
        <f>SUM(BY$63:BY85)</f>
        <v>1349360</v>
      </c>
      <c r="BZ86" s="202">
        <f>SUM(BZ$63:BZ85)</f>
        <v>122313</v>
      </c>
      <c r="CA86" s="202">
        <f>SUM(CA$63:CA85)</f>
        <v>0</v>
      </c>
      <c r="CB86" s="202">
        <f>SUM(CB$63:CB85)</f>
        <v>4736921.75</v>
      </c>
      <c r="CC86" s="214">
        <f>SUM(CC$63:CC85)</f>
        <v>3284548.75</v>
      </c>
    </row>
    <row r="87" spans="1:81" s="213" customFormat="1" ht="15.95" customHeight="1" x14ac:dyDescent="0.2">
      <c r="A87" s="218"/>
      <c r="B87" s="217"/>
      <c r="C87" s="203"/>
      <c r="D87" s="203"/>
      <c r="E87" s="215"/>
      <c r="F87" s="215"/>
      <c r="G87" s="215"/>
      <c r="H87" s="215"/>
      <c r="I87" s="215"/>
      <c r="J87" s="215"/>
      <c r="K87" s="214"/>
      <c r="L87" s="216"/>
      <c r="M87" s="203"/>
      <c r="N87" s="203"/>
      <c r="O87" s="215"/>
      <c r="P87" s="215"/>
      <c r="Q87" s="215"/>
      <c r="R87" s="215"/>
      <c r="S87" s="215"/>
      <c r="T87" s="215"/>
      <c r="U87" s="214"/>
      <c r="V87" s="216"/>
      <c r="W87" s="203"/>
      <c r="X87" s="203"/>
      <c r="Y87" s="215"/>
      <c r="Z87" s="215"/>
      <c r="AA87" s="215"/>
      <c r="AB87" s="215"/>
      <c r="AC87" s="215"/>
      <c r="AD87" s="215"/>
      <c r="AE87" s="214"/>
      <c r="AF87" s="216"/>
      <c r="AG87" s="203"/>
      <c r="AH87" s="203"/>
      <c r="AI87" s="215"/>
      <c r="AJ87" s="215"/>
      <c r="AK87" s="215"/>
      <c r="AL87" s="215"/>
      <c r="AM87" s="215"/>
      <c r="AN87" s="215"/>
      <c r="AO87" s="214"/>
      <c r="AP87" s="216"/>
      <c r="AQ87" s="203"/>
      <c r="AR87" s="203"/>
      <c r="AS87" s="215"/>
      <c r="AT87" s="215"/>
      <c r="AU87" s="215"/>
      <c r="AV87" s="215"/>
      <c r="AW87" s="215"/>
      <c r="AX87" s="215"/>
      <c r="AY87" s="214"/>
      <c r="AZ87" s="216"/>
      <c r="BA87" s="203"/>
      <c r="BB87" s="203"/>
      <c r="BC87" s="215"/>
      <c r="BD87" s="215"/>
      <c r="BE87" s="215"/>
      <c r="BF87" s="215"/>
      <c r="BG87" s="215"/>
      <c r="BH87" s="215"/>
      <c r="BI87" s="214"/>
      <c r="BJ87" s="216"/>
      <c r="BK87" s="203"/>
      <c r="BL87" s="203"/>
      <c r="BM87" s="215"/>
      <c r="BN87" s="215"/>
      <c r="BO87" s="215"/>
      <c r="BP87" s="215"/>
      <c r="BQ87" s="215"/>
      <c r="BR87" s="215"/>
      <c r="BS87" s="214"/>
      <c r="BT87" s="216"/>
      <c r="BU87" s="203"/>
      <c r="BV87" s="203"/>
      <c r="BW87" s="215"/>
      <c r="BX87" s="215"/>
      <c r="BY87" s="215"/>
      <c r="BZ87" s="215"/>
      <c r="CA87" s="215"/>
      <c r="CB87" s="215"/>
      <c r="CC87" s="214"/>
    </row>
    <row r="88" spans="1:81" s="213" customFormat="1" ht="15.95" customHeight="1" x14ac:dyDescent="0.2">
      <c r="A88" s="219" t="s">
        <v>189</v>
      </c>
      <c r="B88" s="211">
        <f>SUM(B34+B61+B86)</f>
        <v>0</v>
      </c>
      <c r="C88" s="203">
        <f>SUM(C34+C61+C86)</f>
        <v>22603930</v>
      </c>
      <c r="D88" s="203">
        <f>IFERROR(C88/B88,0)</f>
        <v>0</v>
      </c>
      <c r="E88" s="202">
        <f t="shared" ref="E88:M88" si="72">SUM(E34+E61+E86)</f>
        <v>16657265</v>
      </c>
      <c r="F88" s="202">
        <f t="shared" si="72"/>
        <v>2965967</v>
      </c>
      <c r="G88" s="202">
        <f t="shared" si="72"/>
        <v>2980698</v>
      </c>
      <c r="H88" s="202">
        <f t="shared" si="72"/>
        <v>0</v>
      </c>
      <c r="I88" s="202">
        <f t="shared" si="72"/>
        <v>0</v>
      </c>
      <c r="J88" s="202">
        <f t="shared" si="72"/>
        <v>0</v>
      </c>
      <c r="K88" s="214">
        <f t="shared" si="72"/>
        <v>0</v>
      </c>
      <c r="L88" s="205">
        <f t="shared" si="72"/>
        <v>22776</v>
      </c>
      <c r="M88" s="203">
        <f t="shared" si="72"/>
        <v>81007777</v>
      </c>
      <c r="N88" s="203">
        <f>IFERROR(M88/L88,0)</f>
        <v>3556.7165876361082</v>
      </c>
      <c r="O88" s="202">
        <f t="shared" ref="O88:W88" si="73">SUM(O34+O61+O86)</f>
        <v>17837605</v>
      </c>
      <c r="P88" s="202">
        <f t="shared" si="73"/>
        <v>3041000</v>
      </c>
      <c r="Q88" s="202">
        <f t="shared" si="73"/>
        <v>4439484</v>
      </c>
      <c r="R88" s="202">
        <f t="shared" si="73"/>
        <v>34557004</v>
      </c>
      <c r="S88" s="202">
        <f t="shared" si="73"/>
        <v>21436684</v>
      </c>
      <c r="T88" s="202">
        <f t="shared" si="73"/>
        <v>70423821</v>
      </c>
      <c r="U88" s="214">
        <f t="shared" si="73"/>
        <v>12107371</v>
      </c>
      <c r="V88" s="205">
        <f t="shared" si="73"/>
        <v>23043</v>
      </c>
      <c r="W88" s="203">
        <f t="shared" si="73"/>
        <v>86292857</v>
      </c>
      <c r="X88" s="203">
        <f>IFERROR(W88/V88,0)</f>
        <v>3744.8620839300438</v>
      </c>
      <c r="Y88" s="202">
        <f t="shared" ref="Y88:AG88" si="74">SUM(Y34+Y61+Y86)</f>
        <v>18529055</v>
      </c>
      <c r="Z88" s="202">
        <f t="shared" si="74"/>
        <v>3205000</v>
      </c>
      <c r="AA88" s="202">
        <f t="shared" si="74"/>
        <v>4529957</v>
      </c>
      <c r="AB88" s="202">
        <f t="shared" si="74"/>
        <v>37672737</v>
      </c>
      <c r="AC88" s="202">
        <f t="shared" si="74"/>
        <v>22356108</v>
      </c>
      <c r="AD88" s="202">
        <f t="shared" si="74"/>
        <v>74722129</v>
      </c>
      <c r="AE88" s="214">
        <f t="shared" si="74"/>
        <v>12683493</v>
      </c>
      <c r="AF88" s="205">
        <f t="shared" si="74"/>
        <v>23316</v>
      </c>
      <c r="AG88" s="203">
        <f t="shared" si="74"/>
        <v>88910730</v>
      </c>
      <c r="AH88" s="203">
        <f>IFERROR(AG88/AF88,0)</f>
        <v>3813.2925887802367</v>
      </c>
      <c r="AI88" s="202">
        <f t="shared" ref="AI88:AQ88" si="75">SUM(AI34+AI61+AI86)</f>
        <v>19722247</v>
      </c>
      <c r="AJ88" s="202">
        <f t="shared" si="75"/>
        <v>4890180</v>
      </c>
      <c r="AK88" s="202">
        <f t="shared" si="75"/>
        <v>4478021</v>
      </c>
      <c r="AL88" s="202">
        <f t="shared" si="75"/>
        <v>36077237</v>
      </c>
      <c r="AM88" s="202">
        <f t="shared" si="75"/>
        <v>23743045</v>
      </c>
      <c r="AN88" s="202">
        <f t="shared" si="75"/>
        <v>76043547</v>
      </c>
      <c r="AO88" s="214">
        <f t="shared" si="75"/>
        <v>13357256</v>
      </c>
      <c r="AP88" s="205">
        <f t="shared" si="75"/>
        <v>23944</v>
      </c>
      <c r="AQ88" s="203">
        <f t="shared" si="75"/>
        <v>90138287</v>
      </c>
      <c r="AR88" s="203">
        <f>IFERROR(AQ88/AP88,0)</f>
        <v>3764.5458987637821</v>
      </c>
      <c r="AS88" s="202">
        <f t="shared" ref="AS88:BA88" si="76">SUM(AS34+AS61+AS86)</f>
        <v>21511822</v>
      </c>
      <c r="AT88" s="202">
        <f t="shared" si="76"/>
        <v>4339031</v>
      </c>
      <c r="AU88" s="202">
        <f t="shared" si="76"/>
        <v>4665881</v>
      </c>
      <c r="AV88" s="202">
        <f t="shared" si="76"/>
        <v>34674268</v>
      </c>
      <c r="AW88" s="202">
        <f t="shared" si="76"/>
        <v>24947285</v>
      </c>
      <c r="AX88" s="202">
        <f t="shared" si="76"/>
        <v>76151817</v>
      </c>
      <c r="AY88" s="214">
        <f t="shared" si="76"/>
        <v>14811237</v>
      </c>
      <c r="AZ88" s="205">
        <f t="shared" si="76"/>
        <v>24179</v>
      </c>
      <c r="BA88" s="203">
        <f t="shared" si="76"/>
        <v>91904910.440000013</v>
      </c>
      <c r="BB88" s="203">
        <f>IFERROR(BA88/AZ88,0)</f>
        <v>3801.0219794036152</v>
      </c>
      <c r="BC88" s="202">
        <f t="shared" ref="BC88:BK88" si="77">SUM(BC34+BC61+BC86)</f>
        <v>20885832.440000001</v>
      </c>
      <c r="BD88" s="202">
        <f t="shared" si="77"/>
        <v>6412558</v>
      </c>
      <c r="BE88" s="202">
        <f t="shared" si="77"/>
        <v>5412143</v>
      </c>
      <c r="BF88" s="202">
        <f t="shared" si="77"/>
        <v>34283836</v>
      </c>
      <c r="BG88" s="202">
        <f t="shared" si="77"/>
        <v>24910541</v>
      </c>
      <c r="BH88" s="202">
        <f t="shared" si="77"/>
        <v>81857218.390000001</v>
      </c>
      <c r="BI88" s="214">
        <f t="shared" si="77"/>
        <v>16551702.300000001</v>
      </c>
      <c r="BJ88" s="205">
        <f t="shared" si="77"/>
        <v>24174</v>
      </c>
      <c r="BK88" s="203">
        <f t="shared" si="77"/>
        <v>92615216.899999991</v>
      </c>
      <c r="BL88" s="203">
        <f>IFERROR(BK88/BJ88,0)</f>
        <v>3831.1912343840486</v>
      </c>
      <c r="BM88" s="202">
        <f t="shared" ref="BM88:BU88" si="78">SUM(BM34+BM61+BM86)</f>
        <v>23409146.899999999</v>
      </c>
      <c r="BN88" s="202">
        <f t="shared" si="78"/>
        <v>6644230</v>
      </c>
      <c r="BO88" s="202">
        <f t="shared" si="78"/>
        <v>5932194</v>
      </c>
      <c r="BP88" s="202">
        <f t="shared" si="78"/>
        <v>32145578</v>
      </c>
      <c r="BQ88" s="202">
        <f t="shared" si="78"/>
        <v>24484068</v>
      </c>
      <c r="BR88" s="202">
        <f t="shared" si="78"/>
        <v>70241594.220000014</v>
      </c>
      <c r="BS88" s="214">
        <f t="shared" si="78"/>
        <v>17459561.890000001</v>
      </c>
      <c r="BT88" s="205">
        <f t="shared" si="78"/>
        <v>24898</v>
      </c>
      <c r="BU88" s="203">
        <f t="shared" si="78"/>
        <v>94864266.75</v>
      </c>
      <c r="BV88" s="203">
        <f>IFERROR(BU88/BT88,0)</f>
        <v>3810.1159430476346</v>
      </c>
      <c r="BW88" s="202">
        <f t="shared" ref="BW88:CC88" si="79">SUM(BW34+BW61+BW86)</f>
        <v>20754849.75</v>
      </c>
      <c r="BX88" s="202">
        <f t="shared" si="79"/>
        <v>7005000</v>
      </c>
      <c r="BY88" s="202">
        <f t="shared" si="79"/>
        <v>8964034</v>
      </c>
      <c r="BZ88" s="202">
        <f t="shared" si="79"/>
        <v>31941177</v>
      </c>
      <c r="CA88" s="202">
        <f t="shared" si="79"/>
        <v>26199206</v>
      </c>
      <c r="CB88" s="202">
        <f t="shared" si="79"/>
        <v>66176957.539000005</v>
      </c>
      <c r="CC88" s="214">
        <f t="shared" si="79"/>
        <v>18065145.75</v>
      </c>
    </row>
    <row r="89" spans="1:81" ht="15.95" customHeight="1" x14ac:dyDescent="0.2">
      <c r="A89" s="218"/>
      <c r="B89" s="223"/>
      <c r="C89" s="221"/>
      <c r="D89" s="221"/>
      <c r="E89" s="220"/>
      <c r="F89" s="220"/>
      <c r="G89" s="220"/>
      <c r="H89" s="220"/>
      <c r="I89" s="220"/>
      <c r="J89" s="220"/>
      <c r="K89" s="214"/>
      <c r="L89" s="222"/>
      <c r="M89" s="221"/>
      <c r="N89" s="221"/>
      <c r="O89" s="220"/>
      <c r="P89" s="220"/>
      <c r="Q89" s="220"/>
      <c r="R89" s="220"/>
      <c r="S89" s="220"/>
      <c r="T89" s="220"/>
      <c r="U89" s="214"/>
      <c r="V89" s="222"/>
      <c r="W89" s="221"/>
      <c r="X89" s="221"/>
      <c r="Y89" s="220"/>
      <c r="Z89" s="220"/>
      <c r="AA89" s="220"/>
      <c r="AB89" s="220"/>
      <c r="AC89" s="220"/>
      <c r="AD89" s="220"/>
      <c r="AE89" s="214"/>
      <c r="AF89" s="216"/>
      <c r="AG89" s="203"/>
      <c r="AH89" s="203"/>
      <c r="AI89" s="215"/>
      <c r="AJ89" s="215"/>
      <c r="AK89" s="215"/>
      <c r="AL89" s="215"/>
      <c r="AM89" s="215"/>
      <c r="AN89" s="215"/>
      <c r="AO89" s="214"/>
      <c r="AP89" s="216"/>
      <c r="AQ89" s="203"/>
      <c r="AR89" s="203"/>
      <c r="AS89" s="215"/>
      <c r="AT89" s="215"/>
      <c r="AU89" s="215"/>
      <c r="AV89" s="215"/>
      <c r="AW89" s="215"/>
      <c r="AX89" s="215"/>
      <c r="AY89" s="214"/>
      <c r="AZ89" s="216"/>
      <c r="BA89" s="203"/>
      <c r="BB89" s="203"/>
      <c r="BC89" s="215"/>
      <c r="BD89" s="215"/>
      <c r="BE89" s="215"/>
      <c r="BF89" s="215"/>
      <c r="BG89" s="215"/>
      <c r="BH89" s="215"/>
      <c r="BI89" s="214"/>
      <c r="BJ89" s="216"/>
      <c r="BK89" s="203"/>
      <c r="BL89" s="203"/>
      <c r="BM89" s="215"/>
      <c r="BN89" s="215"/>
      <c r="BO89" s="215"/>
      <c r="BP89" s="215"/>
      <c r="BQ89" s="215"/>
      <c r="BR89" s="215"/>
      <c r="BS89" s="214"/>
      <c r="BT89" s="216"/>
      <c r="BU89" s="203"/>
      <c r="BV89" s="203"/>
      <c r="BW89" s="215"/>
      <c r="BX89" s="215"/>
      <c r="BY89" s="215"/>
      <c r="BZ89" s="215"/>
      <c r="CA89" s="215"/>
      <c r="CB89" s="215"/>
      <c r="CC89" s="214"/>
    </row>
    <row r="90" spans="1:81" ht="15.95" customHeight="1" x14ac:dyDescent="0.25">
      <c r="A90" s="229" t="s">
        <v>188</v>
      </c>
      <c r="B90" s="223"/>
      <c r="C90" s="221"/>
      <c r="D90" s="221"/>
      <c r="E90" s="220"/>
      <c r="F90" s="220"/>
      <c r="G90" s="220"/>
      <c r="H90" s="220"/>
      <c r="I90" s="220"/>
      <c r="J90" s="220"/>
      <c r="K90" s="214"/>
      <c r="L90" s="222"/>
      <c r="M90" s="221"/>
      <c r="N90" s="221"/>
      <c r="O90" s="220"/>
      <c r="P90" s="220"/>
      <c r="Q90" s="220"/>
      <c r="R90" s="220"/>
      <c r="S90" s="220"/>
      <c r="T90" s="220"/>
      <c r="U90" s="214"/>
      <c r="V90" s="222"/>
      <c r="W90" s="221"/>
      <c r="X90" s="221"/>
      <c r="Y90" s="220"/>
      <c r="Z90" s="220"/>
      <c r="AA90" s="220"/>
      <c r="AB90" s="220"/>
      <c r="AC90" s="220"/>
      <c r="AD90" s="220"/>
      <c r="AE90" s="214"/>
      <c r="AF90" s="216"/>
      <c r="AG90" s="203"/>
      <c r="AH90" s="203"/>
      <c r="AI90" s="215"/>
      <c r="AJ90" s="215"/>
      <c r="AK90" s="215"/>
      <c r="AL90" s="215"/>
      <c r="AM90" s="215"/>
      <c r="AN90" s="215"/>
      <c r="AO90" s="214"/>
      <c r="AP90" s="216"/>
      <c r="AQ90" s="203"/>
      <c r="AR90" s="203"/>
      <c r="AS90" s="215"/>
      <c r="AT90" s="215"/>
      <c r="AU90" s="215"/>
      <c r="AV90" s="215"/>
      <c r="AW90" s="215"/>
      <c r="AX90" s="215"/>
      <c r="AY90" s="214"/>
      <c r="AZ90" s="216"/>
      <c r="BA90" s="203"/>
      <c r="BB90" s="203"/>
      <c r="BC90" s="215"/>
      <c r="BD90" s="215"/>
      <c r="BE90" s="215"/>
      <c r="BF90" s="215"/>
      <c r="BG90" s="215"/>
      <c r="BH90" s="215"/>
      <c r="BI90" s="214"/>
      <c r="BJ90" s="216"/>
      <c r="BK90" s="203"/>
      <c r="BL90" s="203"/>
      <c r="BM90" s="215"/>
      <c r="BN90" s="215"/>
      <c r="BO90" s="215"/>
      <c r="BP90" s="215"/>
      <c r="BQ90" s="215"/>
      <c r="BR90" s="215"/>
      <c r="BS90" s="214"/>
      <c r="BT90" s="216"/>
      <c r="BU90" s="203"/>
      <c r="BV90" s="203"/>
      <c r="BW90" s="215"/>
      <c r="BX90" s="215"/>
      <c r="BY90" s="215"/>
      <c r="BZ90" s="215"/>
      <c r="CA90" s="215"/>
      <c r="CB90" s="215"/>
      <c r="CC90" s="214"/>
    </row>
    <row r="91" spans="1:81" ht="15.95" customHeight="1" x14ac:dyDescent="0.2">
      <c r="A91" s="218"/>
      <c r="B91" s="223"/>
      <c r="C91" s="221"/>
      <c r="D91" s="221"/>
      <c r="E91" s="220"/>
      <c r="F91" s="220"/>
      <c r="G91" s="220"/>
      <c r="H91" s="220"/>
      <c r="I91" s="220"/>
      <c r="J91" s="220"/>
      <c r="K91" s="214"/>
      <c r="L91" s="222"/>
      <c r="M91" s="221"/>
      <c r="N91" s="221"/>
      <c r="O91" s="220"/>
      <c r="P91" s="220"/>
      <c r="Q91" s="220"/>
      <c r="R91" s="220"/>
      <c r="S91" s="220"/>
      <c r="T91" s="220"/>
      <c r="U91" s="214"/>
      <c r="V91" s="222"/>
      <c r="W91" s="221"/>
      <c r="X91" s="221"/>
      <c r="Y91" s="220"/>
      <c r="Z91" s="220"/>
      <c r="AA91" s="220"/>
      <c r="AB91" s="220"/>
      <c r="AC91" s="220"/>
      <c r="AD91" s="220"/>
      <c r="AE91" s="214"/>
      <c r="AF91" s="216"/>
      <c r="AG91" s="203"/>
      <c r="AH91" s="203"/>
      <c r="AI91" s="215"/>
      <c r="AJ91" s="215"/>
      <c r="AK91" s="215"/>
      <c r="AL91" s="215"/>
      <c r="AM91" s="215"/>
      <c r="AN91" s="215"/>
      <c r="AO91" s="214"/>
      <c r="AP91" s="216"/>
      <c r="AQ91" s="203"/>
      <c r="AR91" s="203"/>
      <c r="AS91" s="215"/>
      <c r="AT91" s="215"/>
      <c r="AU91" s="215"/>
      <c r="AV91" s="215"/>
      <c r="AW91" s="215"/>
      <c r="AX91" s="215"/>
      <c r="AY91" s="214"/>
      <c r="AZ91" s="216"/>
      <c r="BA91" s="203"/>
      <c r="BB91" s="203"/>
      <c r="BC91" s="215"/>
      <c r="BD91" s="215"/>
      <c r="BE91" s="215"/>
      <c r="BF91" s="215"/>
      <c r="BG91" s="215"/>
      <c r="BH91" s="215"/>
      <c r="BI91" s="214"/>
      <c r="BJ91" s="216"/>
      <c r="BK91" s="203"/>
      <c r="BL91" s="203"/>
      <c r="BM91" s="215"/>
      <c r="BN91" s="215"/>
      <c r="BO91" s="215"/>
      <c r="BP91" s="215"/>
      <c r="BQ91" s="215"/>
      <c r="BR91" s="215"/>
      <c r="BS91" s="214"/>
      <c r="BT91" s="216"/>
      <c r="BU91" s="203"/>
      <c r="BV91" s="203"/>
      <c r="BW91" s="215"/>
      <c r="BX91" s="215"/>
      <c r="BY91" s="215"/>
      <c r="BZ91" s="215"/>
      <c r="CA91" s="215"/>
      <c r="CB91" s="215"/>
      <c r="CC91" s="214"/>
    </row>
    <row r="92" spans="1:81" ht="15.95" customHeight="1" x14ac:dyDescent="0.2">
      <c r="A92" s="230" t="s">
        <v>187</v>
      </c>
      <c r="B92" s="223"/>
      <c r="C92" s="221"/>
      <c r="D92" s="221"/>
      <c r="E92" s="220"/>
      <c r="F92" s="220"/>
      <c r="G92" s="220"/>
      <c r="H92" s="220"/>
      <c r="I92" s="220"/>
      <c r="J92" s="220"/>
      <c r="K92" s="214"/>
      <c r="L92" s="222"/>
      <c r="M92" s="221"/>
      <c r="N92" s="221"/>
      <c r="O92" s="220"/>
      <c r="P92" s="220"/>
      <c r="Q92" s="220"/>
      <c r="R92" s="220"/>
      <c r="S92" s="220"/>
      <c r="T92" s="220"/>
      <c r="U92" s="214"/>
      <c r="V92" s="222"/>
      <c r="W92" s="221"/>
      <c r="X92" s="221"/>
      <c r="Y92" s="220"/>
      <c r="Z92" s="220"/>
      <c r="AA92" s="220"/>
      <c r="AB92" s="220"/>
      <c r="AC92" s="220"/>
      <c r="AD92" s="220"/>
      <c r="AE92" s="214"/>
      <c r="AF92" s="216"/>
      <c r="AG92" s="203"/>
      <c r="AH92" s="203"/>
      <c r="AI92" s="215"/>
      <c r="AJ92" s="215"/>
      <c r="AK92" s="215"/>
      <c r="AL92" s="215"/>
      <c r="AM92" s="215"/>
      <c r="AN92" s="215"/>
      <c r="AO92" s="214"/>
      <c r="AP92" s="216"/>
      <c r="AQ92" s="203"/>
      <c r="AR92" s="203"/>
      <c r="AS92" s="215"/>
      <c r="AT92" s="215"/>
      <c r="AU92" s="215"/>
      <c r="AV92" s="215"/>
      <c r="AW92" s="215"/>
      <c r="AX92" s="215"/>
      <c r="AY92" s="214"/>
      <c r="AZ92" s="216"/>
      <c r="BA92" s="203"/>
      <c r="BB92" s="203"/>
      <c r="BC92" s="215"/>
      <c r="BD92" s="215"/>
      <c r="BE92" s="215"/>
      <c r="BF92" s="215"/>
      <c r="BG92" s="215"/>
      <c r="BH92" s="215"/>
      <c r="BI92" s="214"/>
      <c r="BJ92" s="216"/>
      <c r="BK92" s="203"/>
      <c r="BL92" s="203"/>
      <c r="BM92" s="215"/>
      <c r="BN92" s="215"/>
      <c r="BO92" s="215"/>
      <c r="BP92" s="215"/>
      <c r="BQ92" s="215"/>
      <c r="BR92" s="215"/>
      <c r="BS92" s="214"/>
      <c r="BT92" s="216"/>
      <c r="BU92" s="203"/>
      <c r="BV92" s="203"/>
      <c r="BW92" s="215"/>
      <c r="BX92" s="215"/>
      <c r="BY92" s="215"/>
      <c r="BZ92" s="215"/>
      <c r="CA92" s="215"/>
      <c r="CB92" s="215"/>
      <c r="CC92" s="214"/>
    </row>
    <row r="93" spans="1:81" s="213" customFormat="1" ht="15.75" customHeight="1" x14ac:dyDescent="0.2">
      <c r="A93" s="228" t="s">
        <v>186</v>
      </c>
      <c r="B93" s="217"/>
      <c r="C93" s="203">
        <f>SUM(E93:I93)</f>
        <v>0</v>
      </c>
      <c r="D93" s="203">
        <f>IFERROR(C93/B93,0)</f>
        <v>0</v>
      </c>
      <c r="E93" s="215"/>
      <c r="F93" s="215"/>
      <c r="G93" s="215"/>
      <c r="H93" s="215"/>
      <c r="I93" s="215"/>
      <c r="J93" s="215"/>
      <c r="K93" s="214">
        <f>IF(J93=0,0,(IF(E93&lt;=J93,E93,J93)))</f>
        <v>0</v>
      </c>
      <c r="L93" s="216">
        <v>273</v>
      </c>
      <c r="M93" s="203">
        <f>SUM(O93:S93)</f>
        <v>529091</v>
      </c>
      <c r="N93" s="203">
        <f>IFERROR(M93/L93,0)</f>
        <v>1938.0622710622711</v>
      </c>
      <c r="O93" s="215"/>
      <c r="P93" s="215">
        <v>0</v>
      </c>
      <c r="Q93" s="215">
        <v>0</v>
      </c>
      <c r="R93" s="215">
        <v>529091</v>
      </c>
      <c r="S93" s="215">
        <v>0</v>
      </c>
      <c r="T93" s="215">
        <v>428457</v>
      </c>
      <c r="U93" s="214">
        <f>IF(T93=0,0,(IF(O93&lt;=T93,O93,T93)))</f>
        <v>0</v>
      </c>
      <c r="V93" s="216">
        <v>213</v>
      </c>
      <c r="W93" s="203">
        <f>SUM(Y93:AC93)</f>
        <v>451874</v>
      </c>
      <c r="X93" s="203">
        <f>IFERROR(W93/V93,0)</f>
        <v>2121.474178403756</v>
      </c>
      <c r="Y93" s="215"/>
      <c r="Z93" s="215"/>
      <c r="AA93" s="215"/>
      <c r="AB93" s="215">
        <v>451874</v>
      </c>
      <c r="AC93" s="215"/>
      <c r="AD93" s="215">
        <v>370712</v>
      </c>
      <c r="AE93" s="214">
        <f>IF(AD93=0,0,(IF(Y93&lt;=AD93,Y93,AD93)))</f>
        <v>0</v>
      </c>
      <c r="AF93" s="216">
        <v>280</v>
      </c>
      <c r="AG93" s="203">
        <f>SUM(AI93:AM93)</f>
        <v>607011</v>
      </c>
      <c r="AH93" s="203">
        <f>IFERROR(AG93/AF93,0)</f>
        <v>2167.8964285714287</v>
      </c>
      <c r="AI93" s="215"/>
      <c r="AJ93" s="215"/>
      <c r="AK93" s="215"/>
      <c r="AL93" s="215">
        <v>607011</v>
      </c>
      <c r="AM93" s="215"/>
      <c r="AN93" s="215">
        <v>483585</v>
      </c>
      <c r="AO93" s="214">
        <f>IF(AN93=0,0,(IF(AI93&lt;=AN93,AI93,AN93)))</f>
        <v>0</v>
      </c>
      <c r="AP93" s="216">
        <v>235</v>
      </c>
      <c r="AQ93" s="203">
        <f>SUM(AS93:AW93)</f>
        <v>524586</v>
      </c>
      <c r="AR93" s="203">
        <f>IFERROR(AQ93/AP93,0)</f>
        <v>2232.2808510638297</v>
      </c>
      <c r="AS93" s="215"/>
      <c r="AT93" s="215"/>
      <c r="AU93" s="215"/>
      <c r="AV93" s="215">
        <v>524586</v>
      </c>
      <c r="AW93" s="215"/>
      <c r="AX93" s="215">
        <v>444758</v>
      </c>
      <c r="AY93" s="214">
        <f>IF(AX93=0,0,(IF(AS93&lt;=AX93,AS93,AX93)))</f>
        <v>0</v>
      </c>
      <c r="AZ93" s="216">
        <v>121</v>
      </c>
      <c r="BA93" s="203">
        <f>SUM(BC93:BG93)</f>
        <v>257150</v>
      </c>
      <c r="BB93" s="203">
        <f>IFERROR(BA93/AZ93,0)</f>
        <v>2125.2066115702478</v>
      </c>
      <c r="BC93" s="215"/>
      <c r="BD93" s="215"/>
      <c r="BE93" s="215"/>
      <c r="BF93" s="215">
        <v>257150</v>
      </c>
      <c r="BG93" s="215"/>
      <c r="BH93" s="215">
        <v>221863</v>
      </c>
      <c r="BI93" s="214">
        <f>IF(BH93=0,0,(IF(BC93&lt;=BH93,BC93,BH93)))</f>
        <v>0</v>
      </c>
      <c r="BJ93" s="216">
        <v>191</v>
      </c>
      <c r="BK93" s="203">
        <f>SUM(BM93:BQ93)</f>
        <v>366059</v>
      </c>
      <c r="BL93" s="203">
        <f>IFERROR(BK93/BJ93,0)</f>
        <v>1916.5392670157069</v>
      </c>
      <c r="BM93" s="215"/>
      <c r="BN93" s="215"/>
      <c r="BO93" s="215"/>
      <c r="BP93" s="215">
        <v>366059</v>
      </c>
      <c r="BQ93" s="215"/>
      <c r="BR93" s="215">
        <v>317297</v>
      </c>
      <c r="BS93" s="214">
        <f>IF(BR93=0,0,(IF(BM93&lt;=BR93,BM93,BR93)))</f>
        <v>0</v>
      </c>
      <c r="BT93" s="226">
        <v>234</v>
      </c>
      <c r="BU93" s="203">
        <f>SUM(BW93:CA93)</f>
        <v>516711</v>
      </c>
      <c r="BV93" s="203">
        <f>IFERROR(BU93/BT93,0)</f>
        <v>2208.1666666666665</v>
      </c>
      <c r="BW93" s="225"/>
      <c r="BX93" s="225"/>
      <c r="BY93" s="225"/>
      <c r="BZ93" s="225">
        <v>516711</v>
      </c>
      <c r="CA93" s="225"/>
      <c r="CB93" s="225">
        <v>433049</v>
      </c>
      <c r="CC93" s="214">
        <f>IF(CB93=0,0,(IF(BW93&lt;=CB93,BW93,CB93)))</f>
        <v>0</v>
      </c>
    </row>
    <row r="94" spans="1:81" s="213" customFormat="1" ht="15.95" customHeight="1" x14ac:dyDescent="0.2">
      <c r="A94" s="228" t="s">
        <v>185</v>
      </c>
      <c r="B94" s="217"/>
      <c r="C94" s="203">
        <f>SUM(E94:I94)</f>
        <v>0</v>
      </c>
      <c r="D94" s="203">
        <f>IFERROR(C94/B94,0)</f>
        <v>0</v>
      </c>
      <c r="E94" s="215"/>
      <c r="F94" s="215"/>
      <c r="G94" s="215"/>
      <c r="H94" s="215"/>
      <c r="I94" s="215"/>
      <c r="J94" s="215"/>
      <c r="K94" s="214">
        <f>IF(J94=0,0,(IF(E94&lt;=J94,E94,J94)))</f>
        <v>0</v>
      </c>
      <c r="L94" s="216">
        <v>135</v>
      </c>
      <c r="M94" s="203">
        <f>SUM(O94:S94)</f>
        <v>975559</v>
      </c>
      <c r="N94" s="203">
        <f>IFERROR(M94/L94,0)</f>
        <v>7226.3629629629631</v>
      </c>
      <c r="O94" s="215"/>
      <c r="P94" s="215">
        <v>0</v>
      </c>
      <c r="Q94" s="215">
        <v>975559</v>
      </c>
      <c r="R94" s="215">
        <v>0</v>
      </c>
      <c r="S94" s="215">
        <v>0</v>
      </c>
      <c r="T94" s="215">
        <v>765258</v>
      </c>
      <c r="U94" s="214">
        <f>IF(T94=0,0,(IF(O94&lt;=T94,O94,T94)))</f>
        <v>0</v>
      </c>
      <c r="V94" s="216">
        <v>126</v>
      </c>
      <c r="W94" s="203">
        <f>SUM(Y94:AC94)</f>
        <v>917144</v>
      </c>
      <c r="X94" s="203">
        <f>IFERROR(W94/V94,0)</f>
        <v>7278.9206349206352</v>
      </c>
      <c r="Y94" s="215"/>
      <c r="Z94" s="215"/>
      <c r="AA94" s="215">
        <v>917144</v>
      </c>
      <c r="AB94" s="215"/>
      <c r="AC94" s="215"/>
      <c r="AD94" s="215">
        <v>740562</v>
      </c>
      <c r="AE94" s="214">
        <f>IF(AD94=0,0,(IF(Y94&lt;=AD94,Y94,AD94)))</f>
        <v>0</v>
      </c>
      <c r="AF94" s="216">
        <v>112</v>
      </c>
      <c r="AG94" s="203">
        <f>SUM(AI94:AM94)</f>
        <v>773679</v>
      </c>
      <c r="AH94" s="203">
        <f>IFERROR(AG94/AF94,0)</f>
        <v>6907.8482142857147</v>
      </c>
      <c r="AI94" s="215"/>
      <c r="AJ94" s="215"/>
      <c r="AK94" s="215">
        <v>773679</v>
      </c>
      <c r="AL94" s="215"/>
      <c r="AM94" s="215"/>
      <c r="AN94" s="215">
        <v>592036</v>
      </c>
      <c r="AO94" s="214">
        <f>IF(AN94=0,0,(IF(AI94&lt;=AN94,AI94,AN94)))</f>
        <v>0</v>
      </c>
      <c r="AP94" s="216">
        <v>81</v>
      </c>
      <c r="AQ94" s="203">
        <f>SUM(AS94:AW94)</f>
        <v>597050</v>
      </c>
      <c r="AR94" s="203">
        <f>IFERROR(AQ94/AP94,0)</f>
        <v>7370.9876543209875</v>
      </c>
      <c r="AS94" s="215"/>
      <c r="AT94" s="215"/>
      <c r="AU94" s="215">
        <v>597050</v>
      </c>
      <c r="AV94" s="215"/>
      <c r="AW94" s="215"/>
      <c r="AX94" s="215">
        <v>408635</v>
      </c>
      <c r="AY94" s="214">
        <f>IF(AX94=0,0,(IF(AS94&lt;=AX94,AS94,AX94)))</f>
        <v>0</v>
      </c>
      <c r="AZ94" s="216">
        <v>91</v>
      </c>
      <c r="BA94" s="203">
        <f>SUM(BC94:BG94)</f>
        <v>640555</v>
      </c>
      <c r="BB94" s="203">
        <f>IFERROR(BA94/AZ94,0)</f>
        <v>7039.065934065934</v>
      </c>
      <c r="BC94" s="215"/>
      <c r="BD94" s="215"/>
      <c r="BE94" s="215">
        <v>640555</v>
      </c>
      <c r="BF94" s="215"/>
      <c r="BG94" s="215"/>
      <c r="BH94" s="215">
        <v>437341</v>
      </c>
      <c r="BI94" s="214">
        <f>IF(BH94=0,0,(IF(BC94&lt;=BH94,BC94,BH94)))</f>
        <v>0</v>
      </c>
      <c r="BJ94" s="216">
        <v>66</v>
      </c>
      <c r="BK94" s="203">
        <f>SUM(BM94:BQ94)</f>
        <v>270490</v>
      </c>
      <c r="BL94" s="203">
        <f>IFERROR(BK94/BJ94,0)</f>
        <v>4098.333333333333</v>
      </c>
      <c r="BM94" s="215"/>
      <c r="BN94" s="215"/>
      <c r="BO94" s="215">
        <v>270490</v>
      </c>
      <c r="BP94" s="215"/>
      <c r="BQ94" s="215"/>
      <c r="BR94" s="215">
        <v>184275</v>
      </c>
      <c r="BS94" s="214">
        <f>IF(BR94=0,0,(IF(BM94&lt;=BR94,BM94,BR94)))</f>
        <v>0</v>
      </c>
      <c r="BT94" s="226">
        <v>94</v>
      </c>
      <c r="BU94" s="203">
        <f>SUM(BW94:CA94)</f>
        <v>841195</v>
      </c>
      <c r="BV94" s="203">
        <f>IFERROR(BU94/BT94,0)</f>
        <v>8948.8829787234044</v>
      </c>
      <c r="BW94" s="225"/>
      <c r="BX94" s="225"/>
      <c r="BY94" s="225">
        <v>841195</v>
      </c>
      <c r="BZ94" s="225"/>
      <c r="CA94" s="225"/>
      <c r="CB94" s="225">
        <v>19992</v>
      </c>
      <c r="CC94" s="214">
        <f>IF(CB94=0,0,(IF(BW94&lt;=CB94,BW94,CB94)))</f>
        <v>0</v>
      </c>
    </row>
    <row r="95" spans="1:81" s="213" customFormat="1" ht="15.95" customHeight="1" x14ac:dyDescent="0.2">
      <c r="A95" s="227"/>
      <c r="B95" s="217"/>
      <c r="C95" s="203">
        <f>SUM(E95:I95)</f>
        <v>0</v>
      </c>
      <c r="D95" s="203">
        <f>IFERROR(C95/B95,0)</f>
        <v>0</v>
      </c>
      <c r="E95" s="215"/>
      <c r="F95" s="215"/>
      <c r="G95" s="215"/>
      <c r="H95" s="215"/>
      <c r="I95" s="215"/>
      <c r="J95" s="215"/>
      <c r="K95" s="214">
        <f>IF(J95=0,0,(IF(E95&lt;=J95,E95,J95)))</f>
        <v>0</v>
      </c>
      <c r="L95" s="216"/>
      <c r="M95" s="203">
        <f>SUM(O95:S95)</f>
        <v>0</v>
      </c>
      <c r="N95" s="203">
        <f>IFERROR(M95/L95,0)</f>
        <v>0</v>
      </c>
      <c r="O95" s="215"/>
      <c r="P95" s="215"/>
      <c r="Q95" s="215"/>
      <c r="R95" s="215"/>
      <c r="S95" s="215"/>
      <c r="T95" s="215"/>
      <c r="U95" s="214">
        <f>IF(T95=0,0,(IF(O95&lt;=T95,O95,T95)))</f>
        <v>0</v>
      </c>
      <c r="V95" s="216"/>
      <c r="W95" s="203">
        <f>SUM(Y95:AC95)</f>
        <v>0</v>
      </c>
      <c r="X95" s="203">
        <f>IFERROR(W95/V95,0)</f>
        <v>0</v>
      </c>
      <c r="Y95" s="215"/>
      <c r="Z95" s="215"/>
      <c r="AA95" s="215"/>
      <c r="AB95" s="215"/>
      <c r="AC95" s="215"/>
      <c r="AD95" s="215"/>
      <c r="AE95" s="214">
        <f>IF(AD95=0,0,(IF(Y95&lt;=AD95,Y95,AD95)))</f>
        <v>0</v>
      </c>
      <c r="AF95" s="216"/>
      <c r="AG95" s="203">
        <f>SUM(AI95:AM95)</f>
        <v>0</v>
      </c>
      <c r="AH95" s="203">
        <f>IFERROR(AG95/AF95,0)</f>
        <v>0</v>
      </c>
      <c r="AI95" s="215"/>
      <c r="AJ95" s="215"/>
      <c r="AK95" s="215"/>
      <c r="AL95" s="215"/>
      <c r="AM95" s="215"/>
      <c r="AN95" s="215"/>
      <c r="AO95" s="214">
        <f>IF(AN95=0,0,(IF(AI95&lt;=AN95,AI95,AN95)))</f>
        <v>0</v>
      </c>
      <c r="AP95" s="216"/>
      <c r="AQ95" s="203">
        <f>SUM(AS95:AW95)</f>
        <v>0</v>
      </c>
      <c r="AR95" s="203">
        <f>IFERROR(AQ95/AP95,0)</f>
        <v>0</v>
      </c>
      <c r="AS95" s="215"/>
      <c r="AT95" s="215"/>
      <c r="AU95" s="215"/>
      <c r="AV95" s="215"/>
      <c r="AW95" s="215"/>
      <c r="AX95" s="215"/>
      <c r="AY95" s="214">
        <f>IF(AX95=0,0,(IF(AS95&lt;=AX95,AS95,AX95)))</f>
        <v>0</v>
      </c>
      <c r="AZ95" s="216"/>
      <c r="BA95" s="203"/>
      <c r="BB95" s="203">
        <f>IFERROR(BA95/AZ95,0)</f>
        <v>0</v>
      </c>
      <c r="BC95" s="215"/>
      <c r="BD95" s="215"/>
      <c r="BE95" s="215"/>
      <c r="BF95" s="215"/>
      <c r="BG95" s="215"/>
      <c r="BH95" s="215"/>
      <c r="BI95" s="214">
        <f>IF(BH95=0,0,(IF(BC95&lt;=BH95,BC95,BH95)))</f>
        <v>0</v>
      </c>
      <c r="BJ95" s="216"/>
      <c r="BK95" s="203">
        <f>SUM(BM95:BQ95)</f>
        <v>0</v>
      </c>
      <c r="BL95" s="203">
        <f>IFERROR(BK95/BJ95,0)</f>
        <v>0</v>
      </c>
      <c r="BM95" s="215"/>
      <c r="BN95" s="215"/>
      <c r="BO95" s="215"/>
      <c r="BP95" s="215"/>
      <c r="BQ95" s="215"/>
      <c r="BR95" s="215"/>
      <c r="BS95" s="214">
        <f>IF(BR95=0,0,(IF(BM95&lt;=BR95,BM95,BR95)))</f>
        <v>0</v>
      </c>
      <c r="BT95" s="226"/>
      <c r="BU95" s="203">
        <f>SUM(BW95:CA95)</f>
        <v>0</v>
      </c>
      <c r="BV95" s="203">
        <f>IFERROR(BU95/BT95,0)</f>
        <v>0</v>
      </c>
      <c r="BW95" s="225"/>
      <c r="BX95" s="225"/>
      <c r="BY95" s="225"/>
      <c r="BZ95" s="225"/>
      <c r="CA95" s="225"/>
      <c r="CB95" s="225"/>
      <c r="CC95" s="214">
        <f>IF(CB95=0,0,(IF(BW95&lt;=CB95,BW95,CB95)))</f>
        <v>0</v>
      </c>
    </row>
    <row r="96" spans="1:81" s="213" customFormat="1" ht="15.95" customHeight="1" x14ac:dyDescent="0.2">
      <c r="A96" s="227"/>
      <c r="B96" s="217"/>
      <c r="C96" s="203">
        <f>SUM(E96:I96)</f>
        <v>0</v>
      </c>
      <c r="D96" s="203">
        <f>IFERROR(C96/B96,0)</f>
        <v>0</v>
      </c>
      <c r="E96" s="215"/>
      <c r="F96" s="215"/>
      <c r="G96" s="215"/>
      <c r="H96" s="215"/>
      <c r="I96" s="215"/>
      <c r="J96" s="215"/>
      <c r="K96" s="214">
        <f>IF(J96=0,0,(IF(E96&lt;=J96,E96,J96)))</f>
        <v>0</v>
      </c>
      <c r="L96" s="216"/>
      <c r="M96" s="203">
        <f>SUM(O96:S96)</f>
        <v>0</v>
      </c>
      <c r="N96" s="203">
        <f>IFERROR(M96/L96,0)</f>
        <v>0</v>
      </c>
      <c r="O96" s="215"/>
      <c r="P96" s="215"/>
      <c r="Q96" s="215"/>
      <c r="R96" s="215"/>
      <c r="S96" s="215"/>
      <c r="T96" s="215"/>
      <c r="U96" s="214">
        <f>IF(T96=0,0,(IF(O96&lt;=T96,O96,T96)))</f>
        <v>0</v>
      </c>
      <c r="V96" s="216"/>
      <c r="W96" s="203">
        <f>SUM(Y96:AC96)</f>
        <v>0</v>
      </c>
      <c r="X96" s="203">
        <f>IFERROR(W96/V96,0)</f>
        <v>0</v>
      </c>
      <c r="Y96" s="215"/>
      <c r="Z96" s="215"/>
      <c r="AA96" s="215"/>
      <c r="AB96" s="215"/>
      <c r="AC96" s="215"/>
      <c r="AD96" s="215"/>
      <c r="AE96" s="214">
        <f>IF(AD96=0,0,(IF(Y96&lt;=AD96,Y96,AD96)))</f>
        <v>0</v>
      </c>
      <c r="AF96" s="216"/>
      <c r="AG96" s="203">
        <f>SUM(AI96:AM96)</f>
        <v>0</v>
      </c>
      <c r="AH96" s="203">
        <f>IFERROR(AG96/AF96,0)</f>
        <v>0</v>
      </c>
      <c r="AI96" s="215"/>
      <c r="AJ96" s="215"/>
      <c r="AK96" s="215"/>
      <c r="AL96" s="215"/>
      <c r="AM96" s="215"/>
      <c r="AN96" s="215"/>
      <c r="AO96" s="214">
        <f>IF(AN96=0,0,(IF(AI96&lt;=AN96,AI96,AN96)))</f>
        <v>0</v>
      </c>
      <c r="AP96" s="216"/>
      <c r="AQ96" s="203">
        <f>SUM(AS96:AW96)</f>
        <v>0</v>
      </c>
      <c r="AR96" s="203">
        <f>IFERROR(AQ96/AP96,0)</f>
        <v>0</v>
      </c>
      <c r="AS96" s="215"/>
      <c r="AT96" s="215"/>
      <c r="AU96" s="215"/>
      <c r="AV96" s="215"/>
      <c r="AW96" s="215"/>
      <c r="AX96" s="215"/>
      <c r="AY96" s="214">
        <f>IF(AX96=0,0,(IF(AS96&lt;=AX96,AS96,AX96)))</f>
        <v>0</v>
      </c>
      <c r="AZ96" s="216"/>
      <c r="BA96" s="203">
        <f>SUM(BC96:BG96)</f>
        <v>0</v>
      </c>
      <c r="BB96" s="203">
        <f>IFERROR(BA96/AZ96,0)</f>
        <v>0</v>
      </c>
      <c r="BC96" s="215"/>
      <c r="BD96" s="215"/>
      <c r="BE96" s="215"/>
      <c r="BF96" s="215"/>
      <c r="BG96" s="215"/>
      <c r="BH96" s="215"/>
      <c r="BI96" s="214">
        <f>IF(BH96=0,0,(IF(BC96&lt;=BH96,BC96,BH96)))</f>
        <v>0</v>
      </c>
      <c r="BJ96" s="216"/>
      <c r="BK96" s="203">
        <f>SUM(BM96:BQ96)</f>
        <v>0</v>
      </c>
      <c r="BL96" s="203">
        <f>IFERROR(BK96/BJ96,0)</f>
        <v>0</v>
      </c>
      <c r="BM96" s="215"/>
      <c r="BN96" s="215"/>
      <c r="BO96" s="215"/>
      <c r="BP96" s="215"/>
      <c r="BQ96" s="215"/>
      <c r="BR96" s="215"/>
      <c r="BS96" s="214">
        <f>IF(BR96=0,0,(IF(BM96&lt;=BR96,BM96,BR96)))</f>
        <v>0</v>
      </c>
      <c r="BT96" s="226"/>
      <c r="BU96" s="203">
        <f>SUM(BW96:CA96)</f>
        <v>0</v>
      </c>
      <c r="BV96" s="203">
        <f>IFERROR(BU96/BT96,0)</f>
        <v>0</v>
      </c>
      <c r="BW96" s="225"/>
      <c r="BX96" s="225"/>
      <c r="BY96" s="225"/>
      <c r="BZ96" s="225"/>
      <c r="CA96" s="225"/>
      <c r="CB96" s="225"/>
      <c r="CC96" s="214">
        <f>IF(CB96=0,0,(IF(BW96&lt;=CB96,BW96,CB96)))</f>
        <v>0</v>
      </c>
    </row>
    <row r="97" spans="1:81" s="213" customFormat="1" ht="15.95" customHeight="1" x14ac:dyDescent="0.2">
      <c r="A97" s="227"/>
      <c r="B97" s="217"/>
      <c r="C97" s="203">
        <f>SUM(E97:I97)</f>
        <v>0</v>
      </c>
      <c r="D97" s="203">
        <f>IFERROR(C97/B97,0)</f>
        <v>0</v>
      </c>
      <c r="E97" s="215"/>
      <c r="F97" s="215"/>
      <c r="G97" s="215"/>
      <c r="H97" s="215"/>
      <c r="I97" s="215"/>
      <c r="J97" s="215"/>
      <c r="K97" s="214">
        <f>IF(J97=0,0,(IF(E97&lt;=J97,E97,J97)))</f>
        <v>0</v>
      </c>
      <c r="L97" s="216"/>
      <c r="M97" s="203">
        <f>SUM(O97:S97)</f>
        <v>0</v>
      </c>
      <c r="N97" s="203">
        <f>IFERROR(M97/L97,0)</f>
        <v>0</v>
      </c>
      <c r="O97" s="215"/>
      <c r="P97" s="215"/>
      <c r="Q97" s="215"/>
      <c r="R97" s="215"/>
      <c r="S97" s="215"/>
      <c r="T97" s="215"/>
      <c r="U97" s="214">
        <f>IF(T97=0,0,(IF(O97&lt;=T97,O97,T97)))</f>
        <v>0</v>
      </c>
      <c r="V97" s="216"/>
      <c r="W97" s="203">
        <f>SUM(Y97:AC97)</f>
        <v>0</v>
      </c>
      <c r="X97" s="203">
        <f>IFERROR(W97/V97,0)</f>
        <v>0</v>
      </c>
      <c r="Y97" s="215"/>
      <c r="Z97" s="215"/>
      <c r="AA97" s="215"/>
      <c r="AB97" s="215"/>
      <c r="AC97" s="215"/>
      <c r="AD97" s="215"/>
      <c r="AE97" s="214">
        <f>IF(AD97=0,0,(IF(Y97&lt;=AD97,Y97,AD97)))</f>
        <v>0</v>
      </c>
      <c r="AF97" s="216"/>
      <c r="AG97" s="203">
        <f>SUM(AI97:AM97)</f>
        <v>0</v>
      </c>
      <c r="AH97" s="203">
        <f>IFERROR(AG97/AF97,0)</f>
        <v>0</v>
      </c>
      <c r="AI97" s="215"/>
      <c r="AJ97" s="215"/>
      <c r="AK97" s="215"/>
      <c r="AL97" s="215"/>
      <c r="AM97" s="215"/>
      <c r="AN97" s="215"/>
      <c r="AO97" s="214">
        <f>IF(AN97=0,0,(IF(AI97&lt;=AN97,AI97,AN97)))</f>
        <v>0</v>
      </c>
      <c r="AP97" s="216"/>
      <c r="AQ97" s="203">
        <f>SUM(AS97:AW97)</f>
        <v>0</v>
      </c>
      <c r="AR97" s="203">
        <f>IFERROR(AQ97/AP97,0)</f>
        <v>0</v>
      </c>
      <c r="AS97" s="215"/>
      <c r="AT97" s="215"/>
      <c r="AU97" s="215"/>
      <c r="AV97" s="215"/>
      <c r="AW97" s="215"/>
      <c r="AX97" s="215"/>
      <c r="AY97" s="214">
        <f>IF(AX97=0,0,(IF(AS97&lt;=AX97,AS97,AX97)))</f>
        <v>0</v>
      </c>
      <c r="AZ97" s="216"/>
      <c r="BA97" s="203">
        <f>SUM(BC97:BG97)</f>
        <v>0</v>
      </c>
      <c r="BB97" s="203">
        <f>IFERROR(BA97/AZ97,0)</f>
        <v>0</v>
      </c>
      <c r="BC97" s="215"/>
      <c r="BD97" s="215"/>
      <c r="BE97" s="215"/>
      <c r="BF97" s="215"/>
      <c r="BG97" s="215"/>
      <c r="BH97" s="215"/>
      <c r="BI97" s="214">
        <f>IF(BH97=0,0,(IF(BC97&lt;=BH97,BC97,BH97)))</f>
        <v>0</v>
      </c>
      <c r="BJ97" s="216"/>
      <c r="BK97" s="203">
        <f>SUM(BM97:BQ97)</f>
        <v>0</v>
      </c>
      <c r="BL97" s="203">
        <f>IFERROR(BK97/BJ97,0)</f>
        <v>0</v>
      </c>
      <c r="BM97" s="215"/>
      <c r="BN97" s="215"/>
      <c r="BO97" s="215"/>
      <c r="BP97" s="215"/>
      <c r="BQ97" s="215"/>
      <c r="BR97" s="215"/>
      <c r="BS97" s="214">
        <f>IF(BR97=0,0,(IF(BM97&lt;=BR97,BM97,BR97)))</f>
        <v>0</v>
      </c>
      <c r="BT97" s="226"/>
      <c r="BU97" s="203">
        <f>SUM(BW97:CA97)</f>
        <v>0</v>
      </c>
      <c r="BV97" s="203">
        <f>IFERROR(BU97/BT97,0)</f>
        <v>0</v>
      </c>
      <c r="BW97" s="225"/>
      <c r="BX97" s="225"/>
      <c r="BY97" s="225"/>
      <c r="BZ97" s="225"/>
      <c r="CA97" s="225"/>
      <c r="CB97" s="225"/>
      <c r="CC97" s="214">
        <f>IF(CB97=0,0,(IF(BW97&lt;=CB97,BW97,CB97)))</f>
        <v>0</v>
      </c>
    </row>
    <row r="98" spans="1:81" ht="15.95" customHeight="1" x14ac:dyDescent="0.2">
      <c r="A98" s="224" t="s">
        <v>163</v>
      </c>
      <c r="B98" s="223"/>
      <c r="C98" s="221"/>
      <c r="D98" s="221"/>
      <c r="E98" s="220"/>
      <c r="F98" s="220"/>
      <c r="G98" s="220"/>
      <c r="H98" s="220"/>
      <c r="I98" s="220"/>
      <c r="J98" s="220"/>
      <c r="K98" s="214"/>
      <c r="L98" s="222"/>
      <c r="M98" s="221"/>
      <c r="N98" s="221"/>
      <c r="O98" s="220"/>
      <c r="P98" s="220"/>
      <c r="Q98" s="220"/>
      <c r="R98" s="220"/>
      <c r="S98" s="220"/>
      <c r="T98" s="220"/>
      <c r="U98" s="214"/>
      <c r="V98" s="222"/>
      <c r="W98" s="221"/>
      <c r="X98" s="221"/>
      <c r="Y98" s="220"/>
      <c r="Z98" s="220"/>
      <c r="AA98" s="220"/>
      <c r="AB98" s="220"/>
      <c r="AC98" s="220"/>
      <c r="AD98" s="220"/>
      <c r="AE98" s="214"/>
      <c r="AF98" s="216"/>
      <c r="AG98" s="203"/>
      <c r="AH98" s="203"/>
      <c r="AI98" s="215"/>
      <c r="AJ98" s="215"/>
      <c r="AK98" s="215"/>
      <c r="AL98" s="215"/>
      <c r="AM98" s="215"/>
      <c r="AN98" s="215"/>
      <c r="AO98" s="214"/>
      <c r="AP98" s="216"/>
      <c r="AQ98" s="203"/>
      <c r="AR98" s="203"/>
      <c r="AS98" s="215"/>
      <c r="AT98" s="215"/>
      <c r="AU98" s="215"/>
      <c r="AV98" s="215"/>
      <c r="AW98" s="215"/>
      <c r="AX98" s="215"/>
      <c r="AY98" s="214"/>
      <c r="AZ98" s="216"/>
      <c r="BA98" s="203"/>
      <c r="BB98" s="203"/>
      <c r="BC98" s="215"/>
      <c r="BD98" s="215"/>
      <c r="BE98" s="215"/>
      <c r="BF98" s="215"/>
      <c r="BG98" s="215"/>
      <c r="BH98" s="215"/>
      <c r="BI98" s="214"/>
      <c r="BJ98" s="216"/>
      <c r="BK98" s="203"/>
      <c r="BL98" s="203"/>
      <c r="BM98" s="215"/>
      <c r="BN98" s="215"/>
      <c r="BO98" s="215"/>
      <c r="BP98" s="215"/>
      <c r="BQ98" s="215"/>
      <c r="BR98" s="215"/>
      <c r="BS98" s="214"/>
      <c r="BT98" s="216"/>
      <c r="BU98" s="203"/>
      <c r="BV98" s="203"/>
      <c r="BW98" s="215"/>
      <c r="BX98" s="215"/>
      <c r="BY98" s="215"/>
      <c r="BZ98" s="215"/>
      <c r="CA98" s="215"/>
      <c r="CB98" s="215"/>
      <c r="CC98" s="214"/>
    </row>
    <row r="99" spans="1:81" s="213" customFormat="1" ht="15.95" customHeight="1" x14ac:dyDescent="0.2">
      <c r="A99" s="219" t="s">
        <v>184</v>
      </c>
      <c r="B99" s="211">
        <f>SUM(B$92:B98)</f>
        <v>0</v>
      </c>
      <c r="C99" s="203">
        <f>SUM(C$92:C98)</f>
        <v>0</v>
      </c>
      <c r="D99" s="203">
        <f>IFERROR(C99/B99,0)</f>
        <v>0</v>
      </c>
      <c r="E99" s="202">
        <f>SUM(E$92:E98)</f>
        <v>0</v>
      </c>
      <c r="F99" s="202">
        <f>SUM(F$92:F98)</f>
        <v>0</v>
      </c>
      <c r="G99" s="202">
        <f>SUM(G$92:G98)</f>
        <v>0</v>
      </c>
      <c r="H99" s="202">
        <f>SUM(H$92:H98)</f>
        <v>0</v>
      </c>
      <c r="I99" s="202">
        <f>SUM(I$92:I98)</f>
        <v>0</v>
      </c>
      <c r="J99" s="202">
        <f>SUM(J$92:J98)</f>
        <v>0</v>
      </c>
      <c r="K99" s="214">
        <f>SUM(K$92:K98)</f>
        <v>0</v>
      </c>
      <c r="L99" s="205">
        <f>SUM(L$92:L98)</f>
        <v>408</v>
      </c>
      <c r="M99" s="203">
        <f>SUM(M$92:M98)</f>
        <v>1504650</v>
      </c>
      <c r="N99" s="203">
        <f>IFERROR(M99/L99,0)</f>
        <v>3687.8676470588234</v>
      </c>
      <c r="O99" s="202">
        <f>SUM(O$92:O98)</f>
        <v>0</v>
      </c>
      <c r="P99" s="202">
        <f>SUM(P$92:P98)</f>
        <v>0</v>
      </c>
      <c r="Q99" s="202">
        <f>SUM(Q$92:Q98)</f>
        <v>975559</v>
      </c>
      <c r="R99" s="202">
        <f>SUM(R$92:R98)</f>
        <v>529091</v>
      </c>
      <c r="S99" s="202">
        <f>SUM(S$92:S98)</f>
        <v>0</v>
      </c>
      <c r="T99" s="202">
        <f>SUM(T$92:T98)</f>
        <v>1193715</v>
      </c>
      <c r="U99" s="214">
        <f>SUM(U$92:U98)</f>
        <v>0</v>
      </c>
      <c r="V99" s="205">
        <f>SUM(V$92:V98)</f>
        <v>339</v>
      </c>
      <c r="W99" s="203">
        <f>SUM(W$92:W98)</f>
        <v>1369018</v>
      </c>
      <c r="X99" s="203">
        <f>IFERROR(W99/V99,0)</f>
        <v>4038.4011799410027</v>
      </c>
      <c r="Y99" s="202">
        <f>SUM(Y$92:Y98)</f>
        <v>0</v>
      </c>
      <c r="Z99" s="202">
        <f>SUM(Z$92:Z98)</f>
        <v>0</v>
      </c>
      <c r="AA99" s="202">
        <f>SUM(AA$92:AA98)</f>
        <v>917144</v>
      </c>
      <c r="AB99" s="202">
        <f>SUM(AB$92:AB98)</f>
        <v>451874</v>
      </c>
      <c r="AC99" s="202">
        <f>SUM(AC$92:AC98)</f>
        <v>0</v>
      </c>
      <c r="AD99" s="202">
        <f>SUM(AD$92:AD98)</f>
        <v>1111274</v>
      </c>
      <c r="AE99" s="214">
        <f>SUM(AE$92:AE98)</f>
        <v>0</v>
      </c>
      <c r="AF99" s="205">
        <f>SUM(AF$92:AF98)</f>
        <v>392</v>
      </c>
      <c r="AG99" s="203">
        <f>SUM(AG$92:AG98)</f>
        <v>1380690</v>
      </c>
      <c r="AH99" s="203">
        <f>IFERROR(AG99/AF99,0)</f>
        <v>3522.1683673469388</v>
      </c>
      <c r="AI99" s="202">
        <f>SUM(AI$92:AI98)</f>
        <v>0</v>
      </c>
      <c r="AJ99" s="202">
        <f>SUM(AJ$92:AJ98)</f>
        <v>0</v>
      </c>
      <c r="AK99" s="202">
        <f>SUM(AK$92:AK98)</f>
        <v>773679</v>
      </c>
      <c r="AL99" s="202">
        <f>SUM(AL$92:AL98)</f>
        <v>607011</v>
      </c>
      <c r="AM99" s="202">
        <f>SUM(AM$92:AM98)</f>
        <v>0</v>
      </c>
      <c r="AN99" s="202">
        <f>SUM(AN$92:AN98)</f>
        <v>1075621</v>
      </c>
      <c r="AO99" s="214">
        <f>SUM(AO$92:AO98)</f>
        <v>0</v>
      </c>
      <c r="AP99" s="205">
        <f>SUM(AP$92:AP98)</f>
        <v>316</v>
      </c>
      <c r="AQ99" s="203">
        <f>SUM(AQ$92:AQ98)</f>
        <v>1121636</v>
      </c>
      <c r="AR99" s="203">
        <f>IFERROR(AQ99/AP99,0)</f>
        <v>3549.4810126582279</v>
      </c>
      <c r="AS99" s="202">
        <f>SUM(AS$92:AS98)</f>
        <v>0</v>
      </c>
      <c r="AT99" s="202">
        <f>SUM(AT$92:AT98)</f>
        <v>0</v>
      </c>
      <c r="AU99" s="202">
        <f>SUM(AU$92:AU98)</f>
        <v>597050</v>
      </c>
      <c r="AV99" s="202">
        <f>SUM(AV$92:AV98)</f>
        <v>524586</v>
      </c>
      <c r="AW99" s="202">
        <f>SUM(AW$92:AW98)</f>
        <v>0</v>
      </c>
      <c r="AX99" s="202">
        <f>SUM(AX$92:AX98)</f>
        <v>853393</v>
      </c>
      <c r="AY99" s="214">
        <f>SUM(AY$92:AY98)</f>
        <v>0</v>
      </c>
      <c r="AZ99" s="205">
        <f>SUM(AZ$92:AZ98)</f>
        <v>212</v>
      </c>
      <c r="BA99" s="203">
        <f>SUM(BA$92:BA98)</f>
        <v>897705</v>
      </c>
      <c r="BB99" s="203">
        <f>IFERROR(BA99/AZ99,0)</f>
        <v>4234.4575471698117</v>
      </c>
      <c r="BC99" s="202">
        <f>SUM(BC$92:BC98)</f>
        <v>0</v>
      </c>
      <c r="BD99" s="202">
        <f>SUM(BD$92:BD98)</f>
        <v>0</v>
      </c>
      <c r="BE99" s="202">
        <f>SUM(BE$92:BE98)</f>
        <v>640555</v>
      </c>
      <c r="BF99" s="202">
        <f>SUM(BF$92:BF98)</f>
        <v>257150</v>
      </c>
      <c r="BG99" s="202">
        <f>SUM(BG$92:BG98)</f>
        <v>0</v>
      </c>
      <c r="BH99" s="202">
        <f>SUM(BH$92:BH98)</f>
        <v>659204</v>
      </c>
      <c r="BI99" s="214">
        <f>SUM(BI$92:BI98)</f>
        <v>0</v>
      </c>
      <c r="BJ99" s="205">
        <f>SUM(BJ$92:BJ98)</f>
        <v>257</v>
      </c>
      <c r="BK99" s="203">
        <f>SUM(BK$92:BK98)</f>
        <v>636549</v>
      </c>
      <c r="BL99" s="203">
        <f>IFERROR(BK99/BJ99,0)</f>
        <v>2476.8443579766536</v>
      </c>
      <c r="BM99" s="202">
        <f>SUM(BM$92:BM98)</f>
        <v>0</v>
      </c>
      <c r="BN99" s="202">
        <f>SUM(BN$92:BN98)</f>
        <v>0</v>
      </c>
      <c r="BO99" s="202">
        <f>SUM(BO$92:BO98)</f>
        <v>270490</v>
      </c>
      <c r="BP99" s="202">
        <f>SUM(BP$92:BP98)</f>
        <v>366059</v>
      </c>
      <c r="BQ99" s="202">
        <f>SUM(BQ$92:BQ98)</f>
        <v>0</v>
      </c>
      <c r="BR99" s="202">
        <f>SUM(BR$92:BR98)</f>
        <v>501572</v>
      </c>
      <c r="BS99" s="214">
        <f>SUM(BS$92:BS98)</f>
        <v>0</v>
      </c>
      <c r="BT99" s="205">
        <f>SUM(BT$92:BT98)</f>
        <v>328</v>
      </c>
      <c r="BU99" s="203">
        <f>SUM(BU$92:BU98)</f>
        <v>1357906</v>
      </c>
      <c r="BV99" s="203">
        <f>IFERROR(BU99/BT99,0)</f>
        <v>4139.957317073171</v>
      </c>
      <c r="BW99" s="202">
        <f>SUM(BW$92:BW98)</f>
        <v>0</v>
      </c>
      <c r="BX99" s="202">
        <f>SUM(BX$92:BX98)</f>
        <v>0</v>
      </c>
      <c r="BY99" s="202">
        <f>SUM(BY$92:BY98)</f>
        <v>841195</v>
      </c>
      <c r="BZ99" s="202">
        <f>SUM(BZ$92:BZ98)</f>
        <v>516711</v>
      </c>
      <c r="CA99" s="202">
        <f>SUM(CA$92:CA98)</f>
        <v>0</v>
      </c>
      <c r="CB99" s="202">
        <f>SUM(CB$92:CB98)</f>
        <v>453041</v>
      </c>
      <c r="CC99" s="214">
        <f>SUM(CC$92:CC98)</f>
        <v>0</v>
      </c>
    </row>
    <row r="100" spans="1:81" ht="15.95" customHeight="1" x14ac:dyDescent="0.2">
      <c r="A100" s="218"/>
      <c r="B100" s="223"/>
      <c r="C100" s="221"/>
      <c r="D100" s="221"/>
      <c r="E100" s="220"/>
      <c r="F100" s="220"/>
      <c r="G100" s="220"/>
      <c r="H100" s="220"/>
      <c r="I100" s="220"/>
      <c r="J100" s="220"/>
      <c r="K100" s="214"/>
      <c r="L100" s="222"/>
      <c r="M100" s="221"/>
      <c r="N100" s="221"/>
      <c r="O100" s="220"/>
      <c r="P100" s="220"/>
      <c r="Q100" s="220"/>
      <c r="R100" s="220"/>
      <c r="S100" s="220"/>
      <c r="T100" s="220"/>
      <c r="U100" s="214"/>
      <c r="V100" s="222"/>
      <c r="W100" s="221"/>
      <c r="X100" s="221"/>
      <c r="Y100" s="220"/>
      <c r="Z100" s="220"/>
      <c r="AA100" s="220"/>
      <c r="AB100" s="220"/>
      <c r="AC100" s="220"/>
      <c r="AD100" s="220"/>
      <c r="AE100" s="214"/>
      <c r="AF100" s="216"/>
      <c r="AG100" s="203"/>
      <c r="AH100" s="203"/>
      <c r="AI100" s="215"/>
      <c r="AJ100" s="215"/>
      <c r="AK100" s="215"/>
      <c r="AL100" s="215"/>
      <c r="AM100" s="215"/>
      <c r="AN100" s="215"/>
      <c r="AO100" s="214"/>
      <c r="AP100" s="216"/>
      <c r="AQ100" s="203"/>
      <c r="AR100" s="203"/>
      <c r="AS100" s="215"/>
      <c r="AT100" s="215"/>
      <c r="AU100" s="215"/>
      <c r="AV100" s="215"/>
      <c r="AW100" s="215"/>
      <c r="AX100" s="215"/>
      <c r="AY100" s="214"/>
      <c r="AZ100" s="216"/>
      <c r="BA100" s="203"/>
      <c r="BB100" s="203"/>
      <c r="BC100" s="215"/>
      <c r="BD100" s="215"/>
      <c r="BE100" s="215"/>
      <c r="BF100" s="215"/>
      <c r="BG100" s="215"/>
      <c r="BH100" s="215"/>
      <c r="BI100" s="214"/>
      <c r="BJ100" s="216"/>
      <c r="BK100" s="203"/>
      <c r="BL100" s="203"/>
      <c r="BM100" s="215"/>
      <c r="BN100" s="215"/>
      <c r="BO100" s="215"/>
      <c r="BP100" s="215"/>
      <c r="BQ100" s="215"/>
      <c r="BR100" s="215"/>
      <c r="BS100" s="214"/>
      <c r="BT100" s="216"/>
      <c r="BU100" s="203"/>
      <c r="BV100" s="203"/>
      <c r="BW100" s="215"/>
      <c r="BX100" s="215"/>
      <c r="BY100" s="215"/>
      <c r="BZ100" s="215"/>
      <c r="CA100" s="215"/>
      <c r="CB100" s="215"/>
      <c r="CC100" s="214"/>
    </row>
    <row r="101" spans="1:81" ht="15.95" customHeight="1" x14ac:dyDescent="0.2">
      <c r="A101" s="230" t="s">
        <v>183</v>
      </c>
      <c r="B101" s="223"/>
      <c r="C101" s="221"/>
      <c r="D101" s="221"/>
      <c r="E101" s="220"/>
      <c r="F101" s="220"/>
      <c r="G101" s="220"/>
      <c r="H101" s="220"/>
      <c r="I101" s="220"/>
      <c r="J101" s="220"/>
      <c r="K101" s="214"/>
      <c r="L101" s="222"/>
      <c r="M101" s="221"/>
      <c r="N101" s="221"/>
      <c r="O101" s="220"/>
      <c r="P101" s="220"/>
      <c r="Q101" s="220"/>
      <c r="R101" s="220"/>
      <c r="S101" s="220"/>
      <c r="T101" s="220"/>
      <c r="U101" s="214"/>
      <c r="V101" s="222"/>
      <c r="W101" s="221"/>
      <c r="X101" s="221"/>
      <c r="Y101" s="220"/>
      <c r="Z101" s="220"/>
      <c r="AA101" s="220"/>
      <c r="AB101" s="220"/>
      <c r="AC101" s="220"/>
      <c r="AD101" s="220"/>
      <c r="AE101" s="214"/>
      <c r="AF101" s="216"/>
      <c r="AG101" s="203"/>
      <c r="AH101" s="203"/>
      <c r="AI101" s="215"/>
      <c r="AJ101" s="215"/>
      <c r="AK101" s="215"/>
      <c r="AL101" s="215"/>
      <c r="AM101" s="215"/>
      <c r="AN101" s="215"/>
      <c r="AO101" s="214"/>
      <c r="AP101" s="216"/>
      <c r="AQ101" s="203"/>
      <c r="AR101" s="203"/>
      <c r="AS101" s="215"/>
      <c r="AT101" s="215"/>
      <c r="AU101" s="215"/>
      <c r="AV101" s="215"/>
      <c r="AW101" s="215"/>
      <c r="AX101" s="215"/>
      <c r="AY101" s="214"/>
      <c r="AZ101" s="216"/>
      <c r="BA101" s="203"/>
      <c r="BB101" s="203"/>
      <c r="BC101" s="215"/>
      <c r="BD101" s="215"/>
      <c r="BE101" s="215"/>
      <c r="BF101" s="215"/>
      <c r="BG101" s="215"/>
      <c r="BH101" s="215"/>
      <c r="BI101" s="214"/>
      <c r="BJ101" s="216"/>
      <c r="BK101" s="203"/>
      <c r="BL101" s="203"/>
      <c r="BM101" s="215"/>
      <c r="BN101" s="215"/>
      <c r="BO101" s="215"/>
      <c r="BP101" s="215"/>
      <c r="BQ101" s="215"/>
      <c r="BR101" s="215"/>
      <c r="BS101" s="214"/>
      <c r="BT101" s="216"/>
      <c r="BU101" s="203"/>
      <c r="BV101" s="203"/>
      <c r="BW101" s="215"/>
      <c r="BX101" s="215"/>
      <c r="BY101" s="215"/>
      <c r="BZ101" s="215"/>
      <c r="CA101" s="215"/>
      <c r="CB101" s="215"/>
      <c r="CC101" s="214"/>
    </row>
    <row r="102" spans="1:81" ht="15.95" customHeight="1" x14ac:dyDescent="0.2">
      <c r="A102" s="228" t="s">
        <v>182</v>
      </c>
      <c r="B102" s="223"/>
      <c r="C102" s="203">
        <f t="shared" ref="C102:C110" si="80">SUM(E102:I102)</f>
        <v>793685</v>
      </c>
      <c r="D102" s="203">
        <f t="shared" ref="D102:D110" si="81">IFERROR(C102/B102,0)</f>
        <v>0</v>
      </c>
      <c r="E102" s="220">
        <v>793685</v>
      </c>
      <c r="F102" s="220"/>
      <c r="G102" s="220"/>
      <c r="H102" s="220"/>
      <c r="I102" s="220"/>
      <c r="J102" s="220"/>
      <c r="K102" s="214">
        <f t="shared" ref="K102:K110" si="82">IF(J102=0,0,(IF(E102&lt;=J102,E102,J102)))</f>
        <v>0</v>
      </c>
      <c r="L102" s="222">
        <v>193</v>
      </c>
      <c r="M102" s="203">
        <f t="shared" ref="M102:M110" si="83">SUM(O102:S102)</f>
        <v>715580</v>
      </c>
      <c r="N102" s="203">
        <f t="shared" ref="N102:N110" si="84">IFERROR(M102/L102,0)</f>
        <v>3707.6683937823836</v>
      </c>
      <c r="O102" s="220">
        <v>715580</v>
      </c>
      <c r="P102" s="220">
        <v>0</v>
      </c>
      <c r="Q102" s="220">
        <v>0</v>
      </c>
      <c r="R102" s="220">
        <v>0</v>
      </c>
      <c r="S102" s="220">
        <v>0</v>
      </c>
      <c r="T102" s="220">
        <v>543539</v>
      </c>
      <c r="U102" s="214">
        <f t="shared" ref="U102:U110" si="85">IF(T102=0,0,(IF(O102&lt;=T102,O102,T102)))</f>
        <v>543539</v>
      </c>
      <c r="V102" s="222">
        <v>194</v>
      </c>
      <c r="W102" s="203">
        <f t="shared" ref="W102:W110" si="86">SUM(Y102:AC102)</f>
        <v>782470</v>
      </c>
      <c r="X102" s="203">
        <f t="shared" ref="X102:X110" si="87">IFERROR(W102/V102,0)</f>
        <v>4033.3505154639174</v>
      </c>
      <c r="Y102" s="220">
        <v>782470</v>
      </c>
      <c r="Z102" s="220"/>
      <c r="AA102" s="220"/>
      <c r="AB102" s="220"/>
      <c r="AC102" s="220"/>
      <c r="AD102" s="220">
        <v>488769</v>
      </c>
      <c r="AE102" s="214">
        <f t="shared" ref="AE102:AE110" si="88">IF(AD102=0,0,(IF(Y102&lt;=AD102,Y102,AD102)))</f>
        <v>488769</v>
      </c>
      <c r="AF102" s="216">
        <v>176</v>
      </c>
      <c r="AG102" s="203">
        <f t="shared" ref="AG102:AG110" si="89">SUM(AI102:AM102)</f>
        <v>815104</v>
      </c>
      <c r="AH102" s="203">
        <f t="shared" ref="AH102:AH110" si="90">IFERROR(AG102/AF102,0)</f>
        <v>4631.272727272727</v>
      </c>
      <c r="AI102" s="215">
        <v>815104</v>
      </c>
      <c r="AJ102" s="215"/>
      <c r="AK102" s="215"/>
      <c r="AL102" s="215"/>
      <c r="AM102" s="215"/>
      <c r="AN102" s="215">
        <v>474817</v>
      </c>
      <c r="AO102" s="214">
        <f t="shared" ref="AO102:AO110" si="91">IF(AN102=0,0,(IF(AI102&lt;=AN102,AI102,AN102)))</f>
        <v>474817</v>
      </c>
      <c r="AP102" s="216">
        <v>183</v>
      </c>
      <c r="AQ102" s="203">
        <f t="shared" ref="AQ102:AQ110" si="92">SUM(AS102:AW102)</f>
        <v>924102</v>
      </c>
      <c r="AR102" s="203">
        <f t="shared" ref="AR102:AR110" si="93">IFERROR(AQ102/AP102,0)</f>
        <v>5049.7377049180332</v>
      </c>
      <c r="AS102" s="215">
        <v>924102</v>
      </c>
      <c r="AT102" s="215"/>
      <c r="AU102" s="215"/>
      <c r="AV102" s="215"/>
      <c r="AW102" s="215"/>
      <c r="AX102" s="215">
        <v>579094</v>
      </c>
      <c r="AY102" s="214">
        <f t="shared" ref="AY102:AY110" si="94">IF(AX102=0,0,(IF(AS102&lt;=AX102,AS102,AX102)))</f>
        <v>579094</v>
      </c>
      <c r="AZ102" s="216">
        <v>199</v>
      </c>
      <c r="BA102" s="203">
        <f t="shared" ref="BA102:BA110" si="95">SUM(BC102:BG102)</f>
        <v>1035574.62</v>
      </c>
      <c r="BB102" s="203">
        <f t="shared" ref="BB102:BB110" si="96">IFERROR(BA102/AZ102,0)</f>
        <v>5203.8925628140705</v>
      </c>
      <c r="BC102" s="215">
        <v>1035574.62</v>
      </c>
      <c r="BD102" s="215"/>
      <c r="BE102" s="215"/>
      <c r="BF102" s="215"/>
      <c r="BG102" s="215"/>
      <c r="BH102" s="215">
        <v>751373</v>
      </c>
      <c r="BI102" s="214">
        <f t="shared" ref="BI102:BI110" si="97">IF(BH102=0,0,(IF(BC102&lt;=BH102,BC102,BH102)))</f>
        <v>751373</v>
      </c>
      <c r="BJ102" s="216">
        <v>192</v>
      </c>
      <c r="BK102" s="203">
        <f t="shared" ref="BK102:BK110" si="98">SUM(BM102:BQ102)</f>
        <v>1005367.72</v>
      </c>
      <c r="BL102" s="203">
        <f t="shared" ref="BL102:BL110" si="99">IFERROR(BK102/BJ102,0)</f>
        <v>5236.2902083333329</v>
      </c>
      <c r="BM102" s="215">
        <v>1005367.72</v>
      </c>
      <c r="BN102" s="215"/>
      <c r="BO102" s="215"/>
      <c r="BP102" s="215"/>
      <c r="BQ102" s="215"/>
      <c r="BR102" s="215">
        <v>692164.5</v>
      </c>
      <c r="BS102" s="214">
        <f t="shared" ref="BS102:BS110" si="100">IF(BR102=0,0,(IF(BM102&lt;=BR102,BM102,BR102)))</f>
        <v>692164.5</v>
      </c>
      <c r="BT102" s="226">
        <v>211</v>
      </c>
      <c r="BU102" s="203">
        <f t="shared" ref="BU102:BU110" si="101">SUM(BW102:CA102)</f>
        <v>967087</v>
      </c>
      <c r="BV102" s="203">
        <f t="shared" ref="BV102:BV110" si="102">IFERROR(BU102/BT102,0)</f>
        <v>4583.350710900474</v>
      </c>
      <c r="BW102" s="225">
        <v>967087</v>
      </c>
      <c r="BX102" s="225"/>
      <c r="BY102" s="225"/>
      <c r="BZ102" s="225"/>
      <c r="CA102" s="225"/>
      <c r="CB102" s="225">
        <v>498835</v>
      </c>
      <c r="CC102" s="214">
        <f t="shared" ref="CC102:CC110" si="103">IF(CB102=0,0,(IF(BW102&lt;=CB102,BW102,CB102)))</f>
        <v>498835</v>
      </c>
    </row>
    <row r="103" spans="1:81" ht="15.95" customHeight="1" x14ac:dyDescent="0.2">
      <c r="A103" s="228" t="s">
        <v>181</v>
      </c>
      <c r="B103" s="223"/>
      <c r="C103" s="203">
        <f t="shared" si="80"/>
        <v>508719</v>
      </c>
      <c r="D103" s="203">
        <f t="shared" si="81"/>
        <v>0</v>
      </c>
      <c r="E103" s="220">
        <v>508719</v>
      </c>
      <c r="F103" s="220"/>
      <c r="G103" s="220"/>
      <c r="H103" s="220"/>
      <c r="I103" s="220"/>
      <c r="J103" s="220"/>
      <c r="K103" s="214">
        <f t="shared" si="82"/>
        <v>0</v>
      </c>
      <c r="L103" s="222">
        <v>82</v>
      </c>
      <c r="M103" s="203">
        <f t="shared" si="83"/>
        <v>511844</v>
      </c>
      <c r="N103" s="203">
        <f t="shared" si="84"/>
        <v>6242</v>
      </c>
      <c r="O103" s="220">
        <v>511844</v>
      </c>
      <c r="P103" s="220">
        <v>0</v>
      </c>
      <c r="Q103" s="220">
        <v>0</v>
      </c>
      <c r="R103" s="220">
        <v>0</v>
      </c>
      <c r="S103" s="220">
        <v>0</v>
      </c>
      <c r="T103" s="220">
        <v>120367</v>
      </c>
      <c r="U103" s="214">
        <f t="shared" si="85"/>
        <v>120367</v>
      </c>
      <c r="V103" s="222">
        <v>92</v>
      </c>
      <c r="W103" s="203">
        <f t="shared" si="86"/>
        <v>609388</v>
      </c>
      <c r="X103" s="203">
        <f t="shared" si="87"/>
        <v>6623.782608695652</v>
      </c>
      <c r="Y103" s="220">
        <v>609388</v>
      </c>
      <c r="Z103" s="220"/>
      <c r="AA103" s="220"/>
      <c r="AB103" s="220"/>
      <c r="AC103" s="220"/>
      <c r="AD103" s="220">
        <v>84281</v>
      </c>
      <c r="AE103" s="214">
        <f t="shared" si="88"/>
        <v>84281</v>
      </c>
      <c r="AF103" s="216">
        <v>104</v>
      </c>
      <c r="AG103" s="203">
        <f t="shared" si="89"/>
        <v>673748</v>
      </c>
      <c r="AH103" s="203">
        <f t="shared" si="90"/>
        <v>6478.3461538461543</v>
      </c>
      <c r="AI103" s="215">
        <v>673748</v>
      </c>
      <c r="AJ103" s="215"/>
      <c r="AK103" s="215"/>
      <c r="AL103" s="215"/>
      <c r="AM103" s="215"/>
      <c r="AN103" s="215">
        <v>126331</v>
      </c>
      <c r="AO103" s="214">
        <f t="shared" si="91"/>
        <v>126331</v>
      </c>
      <c r="AP103" s="216">
        <v>97</v>
      </c>
      <c r="AQ103" s="203">
        <f t="shared" si="92"/>
        <v>725033</v>
      </c>
      <c r="AR103" s="203">
        <f t="shared" si="93"/>
        <v>7474.567010309278</v>
      </c>
      <c r="AS103" s="215">
        <v>725033</v>
      </c>
      <c r="AT103" s="215"/>
      <c r="AU103" s="215"/>
      <c r="AV103" s="215"/>
      <c r="AW103" s="215"/>
      <c r="AX103" s="215">
        <v>126567</v>
      </c>
      <c r="AY103" s="214">
        <f t="shared" si="94"/>
        <v>126567</v>
      </c>
      <c r="AZ103" s="216">
        <v>103</v>
      </c>
      <c r="BA103" s="203">
        <f t="shared" si="95"/>
        <v>805226.33000000007</v>
      </c>
      <c r="BB103" s="203">
        <f t="shared" si="96"/>
        <v>7817.7313592233013</v>
      </c>
      <c r="BC103" s="215">
        <v>805226.33000000007</v>
      </c>
      <c r="BD103" s="215"/>
      <c r="BE103" s="215"/>
      <c r="BF103" s="215"/>
      <c r="BG103" s="215"/>
      <c r="BH103" s="215">
        <v>175482</v>
      </c>
      <c r="BI103" s="214">
        <f t="shared" si="97"/>
        <v>175482</v>
      </c>
      <c r="BJ103" s="216">
        <v>126</v>
      </c>
      <c r="BK103" s="203">
        <f t="shared" si="98"/>
        <v>858477.54</v>
      </c>
      <c r="BL103" s="203">
        <f t="shared" si="99"/>
        <v>6813.3138095238101</v>
      </c>
      <c r="BM103" s="215">
        <v>858477.54</v>
      </c>
      <c r="BN103" s="215"/>
      <c r="BO103" s="215"/>
      <c r="BP103" s="215"/>
      <c r="BQ103" s="215"/>
      <c r="BR103" s="215">
        <v>169074</v>
      </c>
      <c r="BS103" s="214">
        <f t="shared" si="100"/>
        <v>169074</v>
      </c>
      <c r="BT103" s="226">
        <v>121</v>
      </c>
      <c r="BU103" s="203">
        <f t="shared" si="101"/>
        <v>845708</v>
      </c>
      <c r="BV103" s="203">
        <f t="shared" si="102"/>
        <v>6989.3223140495866</v>
      </c>
      <c r="BW103" s="225">
        <v>845708</v>
      </c>
      <c r="BX103" s="225"/>
      <c r="BY103" s="225"/>
      <c r="BZ103" s="225"/>
      <c r="CA103" s="225"/>
      <c r="CB103" s="225">
        <v>141657</v>
      </c>
      <c r="CC103" s="214">
        <f t="shared" si="103"/>
        <v>141657</v>
      </c>
    </row>
    <row r="104" spans="1:81" ht="15.95" customHeight="1" x14ac:dyDescent="0.2">
      <c r="A104" s="228" t="s">
        <v>180</v>
      </c>
      <c r="B104" s="223"/>
      <c r="C104" s="203">
        <f t="shared" si="80"/>
        <v>1010430</v>
      </c>
      <c r="D104" s="203">
        <f t="shared" si="81"/>
        <v>0</v>
      </c>
      <c r="E104" s="220">
        <v>1010430</v>
      </c>
      <c r="F104" s="220"/>
      <c r="G104" s="220"/>
      <c r="H104" s="220"/>
      <c r="I104" s="220"/>
      <c r="J104" s="220"/>
      <c r="K104" s="214">
        <f t="shared" si="82"/>
        <v>0</v>
      </c>
      <c r="L104" s="222">
        <v>163</v>
      </c>
      <c r="M104" s="203">
        <f t="shared" si="83"/>
        <v>1068754</v>
      </c>
      <c r="N104" s="203">
        <f t="shared" si="84"/>
        <v>6556.7730061349694</v>
      </c>
      <c r="O104" s="220">
        <v>1068754</v>
      </c>
      <c r="P104" s="220">
        <v>0</v>
      </c>
      <c r="Q104" s="220">
        <v>0</v>
      </c>
      <c r="R104" s="220">
        <v>0</v>
      </c>
      <c r="S104" s="220">
        <v>0</v>
      </c>
      <c r="T104" s="220">
        <v>0</v>
      </c>
      <c r="U104" s="214">
        <f t="shared" si="85"/>
        <v>0</v>
      </c>
      <c r="V104" s="222">
        <v>178</v>
      </c>
      <c r="W104" s="203">
        <f t="shared" si="86"/>
        <v>1139709</v>
      </c>
      <c r="X104" s="203">
        <f t="shared" si="87"/>
        <v>6402.8595505617977</v>
      </c>
      <c r="Y104" s="220">
        <v>1139709</v>
      </c>
      <c r="Z104" s="220"/>
      <c r="AA104" s="220"/>
      <c r="AB104" s="220"/>
      <c r="AC104" s="220"/>
      <c r="AD104" s="220">
        <v>0</v>
      </c>
      <c r="AE104" s="214">
        <f t="shared" si="88"/>
        <v>0</v>
      </c>
      <c r="AF104" s="216">
        <v>171</v>
      </c>
      <c r="AG104" s="203">
        <f t="shared" si="89"/>
        <v>1202402</v>
      </c>
      <c r="AH104" s="203">
        <f t="shared" si="90"/>
        <v>7031.5906432748534</v>
      </c>
      <c r="AI104" s="215">
        <v>1202402</v>
      </c>
      <c r="AJ104" s="215"/>
      <c r="AK104" s="215"/>
      <c r="AL104" s="215"/>
      <c r="AM104" s="215"/>
      <c r="AN104" s="215">
        <v>0</v>
      </c>
      <c r="AO104" s="214">
        <f t="shared" si="91"/>
        <v>0</v>
      </c>
      <c r="AP104" s="216">
        <v>170</v>
      </c>
      <c r="AQ104" s="203">
        <f t="shared" si="92"/>
        <v>1257982</v>
      </c>
      <c r="AR104" s="203">
        <f t="shared" si="93"/>
        <v>7399.8941176470589</v>
      </c>
      <c r="AS104" s="215">
        <v>1257982</v>
      </c>
      <c r="AT104" s="215"/>
      <c r="AU104" s="215"/>
      <c r="AV104" s="215"/>
      <c r="AW104" s="215"/>
      <c r="AX104" s="215">
        <v>0</v>
      </c>
      <c r="AY104" s="214">
        <f t="shared" si="94"/>
        <v>0</v>
      </c>
      <c r="AZ104" s="216">
        <v>186</v>
      </c>
      <c r="BA104" s="203">
        <f t="shared" si="95"/>
        <v>1022816.83</v>
      </c>
      <c r="BB104" s="203">
        <f t="shared" si="96"/>
        <v>5499.0152150537633</v>
      </c>
      <c r="BC104" s="215">
        <v>1022816.83</v>
      </c>
      <c r="BD104" s="215"/>
      <c r="BE104" s="215"/>
      <c r="BF104" s="215"/>
      <c r="BG104" s="215"/>
      <c r="BH104" s="215">
        <v>21448</v>
      </c>
      <c r="BI104" s="214">
        <f t="shared" si="97"/>
        <v>21448</v>
      </c>
      <c r="BJ104" s="216">
        <v>206</v>
      </c>
      <c r="BK104" s="203">
        <f t="shared" si="98"/>
        <v>1412872.66</v>
      </c>
      <c r="BL104" s="203">
        <f t="shared" si="99"/>
        <v>6858.6051456310679</v>
      </c>
      <c r="BM104" s="215">
        <v>1412872.66</v>
      </c>
      <c r="BN104" s="215"/>
      <c r="BO104" s="215"/>
      <c r="BP104" s="215"/>
      <c r="BQ104" s="215"/>
      <c r="BR104" s="215">
        <v>55436</v>
      </c>
      <c r="BS104" s="214">
        <f t="shared" si="100"/>
        <v>55436</v>
      </c>
      <c r="BT104" s="226">
        <v>245</v>
      </c>
      <c r="BU104" s="203">
        <f t="shared" si="101"/>
        <v>1764023</v>
      </c>
      <c r="BV104" s="203">
        <f t="shared" si="102"/>
        <v>7200.0938775510203</v>
      </c>
      <c r="BW104" s="225">
        <v>1764023</v>
      </c>
      <c r="BX104" s="225"/>
      <c r="BY104" s="225"/>
      <c r="BZ104" s="225"/>
      <c r="CA104" s="225"/>
      <c r="CB104" s="225">
        <v>41146</v>
      </c>
      <c r="CC104" s="214">
        <f t="shared" si="103"/>
        <v>41146</v>
      </c>
    </row>
    <row r="105" spans="1:81" s="213" customFormat="1" ht="15.95" customHeight="1" x14ac:dyDescent="0.2">
      <c r="A105" s="228" t="s">
        <v>179</v>
      </c>
      <c r="B105" s="217"/>
      <c r="C105" s="203">
        <f t="shared" si="80"/>
        <v>619145</v>
      </c>
      <c r="D105" s="203">
        <f t="shared" si="81"/>
        <v>0</v>
      </c>
      <c r="E105" s="215">
        <v>619145</v>
      </c>
      <c r="F105" s="215"/>
      <c r="G105" s="215"/>
      <c r="H105" s="215"/>
      <c r="I105" s="215"/>
      <c r="J105" s="215"/>
      <c r="K105" s="214">
        <f t="shared" si="82"/>
        <v>0</v>
      </c>
      <c r="L105" s="216">
        <v>156</v>
      </c>
      <c r="M105" s="203">
        <f t="shared" si="83"/>
        <v>642393</v>
      </c>
      <c r="N105" s="203">
        <f t="shared" si="84"/>
        <v>4117.9038461538457</v>
      </c>
      <c r="O105" s="215">
        <v>642393</v>
      </c>
      <c r="P105" s="215">
        <v>0</v>
      </c>
      <c r="Q105" s="215">
        <v>0</v>
      </c>
      <c r="R105" s="215">
        <v>0</v>
      </c>
      <c r="S105" s="215">
        <v>0</v>
      </c>
      <c r="T105" s="215">
        <v>258517</v>
      </c>
      <c r="U105" s="214">
        <f t="shared" si="85"/>
        <v>258517</v>
      </c>
      <c r="V105" s="216">
        <v>163</v>
      </c>
      <c r="W105" s="203">
        <f t="shared" si="86"/>
        <v>725814</v>
      </c>
      <c r="X105" s="203">
        <f t="shared" si="87"/>
        <v>4452.8466257668715</v>
      </c>
      <c r="Y105" s="215">
        <v>725814</v>
      </c>
      <c r="Z105" s="215"/>
      <c r="AA105" s="215"/>
      <c r="AB105" s="215"/>
      <c r="AC105" s="215"/>
      <c r="AD105" s="215">
        <v>269524</v>
      </c>
      <c r="AE105" s="214">
        <f t="shared" si="88"/>
        <v>269524</v>
      </c>
      <c r="AF105" s="216">
        <v>162</v>
      </c>
      <c r="AG105" s="203">
        <f t="shared" si="89"/>
        <v>722462</v>
      </c>
      <c r="AH105" s="203">
        <f t="shared" si="90"/>
        <v>4459.641975308642</v>
      </c>
      <c r="AI105" s="215">
        <v>722462</v>
      </c>
      <c r="AJ105" s="215"/>
      <c r="AK105" s="215"/>
      <c r="AL105" s="215"/>
      <c r="AM105" s="215"/>
      <c r="AN105" s="215">
        <v>269016</v>
      </c>
      <c r="AO105" s="214">
        <f t="shared" si="91"/>
        <v>269016</v>
      </c>
      <c r="AP105" s="216">
        <v>112</v>
      </c>
      <c r="AQ105" s="203">
        <f t="shared" si="92"/>
        <v>687408</v>
      </c>
      <c r="AR105" s="203">
        <f t="shared" si="93"/>
        <v>6137.5714285714284</v>
      </c>
      <c r="AS105" s="215">
        <v>687408</v>
      </c>
      <c r="AT105" s="215"/>
      <c r="AU105" s="215"/>
      <c r="AV105" s="215"/>
      <c r="AW105" s="215"/>
      <c r="AX105" s="215">
        <v>194864</v>
      </c>
      <c r="AY105" s="214">
        <f t="shared" si="94"/>
        <v>194864</v>
      </c>
      <c r="AZ105" s="216">
        <v>119</v>
      </c>
      <c r="BA105" s="203">
        <f t="shared" si="95"/>
        <v>793903.33</v>
      </c>
      <c r="BB105" s="203">
        <f t="shared" si="96"/>
        <v>6671.4565546218482</v>
      </c>
      <c r="BC105" s="215">
        <v>793903.33</v>
      </c>
      <c r="BD105" s="215"/>
      <c r="BE105" s="215"/>
      <c r="BF105" s="215"/>
      <c r="BG105" s="215"/>
      <c r="BH105" s="215">
        <v>203203</v>
      </c>
      <c r="BI105" s="214">
        <f t="shared" si="97"/>
        <v>203203</v>
      </c>
      <c r="BJ105" s="216">
        <v>138</v>
      </c>
      <c r="BK105" s="203">
        <f t="shared" si="98"/>
        <v>801519.49</v>
      </c>
      <c r="BL105" s="203">
        <f t="shared" si="99"/>
        <v>5808.1122463768115</v>
      </c>
      <c r="BM105" s="215">
        <v>801519.49</v>
      </c>
      <c r="BN105" s="215"/>
      <c r="BO105" s="215"/>
      <c r="BP105" s="215"/>
      <c r="BQ105" s="215"/>
      <c r="BR105" s="215">
        <v>225190</v>
      </c>
      <c r="BS105" s="214">
        <f t="shared" si="100"/>
        <v>225190</v>
      </c>
      <c r="BT105" s="226">
        <v>147</v>
      </c>
      <c r="BU105" s="203">
        <f t="shared" si="101"/>
        <v>857534</v>
      </c>
      <c r="BV105" s="203">
        <f t="shared" si="102"/>
        <v>5833.5646258503402</v>
      </c>
      <c r="BW105" s="225">
        <v>857534</v>
      </c>
      <c r="BX105" s="225"/>
      <c r="BY105" s="225"/>
      <c r="BZ105" s="225"/>
      <c r="CA105" s="225"/>
      <c r="CB105" s="225">
        <v>240419</v>
      </c>
      <c r="CC105" s="214">
        <f t="shared" si="103"/>
        <v>240419</v>
      </c>
    </row>
    <row r="106" spans="1:81" s="213" customFormat="1" ht="15.95" customHeight="1" x14ac:dyDescent="0.2">
      <c r="A106" s="227"/>
      <c r="B106" s="217"/>
      <c r="C106" s="203">
        <f t="shared" si="80"/>
        <v>0</v>
      </c>
      <c r="D106" s="203">
        <f t="shared" si="81"/>
        <v>0</v>
      </c>
      <c r="E106" s="215"/>
      <c r="F106" s="215"/>
      <c r="G106" s="215"/>
      <c r="H106" s="215"/>
      <c r="I106" s="215"/>
      <c r="J106" s="215"/>
      <c r="K106" s="214">
        <f t="shared" si="82"/>
        <v>0</v>
      </c>
      <c r="L106" s="216"/>
      <c r="M106" s="203">
        <f t="shared" si="83"/>
        <v>0</v>
      </c>
      <c r="N106" s="203">
        <f t="shared" si="84"/>
        <v>0</v>
      </c>
      <c r="O106" s="215"/>
      <c r="P106" s="215"/>
      <c r="Q106" s="215"/>
      <c r="R106" s="215"/>
      <c r="S106" s="215"/>
      <c r="T106" s="215"/>
      <c r="U106" s="214">
        <f t="shared" si="85"/>
        <v>0</v>
      </c>
      <c r="V106" s="216"/>
      <c r="W106" s="203">
        <f t="shared" si="86"/>
        <v>0</v>
      </c>
      <c r="X106" s="203">
        <f t="shared" si="87"/>
        <v>0</v>
      </c>
      <c r="Y106" s="215"/>
      <c r="Z106" s="215"/>
      <c r="AA106" s="215"/>
      <c r="AB106" s="215"/>
      <c r="AC106" s="215"/>
      <c r="AD106" s="215"/>
      <c r="AE106" s="214">
        <f t="shared" si="88"/>
        <v>0</v>
      </c>
      <c r="AF106" s="216"/>
      <c r="AG106" s="203">
        <f t="shared" si="89"/>
        <v>0</v>
      </c>
      <c r="AH106" s="203">
        <f t="shared" si="90"/>
        <v>0</v>
      </c>
      <c r="AI106" s="215"/>
      <c r="AJ106" s="215"/>
      <c r="AK106" s="215"/>
      <c r="AL106" s="215"/>
      <c r="AM106" s="215"/>
      <c r="AN106" s="215"/>
      <c r="AO106" s="214">
        <f t="shared" si="91"/>
        <v>0</v>
      </c>
      <c r="AP106" s="216"/>
      <c r="AQ106" s="203">
        <f t="shared" si="92"/>
        <v>0</v>
      </c>
      <c r="AR106" s="203">
        <f t="shared" si="93"/>
        <v>0</v>
      </c>
      <c r="AS106" s="215"/>
      <c r="AT106" s="215"/>
      <c r="AU106" s="215"/>
      <c r="AV106" s="215"/>
      <c r="AW106" s="215"/>
      <c r="AX106" s="215"/>
      <c r="AY106" s="214">
        <f t="shared" si="94"/>
        <v>0</v>
      </c>
      <c r="AZ106" s="216"/>
      <c r="BA106" s="203">
        <f t="shared" si="95"/>
        <v>0</v>
      </c>
      <c r="BB106" s="203">
        <f t="shared" si="96"/>
        <v>0</v>
      </c>
      <c r="BC106" s="215"/>
      <c r="BD106" s="215"/>
      <c r="BE106" s="215"/>
      <c r="BF106" s="215"/>
      <c r="BG106" s="215"/>
      <c r="BH106" s="215"/>
      <c r="BI106" s="214">
        <f t="shared" si="97"/>
        <v>0</v>
      </c>
      <c r="BJ106" s="216"/>
      <c r="BK106" s="203">
        <f t="shared" si="98"/>
        <v>0</v>
      </c>
      <c r="BL106" s="203">
        <f t="shared" si="99"/>
        <v>0</v>
      </c>
      <c r="BM106" s="215"/>
      <c r="BN106" s="215"/>
      <c r="BO106" s="215"/>
      <c r="BP106" s="215"/>
      <c r="BQ106" s="215"/>
      <c r="BR106" s="215"/>
      <c r="BS106" s="214">
        <f t="shared" si="100"/>
        <v>0</v>
      </c>
      <c r="BT106" s="226"/>
      <c r="BU106" s="203">
        <f t="shared" si="101"/>
        <v>0</v>
      </c>
      <c r="BV106" s="203">
        <f t="shared" si="102"/>
        <v>0</v>
      </c>
      <c r="BW106" s="225"/>
      <c r="BX106" s="225"/>
      <c r="BY106" s="225"/>
      <c r="BZ106" s="225"/>
      <c r="CA106" s="225"/>
      <c r="CB106" s="225"/>
      <c r="CC106" s="214">
        <f t="shared" si="103"/>
        <v>0</v>
      </c>
    </row>
    <row r="107" spans="1:81" s="213" customFormat="1" ht="15.95" customHeight="1" x14ac:dyDescent="0.2">
      <c r="A107" s="227"/>
      <c r="B107" s="217"/>
      <c r="C107" s="203">
        <f t="shared" si="80"/>
        <v>0</v>
      </c>
      <c r="D107" s="203">
        <f t="shared" si="81"/>
        <v>0</v>
      </c>
      <c r="E107" s="215"/>
      <c r="F107" s="215"/>
      <c r="G107" s="215"/>
      <c r="H107" s="215"/>
      <c r="I107" s="215"/>
      <c r="J107" s="215"/>
      <c r="K107" s="214">
        <f t="shared" si="82"/>
        <v>0</v>
      </c>
      <c r="L107" s="216"/>
      <c r="M107" s="203">
        <f t="shared" si="83"/>
        <v>0</v>
      </c>
      <c r="N107" s="203">
        <f t="shared" si="84"/>
        <v>0</v>
      </c>
      <c r="O107" s="215"/>
      <c r="P107" s="215"/>
      <c r="Q107" s="215"/>
      <c r="R107" s="215"/>
      <c r="S107" s="215"/>
      <c r="T107" s="215"/>
      <c r="U107" s="214">
        <f t="shared" si="85"/>
        <v>0</v>
      </c>
      <c r="V107" s="216"/>
      <c r="W107" s="203">
        <f t="shared" si="86"/>
        <v>0</v>
      </c>
      <c r="X107" s="203">
        <f t="shared" si="87"/>
        <v>0</v>
      </c>
      <c r="Y107" s="215"/>
      <c r="Z107" s="215"/>
      <c r="AA107" s="215"/>
      <c r="AB107" s="215"/>
      <c r="AC107" s="215"/>
      <c r="AD107" s="215"/>
      <c r="AE107" s="214">
        <f t="shared" si="88"/>
        <v>0</v>
      </c>
      <c r="AF107" s="216"/>
      <c r="AG107" s="203">
        <f t="shared" si="89"/>
        <v>0</v>
      </c>
      <c r="AH107" s="203">
        <f t="shared" si="90"/>
        <v>0</v>
      </c>
      <c r="AI107" s="215"/>
      <c r="AJ107" s="215"/>
      <c r="AK107" s="215"/>
      <c r="AL107" s="215"/>
      <c r="AM107" s="215"/>
      <c r="AN107" s="215"/>
      <c r="AO107" s="214">
        <f t="shared" si="91"/>
        <v>0</v>
      </c>
      <c r="AP107" s="216"/>
      <c r="AQ107" s="203">
        <f t="shared" si="92"/>
        <v>0</v>
      </c>
      <c r="AR107" s="203">
        <f t="shared" si="93"/>
        <v>0</v>
      </c>
      <c r="AS107" s="215"/>
      <c r="AT107" s="215"/>
      <c r="AU107" s="215"/>
      <c r="AV107" s="215"/>
      <c r="AW107" s="215"/>
      <c r="AX107" s="215"/>
      <c r="AY107" s="214">
        <f t="shared" si="94"/>
        <v>0</v>
      </c>
      <c r="AZ107" s="216"/>
      <c r="BA107" s="203">
        <f t="shared" si="95"/>
        <v>0</v>
      </c>
      <c r="BB107" s="203">
        <f t="shared" si="96"/>
        <v>0</v>
      </c>
      <c r="BC107" s="215"/>
      <c r="BD107" s="215"/>
      <c r="BE107" s="215"/>
      <c r="BF107" s="215"/>
      <c r="BG107" s="215"/>
      <c r="BH107" s="215"/>
      <c r="BI107" s="214">
        <f t="shared" si="97"/>
        <v>0</v>
      </c>
      <c r="BJ107" s="216"/>
      <c r="BK107" s="203">
        <f t="shared" si="98"/>
        <v>0</v>
      </c>
      <c r="BL107" s="203">
        <f t="shared" si="99"/>
        <v>0</v>
      </c>
      <c r="BM107" s="215"/>
      <c r="BN107" s="215"/>
      <c r="BO107" s="215"/>
      <c r="BP107" s="215"/>
      <c r="BQ107" s="215"/>
      <c r="BR107" s="215"/>
      <c r="BS107" s="214">
        <f t="shared" si="100"/>
        <v>0</v>
      </c>
      <c r="BT107" s="226"/>
      <c r="BU107" s="203">
        <f t="shared" si="101"/>
        <v>0</v>
      </c>
      <c r="BV107" s="203">
        <f t="shared" si="102"/>
        <v>0</v>
      </c>
      <c r="BW107" s="225"/>
      <c r="BX107" s="225"/>
      <c r="BY107" s="225"/>
      <c r="BZ107" s="225"/>
      <c r="CA107" s="225"/>
      <c r="CB107" s="225"/>
      <c r="CC107" s="214">
        <f t="shared" si="103"/>
        <v>0</v>
      </c>
    </row>
    <row r="108" spans="1:81" s="213" customFormat="1" ht="15.95" customHeight="1" x14ac:dyDescent="0.2">
      <c r="A108" s="227"/>
      <c r="B108" s="217"/>
      <c r="C108" s="203">
        <f t="shared" si="80"/>
        <v>0</v>
      </c>
      <c r="D108" s="203">
        <f t="shared" si="81"/>
        <v>0</v>
      </c>
      <c r="E108" s="215"/>
      <c r="F108" s="215"/>
      <c r="G108" s="215"/>
      <c r="H108" s="215"/>
      <c r="I108" s="215"/>
      <c r="J108" s="215"/>
      <c r="K108" s="214">
        <f t="shared" si="82"/>
        <v>0</v>
      </c>
      <c r="L108" s="216"/>
      <c r="M108" s="203">
        <f t="shared" si="83"/>
        <v>0</v>
      </c>
      <c r="N108" s="203">
        <f t="shared" si="84"/>
        <v>0</v>
      </c>
      <c r="O108" s="215"/>
      <c r="P108" s="215"/>
      <c r="Q108" s="215"/>
      <c r="R108" s="215"/>
      <c r="S108" s="215"/>
      <c r="T108" s="215"/>
      <c r="U108" s="214">
        <f t="shared" si="85"/>
        <v>0</v>
      </c>
      <c r="V108" s="216"/>
      <c r="W108" s="203">
        <f t="shared" si="86"/>
        <v>0</v>
      </c>
      <c r="X108" s="203">
        <f t="shared" si="87"/>
        <v>0</v>
      </c>
      <c r="Y108" s="215"/>
      <c r="Z108" s="215"/>
      <c r="AA108" s="215"/>
      <c r="AB108" s="215"/>
      <c r="AC108" s="215"/>
      <c r="AD108" s="215"/>
      <c r="AE108" s="214">
        <f t="shared" si="88"/>
        <v>0</v>
      </c>
      <c r="AF108" s="216"/>
      <c r="AG108" s="203">
        <f t="shared" si="89"/>
        <v>0</v>
      </c>
      <c r="AH108" s="203">
        <f t="shared" si="90"/>
        <v>0</v>
      </c>
      <c r="AI108" s="215"/>
      <c r="AJ108" s="215"/>
      <c r="AK108" s="215"/>
      <c r="AL108" s="215"/>
      <c r="AM108" s="215"/>
      <c r="AN108" s="215"/>
      <c r="AO108" s="214">
        <f t="shared" si="91"/>
        <v>0</v>
      </c>
      <c r="AP108" s="216"/>
      <c r="AQ108" s="203">
        <f t="shared" si="92"/>
        <v>0</v>
      </c>
      <c r="AR108" s="203">
        <f t="shared" si="93"/>
        <v>0</v>
      </c>
      <c r="AS108" s="215"/>
      <c r="AT108" s="215"/>
      <c r="AU108" s="215"/>
      <c r="AV108" s="215"/>
      <c r="AW108" s="215"/>
      <c r="AX108" s="215"/>
      <c r="AY108" s="214">
        <f t="shared" si="94"/>
        <v>0</v>
      </c>
      <c r="AZ108" s="216"/>
      <c r="BA108" s="203">
        <f t="shared" si="95"/>
        <v>0</v>
      </c>
      <c r="BB108" s="203">
        <f t="shared" si="96"/>
        <v>0</v>
      </c>
      <c r="BC108" s="215"/>
      <c r="BD108" s="215"/>
      <c r="BE108" s="215"/>
      <c r="BF108" s="215"/>
      <c r="BG108" s="215"/>
      <c r="BH108" s="215"/>
      <c r="BI108" s="214">
        <f t="shared" si="97"/>
        <v>0</v>
      </c>
      <c r="BJ108" s="216"/>
      <c r="BK108" s="203">
        <f t="shared" si="98"/>
        <v>0</v>
      </c>
      <c r="BL108" s="203">
        <f t="shared" si="99"/>
        <v>0</v>
      </c>
      <c r="BM108" s="215"/>
      <c r="BN108" s="215"/>
      <c r="BO108" s="215"/>
      <c r="BP108" s="215"/>
      <c r="BQ108" s="215"/>
      <c r="BR108" s="215"/>
      <c r="BS108" s="214">
        <f t="shared" si="100"/>
        <v>0</v>
      </c>
      <c r="BT108" s="226"/>
      <c r="BU108" s="203">
        <f t="shared" si="101"/>
        <v>0</v>
      </c>
      <c r="BV108" s="203">
        <f t="shared" si="102"/>
        <v>0</v>
      </c>
      <c r="BW108" s="225"/>
      <c r="BX108" s="225"/>
      <c r="BY108" s="225"/>
      <c r="BZ108" s="225"/>
      <c r="CA108" s="225"/>
      <c r="CB108" s="225"/>
      <c r="CC108" s="214">
        <f t="shared" si="103"/>
        <v>0</v>
      </c>
    </row>
    <row r="109" spans="1:81" s="213" customFormat="1" ht="15.95" customHeight="1" x14ac:dyDescent="0.2">
      <c r="A109" s="227"/>
      <c r="B109" s="217"/>
      <c r="C109" s="203">
        <f t="shared" si="80"/>
        <v>0</v>
      </c>
      <c r="D109" s="203">
        <f t="shared" si="81"/>
        <v>0</v>
      </c>
      <c r="E109" s="215"/>
      <c r="F109" s="215"/>
      <c r="G109" s="215"/>
      <c r="H109" s="215"/>
      <c r="I109" s="215"/>
      <c r="J109" s="215"/>
      <c r="K109" s="214">
        <f t="shared" si="82"/>
        <v>0</v>
      </c>
      <c r="L109" s="216"/>
      <c r="M109" s="203">
        <f t="shared" si="83"/>
        <v>0</v>
      </c>
      <c r="N109" s="203">
        <f t="shared" si="84"/>
        <v>0</v>
      </c>
      <c r="O109" s="215"/>
      <c r="P109" s="215"/>
      <c r="Q109" s="215"/>
      <c r="R109" s="215"/>
      <c r="S109" s="215"/>
      <c r="T109" s="215"/>
      <c r="U109" s="214">
        <f t="shared" si="85"/>
        <v>0</v>
      </c>
      <c r="V109" s="216"/>
      <c r="W109" s="203">
        <f t="shared" si="86"/>
        <v>0</v>
      </c>
      <c r="X109" s="203">
        <f t="shared" si="87"/>
        <v>0</v>
      </c>
      <c r="Y109" s="215"/>
      <c r="Z109" s="215"/>
      <c r="AA109" s="215"/>
      <c r="AB109" s="215"/>
      <c r="AC109" s="215"/>
      <c r="AD109" s="215"/>
      <c r="AE109" s="214">
        <f t="shared" si="88"/>
        <v>0</v>
      </c>
      <c r="AF109" s="216"/>
      <c r="AG109" s="203">
        <f t="shared" si="89"/>
        <v>0</v>
      </c>
      <c r="AH109" s="203">
        <f t="shared" si="90"/>
        <v>0</v>
      </c>
      <c r="AI109" s="215"/>
      <c r="AJ109" s="215"/>
      <c r="AK109" s="215"/>
      <c r="AL109" s="215"/>
      <c r="AM109" s="215"/>
      <c r="AN109" s="215"/>
      <c r="AO109" s="214">
        <f t="shared" si="91"/>
        <v>0</v>
      </c>
      <c r="AP109" s="216"/>
      <c r="AQ109" s="203">
        <f t="shared" si="92"/>
        <v>0</v>
      </c>
      <c r="AR109" s="203">
        <f t="shared" si="93"/>
        <v>0</v>
      </c>
      <c r="AS109" s="215"/>
      <c r="AT109" s="215"/>
      <c r="AU109" s="215"/>
      <c r="AV109" s="215"/>
      <c r="AW109" s="215"/>
      <c r="AX109" s="215"/>
      <c r="AY109" s="214">
        <f t="shared" si="94"/>
        <v>0</v>
      </c>
      <c r="AZ109" s="216"/>
      <c r="BA109" s="203">
        <f t="shared" si="95"/>
        <v>0</v>
      </c>
      <c r="BB109" s="203">
        <f t="shared" si="96"/>
        <v>0</v>
      </c>
      <c r="BC109" s="215"/>
      <c r="BD109" s="215"/>
      <c r="BE109" s="215"/>
      <c r="BF109" s="215"/>
      <c r="BG109" s="215"/>
      <c r="BH109" s="215"/>
      <c r="BI109" s="214">
        <f t="shared" si="97"/>
        <v>0</v>
      </c>
      <c r="BJ109" s="216"/>
      <c r="BK109" s="203">
        <f t="shared" si="98"/>
        <v>0</v>
      </c>
      <c r="BL109" s="203">
        <f t="shared" si="99"/>
        <v>0</v>
      </c>
      <c r="BM109" s="215"/>
      <c r="BN109" s="215"/>
      <c r="BO109" s="215"/>
      <c r="BP109" s="215"/>
      <c r="BQ109" s="215"/>
      <c r="BR109" s="215"/>
      <c r="BS109" s="214">
        <f t="shared" si="100"/>
        <v>0</v>
      </c>
      <c r="BT109" s="226"/>
      <c r="BU109" s="203">
        <f t="shared" si="101"/>
        <v>0</v>
      </c>
      <c r="BV109" s="203">
        <f t="shared" si="102"/>
        <v>0</v>
      </c>
      <c r="BW109" s="225"/>
      <c r="BX109" s="225"/>
      <c r="BY109" s="225"/>
      <c r="BZ109" s="225"/>
      <c r="CA109" s="225"/>
      <c r="CB109" s="225"/>
      <c r="CC109" s="214">
        <f t="shared" si="103"/>
        <v>0</v>
      </c>
    </row>
    <row r="110" spans="1:81" s="213" customFormat="1" ht="15.95" customHeight="1" x14ac:dyDescent="0.2">
      <c r="A110" s="227"/>
      <c r="B110" s="217"/>
      <c r="C110" s="203">
        <f t="shared" si="80"/>
        <v>0</v>
      </c>
      <c r="D110" s="203">
        <f t="shared" si="81"/>
        <v>0</v>
      </c>
      <c r="E110" s="215"/>
      <c r="F110" s="215"/>
      <c r="G110" s="215"/>
      <c r="H110" s="215"/>
      <c r="I110" s="215"/>
      <c r="J110" s="215"/>
      <c r="K110" s="214">
        <f t="shared" si="82"/>
        <v>0</v>
      </c>
      <c r="L110" s="216"/>
      <c r="M110" s="203">
        <f t="shared" si="83"/>
        <v>0</v>
      </c>
      <c r="N110" s="203">
        <f t="shared" si="84"/>
        <v>0</v>
      </c>
      <c r="O110" s="215"/>
      <c r="P110" s="215"/>
      <c r="Q110" s="215"/>
      <c r="R110" s="215"/>
      <c r="S110" s="215"/>
      <c r="T110" s="215"/>
      <c r="U110" s="214">
        <f t="shared" si="85"/>
        <v>0</v>
      </c>
      <c r="V110" s="216"/>
      <c r="W110" s="203">
        <f t="shared" si="86"/>
        <v>0</v>
      </c>
      <c r="X110" s="203">
        <f t="shared" si="87"/>
        <v>0</v>
      </c>
      <c r="Y110" s="215"/>
      <c r="Z110" s="215"/>
      <c r="AA110" s="215"/>
      <c r="AB110" s="215"/>
      <c r="AC110" s="215"/>
      <c r="AD110" s="215"/>
      <c r="AE110" s="214">
        <f t="shared" si="88"/>
        <v>0</v>
      </c>
      <c r="AF110" s="216"/>
      <c r="AG110" s="203">
        <f t="shared" si="89"/>
        <v>0</v>
      </c>
      <c r="AH110" s="203">
        <f t="shared" si="90"/>
        <v>0</v>
      </c>
      <c r="AI110" s="215"/>
      <c r="AJ110" s="215"/>
      <c r="AK110" s="215"/>
      <c r="AL110" s="215"/>
      <c r="AM110" s="215"/>
      <c r="AN110" s="215"/>
      <c r="AO110" s="214">
        <f t="shared" si="91"/>
        <v>0</v>
      </c>
      <c r="AP110" s="216"/>
      <c r="AQ110" s="203">
        <f t="shared" si="92"/>
        <v>0</v>
      </c>
      <c r="AR110" s="203">
        <f t="shared" si="93"/>
        <v>0</v>
      </c>
      <c r="AS110" s="215"/>
      <c r="AT110" s="215"/>
      <c r="AU110" s="215"/>
      <c r="AV110" s="215"/>
      <c r="AW110" s="215"/>
      <c r="AX110" s="215"/>
      <c r="AY110" s="214">
        <f t="shared" si="94"/>
        <v>0</v>
      </c>
      <c r="AZ110" s="216"/>
      <c r="BA110" s="203">
        <f t="shared" si="95"/>
        <v>0</v>
      </c>
      <c r="BB110" s="203">
        <f t="shared" si="96"/>
        <v>0</v>
      </c>
      <c r="BC110" s="215"/>
      <c r="BD110" s="215"/>
      <c r="BE110" s="215"/>
      <c r="BF110" s="215"/>
      <c r="BG110" s="215"/>
      <c r="BH110" s="215"/>
      <c r="BI110" s="214">
        <f t="shared" si="97"/>
        <v>0</v>
      </c>
      <c r="BJ110" s="216"/>
      <c r="BK110" s="203">
        <f t="shared" si="98"/>
        <v>0</v>
      </c>
      <c r="BL110" s="203">
        <f t="shared" si="99"/>
        <v>0</v>
      </c>
      <c r="BM110" s="215"/>
      <c r="BN110" s="215"/>
      <c r="BO110" s="215"/>
      <c r="BP110" s="215"/>
      <c r="BQ110" s="215"/>
      <c r="BR110" s="215"/>
      <c r="BS110" s="214">
        <f t="shared" si="100"/>
        <v>0</v>
      </c>
      <c r="BT110" s="226"/>
      <c r="BU110" s="203">
        <f t="shared" si="101"/>
        <v>0</v>
      </c>
      <c r="BV110" s="203">
        <f t="shared" si="102"/>
        <v>0</v>
      </c>
      <c r="BW110" s="225"/>
      <c r="BX110" s="225"/>
      <c r="BY110" s="225"/>
      <c r="BZ110" s="225"/>
      <c r="CA110" s="225"/>
      <c r="CB110" s="225"/>
      <c r="CC110" s="214">
        <f t="shared" si="103"/>
        <v>0</v>
      </c>
    </row>
    <row r="111" spans="1:81" ht="15.95" customHeight="1" x14ac:dyDescent="0.2">
      <c r="A111" s="224" t="s">
        <v>163</v>
      </c>
      <c r="B111" s="223"/>
      <c r="C111" s="221"/>
      <c r="D111" s="221"/>
      <c r="E111" s="220"/>
      <c r="F111" s="220"/>
      <c r="G111" s="220"/>
      <c r="H111" s="220"/>
      <c r="I111" s="220"/>
      <c r="J111" s="220"/>
      <c r="K111" s="214"/>
      <c r="L111" s="222"/>
      <c r="M111" s="221"/>
      <c r="N111" s="221"/>
      <c r="O111" s="220"/>
      <c r="P111" s="220"/>
      <c r="Q111" s="220"/>
      <c r="R111" s="220"/>
      <c r="S111" s="220"/>
      <c r="T111" s="220"/>
      <c r="U111" s="214"/>
      <c r="V111" s="222"/>
      <c r="W111" s="221"/>
      <c r="X111" s="221"/>
      <c r="Y111" s="220"/>
      <c r="Z111" s="220"/>
      <c r="AA111" s="220"/>
      <c r="AB111" s="220"/>
      <c r="AC111" s="220"/>
      <c r="AD111" s="220"/>
      <c r="AE111" s="214"/>
      <c r="AF111" s="216"/>
      <c r="AG111" s="203"/>
      <c r="AH111" s="203"/>
      <c r="AI111" s="215"/>
      <c r="AJ111" s="215"/>
      <c r="AK111" s="215"/>
      <c r="AL111" s="215"/>
      <c r="AM111" s="215"/>
      <c r="AN111" s="215"/>
      <c r="AO111" s="214"/>
      <c r="AP111" s="216"/>
      <c r="AQ111" s="203"/>
      <c r="AR111" s="203"/>
      <c r="AS111" s="215"/>
      <c r="AT111" s="215"/>
      <c r="AU111" s="215"/>
      <c r="AV111" s="215"/>
      <c r="AW111" s="215"/>
      <c r="AX111" s="215"/>
      <c r="AY111" s="214"/>
      <c r="AZ111" s="216"/>
      <c r="BA111" s="203"/>
      <c r="BB111" s="203"/>
      <c r="BC111" s="215"/>
      <c r="BD111" s="215"/>
      <c r="BE111" s="215"/>
      <c r="BF111" s="215"/>
      <c r="BG111" s="215"/>
      <c r="BH111" s="215"/>
      <c r="BI111" s="214"/>
      <c r="BJ111" s="216"/>
      <c r="BK111" s="203"/>
      <c r="BL111" s="203"/>
      <c r="BM111" s="215"/>
      <c r="BN111" s="215"/>
      <c r="BO111" s="215"/>
      <c r="BP111" s="215"/>
      <c r="BQ111" s="215"/>
      <c r="BR111" s="215"/>
      <c r="BS111" s="214"/>
      <c r="BT111" s="216"/>
      <c r="BU111" s="203"/>
      <c r="BV111" s="203"/>
      <c r="BW111" s="215"/>
      <c r="BX111" s="215"/>
      <c r="BY111" s="215"/>
      <c r="BZ111" s="215"/>
      <c r="CA111" s="215"/>
      <c r="CB111" s="215"/>
      <c r="CC111" s="214"/>
    </row>
    <row r="112" spans="1:81" s="213" customFormat="1" ht="15.95" customHeight="1" x14ac:dyDescent="0.2">
      <c r="A112" s="219" t="s">
        <v>178</v>
      </c>
      <c r="B112" s="211">
        <f>SUM(B$101:B111)</f>
        <v>0</v>
      </c>
      <c r="C112" s="203">
        <f>SUM(C$101:C111)</f>
        <v>2931979</v>
      </c>
      <c r="D112" s="203">
        <f>IFERROR(C112/B112,0)</f>
        <v>0</v>
      </c>
      <c r="E112" s="202">
        <f>SUM(E$101:E111)</f>
        <v>2931979</v>
      </c>
      <c r="F112" s="202">
        <f>SUM(F$101:F111)</f>
        <v>0</v>
      </c>
      <c r="G112" s="202">
        <f>SUM(G$101:G111)</f>
        <v>0</v>
      </c>
      <c r="H112" s="202">
        <f>SUM(H$101:H111)</f>
        <v>0</v>
      </c>
      <c r="I112" s="202">
        <f>SUM(I$101:I111)</f>
        <v>0</v>
      </c>
      <c r="J112" s="202">
        <f>SUM(J$101:J111)</f>
        <v>0</v>
      </c>
      <c r="K112" s="214">
        <f>SUM(K$101:K111)</f>
        <v>0</v>
      </c>
      <c r="L112" s="205">
        <f>SUM(L$101:L111)</f>
        <v>594</v>
      </c>
      <c r="M112" s="203">
        <f>SUM(M$101:M111)</f>
        <v>2938571</v>
      </c>
      <c r="N112" s="203">
        <f>IFERROR(M112/L112,0)</f>
        <v>4947.0892255892259</v>
      </c>
      <c r="O112" s="202">
        <f>SUM(O$101:O111)</f>
        <v>2938571</v>
      </c>
      <c r="P112" s="202">
        <f>SUM(P$101:P111)</f>
        <v>0</v>
      </c>
      <c r="Q112" s="202">
        <f>SUM(Q$101:Q111)</f>
        <v>0</v>
      </c>
      <c r="R112" s="202">
        <f>SUM(R$101:R111)</f>
        <v>0</v>
      </c>
      <c r="S112" s="202">
        <f>SUM(S$101:S111)</f>
        <v>0</v>
      </c>
      <c r="T112" s="202">
        <f>SUM(T$101:T111)</f>
        <v>922423</v>
      </c>
      <c r="U112" s="214">
        <f>SUM(U$101:U111)</f>
        <v>922423</v>
      </c>
      <c r="V112" s="205">
        <f>SUM(V$101:V111)</f>
        <v>627</v>
      </c>
      <c r="W112" s="203">
        <f>SUM(W$101:W111)</f>
        <v>3257381</v>
      </c>
      <c r="X112" s="203">
        <f>IFERROR(W112/V112,0)</f>
        <v>5195.1850079744818</v>
      </c>
      <c r="Y112" s="202">
        <f>SUM(Y$101:Y111)</f>
        <v>3257381</v>
      </c>
      <c r="Z112" s="202">
        <f>SUM(Z$101:Z111)</f>
        <v>0</v>
      </c>
      <c r="AA112" s="202">
        <f>SUM(AA$101:AA111)</f>
        <v>0</v>
      </c>
      <c r="AB112" s="202">
        <f>SUM(AB$101:AB111)</f>
        <v>0</v>
      </c>
      <c r="AC112" s="202">
        <f>SUM(AC$101:AC111)</f>
        <v>0</v>
      </c>
      <c r="AD112" s="202">
        <f>SUM(AD$101:AD111)</f>
        <v>842574</v>
      </c>
      <c r="AE112" s="214">
        <f>SUM(AE$101:AE111)</f>
        <v>842574</v>
      </c>
      <c r="AF112" s="205">
        <f>SUM(AF$101:AF111)</f>
        <v>613</v>
      </c>
      <c r="AG112" s="203">
        <f>SUM(AG$101:AG111)</f>
        <v>3413716</v>
      </c>
      <c r="AH112" s="203">
        <f>IFERROR(AG112/AF112,0)</f>
        <v>5568.8678629690048</v>
      </c>
      <c r="AI112" s="202">
        <f>SUM(AI$101:AI111)</f>
        <v>3413716</v>
      </c>
      <c r="AJ112" s="202">
        <f>SUM(AJ$101:AJ111)</f>
        <v>0</v>
      </c>
      <c r="AK112" s="202">
        <f>SUM(AK$101:AK111)</f>
        <v>0</v>
      </c>
      <c r="AL112" s="202">
        <f>SUM(AL$101:AL111)</f>
        <v>0</v>
      </c>
      <c r="AM112" s="202">
        <f>SUM(AM$101:AM111)</f>
        <v>0</v>
      </c>
      <c r="AN112" s="202">
        <f>SUM(AN$101:AN111)</f>
        <v>870164</v>
      </c>
      <c r="AO112" s="214">
        <f>SUM(AO$101:AO111)</f>
        <v>870164</v>
      </c>
      <c r="AP112" s="205">
        <f>SUM(AP$101:AP111)</f>
        <v>562</v>
      </c>
      <c r="AQ112" s="203">
        <f>SUM(AQ$101:AQ111)</f>
        <v>3594525</v>
      </c>
      <c r="AR112" s="203">
        <f>IFERROR(AQ112/AP112,0)</f>
        <v>6395.9519572953741</v>
      </c>
      <c r="AS112" s="202">
        <f>SUM(AS$101:AS111)</f>
        <v>3594525</v>
      </c>
      <c r="AT112" s="202">
        <f>SUM(AT$101:AT111)</f>
        <v>0</v>
      </c>
      <c r="AU112" s="202">
        <f>SUM(AU$101:AU111)</f>
        <v>0</v>
      </c>
      <c r="AV112" s="202">
        <f>SUM(AV$101:AV111)</f>
        <v>0</v>
      </c>
      <c r="AW112" s="202">
        <f>SUM(AW$101:AW111)</f>
        <v>0</v>
      </c>
      <c r="AX112" s="202">
        <f>SUM(AX$101:AX111)</f>
        <v>900525</v>
      </c>
      <c r="AY112" s="214">
        <f>SUM(AY$101:AY111)</f>
        <v>900525</v>
      </c>
      <c r="AZ112" s="205">
        <f>SUM(AZ$101:AZ111)</f>
        <v>607</v>
      </c>
      <c r="BA112" s="203">
        <f>SUM(BA$101:BA111)</f>
        <v>3657521.1100000003</v>
      </c>
      <c r="BB112" s="203">
        <f>IFERROR(BA112/AZ112,0)</f>
        <v>6025.5701976935752</v>
      </c>
      <c r="BC112" s="202">
        <f>SUM(BC$101:BC111)</f>
        <v>3657521.1100000003</v>
      </c>
      <c r="BD112" s="202">
        <f>SUM(BD$101:BD111)</f>
        <v>0</v>
      </c>
      <c r="BE112" s="202">
        <f>SUM(BE$101:BE111)</f>
        <v>0</v>
      </c>
      <c r="BF112" s="202">
        <f>SUM(BF$101:BF111)</f>
        <v>0</v>
      </c>
      <c r="BG112" s="202">
        <f>SUM(BG$101:BG111)</f>
        <v>0</v>
      </c>
      <c r="BH112" s="202">
        <f>SUM(BH$101:BH111)</f>
        <v>1151506</v>
      </c>
      <c r="BI112" s="214">
        <f>SUM(BI$101:BI111)</f>
        <v>1151506</v>
      </c>
      <c r="BJ112" s="205">
        <f>SUM(BJ$101:BJ111)</f>
        <v>662</v>
      </c>
      <c r="BK112" s="203">
        <f>SUM(BK$101:BK111)</f>
        <v>4078237.41</v>
      </c>
      <c r="BL112" s="203">
        <f>IFERROR(BK112/BJ112,0)</f>
        <v>6160.4794712990943</v>
      </c>
      <c r="BM112" s="202">
        <f>SUM(BM$101:BM111)</f>
        <v>4078237.41</v>
      </c>
      <c r="BN112" s="202">
        <f>SUM(BN$101:BN111)</f>
        <v>0</v>
      </c>
      <c r="BO112" s="202">
        <f>SUM(BO$101:BO111)</f>
        <v>0</v>
      </c>
      <c r="BP112" s="202">
        <f>SUM(BP$101:BP111)</f>
        <v>0</v>
      </c>
      <c r="BQ112" s="202">
        <f>SUM(BQ$101:BQ111)</f>
        <v>0</v>
      </c>
      <c r="BR112" s="202">
        <f>SUM(BR$101:BR111)</f>
        <v>1141864.5</v>
      </c>
      <c r="BS112" s="214">
        <f>SUM(BS$101:BS111)</f>
        <v>1141864.5</v>
      </c>
      <c r="BT112" s="205">
        <f>SUM(BT$101:BT111)</f>
        <v>724</v>
      </c>
      <c r="BU112" s="203">
        <f>SUM(BU$101:BU111)</f>
        <v>4434352</v>
      </c>
      <c r="BV112" s="203">
        <f>IFERROR(BU112/BT112,0)</f>
        <v>6124.7955801104972</v>
      </c>
      <c r="BW112" s="202">
        <f>SUM(BW$101:BW111)</f>
        <v>4434352</v>
      </c>
      <c r="BX112" s="202">
        <f>SUM(BX$101:BX111)</f>
        <v>0</v>
      </c>
      <c r="BY112" s="202">
        <f>SUM(BY$101:BY111)</f>
        <v>0</v>
      </c>
      <c r="BZ112" s="202">
        <f>SUM(BZ$101:BZ111)</f>
        <v>0</v>
      </c>
      <c r="CA112" s="202">
        <f>SUM(CA$101:CA111)</f>
        <v>0</v>
      </c>
      <c r="CB112" s="202">
        <f>SUM(CB$101:CB111)</f>
        <v>922057</v>
      </c>
      <c r="CC112" s="214">
        <f>SUM(CC$101:CC111)</f>
        <v>922057</v>
      </c>
    </row>
    <row r="113" spans="1:81" s="213" customFormat="1" ht="15.95" customHeight="1" x14ac:dyDescent="0.2">
      <c r="A113" s="218"/>
      <c r="B113" s="217"/>
      <c r="C113" s="203"/>
      <c r="D113" s="203"/>
      <c r="E113" s="215"/>
      <c r="F113" s="215"/>
      <c r="G113" s="215"/>
      <c r="H113" s="215"/>
      <c r="I113" s="215"/>
      <c r="J113" s="215"/>
      <c r="K113" s="214"/>
      <c r="L113" s="216"/>
      <c r="M113" s="203"/>
      <c r="N113" s="203"/>
      <c r="O113" s="215"/>
      <c r="P113" s="215"/>
      <c r="Q113" s="215"/>
      <c r="R113" s="215"/>
      <c r="S113" s="215"/>
      <c r="T113" s="215"/>
      <c r="U113" s="214"/>
      <c r="V113" s="216"/>
      <c r="W113" s="203"/>
      <c r="X113" s="203"/>
      <c r="Y113" s="215"/>
      <c r="Z113" s="215"/>
      <c r="AA113" s="215"/>
      <c r="AB113" s="215"/>
      <c r="AC113" s="215"/>
      <c r="AD113" s="215"/>
      <c r="AE113" s="214"/>
      <c r="AF113" s="216"/>
      <c r="AG113" s="203"/>
      <c r="AH113" s="203"/>
      <c r="AI113" s="215"/>
      <c r="AJ113" s="215"/>
      <c r="AK113" s="215"/>
      <c r="AL113" s="215"/>
      <c r="AM113" s="215"/>
      <c r="AN113" s="215"/>
      <c r="AO113" s="214"/>
      <c r="AP113" s="216"/>
      <c r="AQ113" s="203"/>
      <c r="AR113" s="203"/>
      <c r="AS113" s="215"/>
      <c r="AT113" s="215"/>
      <c r="AU113" s="215"/>
      <c r="AV113" s="215"/>
      <c r="AW113" s="215"/>
      <c r="AX113" s="215"/>
      <c r="AY113" s="214"/>
      <c r="AZ113" s="216"/>
      <c r="BA113" s="203"/>
      <c r="BB113" s="203"/>
      <c r="BC113" s="215"/>
      <c r="BD113" s="215"/>
      <c r="BE113" s="215"/>
      <c r="BF113" s="215"/>
      <c r="BG113" s="215"/>
      <c r="BH113" s="215"/>
      <c r="BI113" s="214"/>
      <c r="BJ113" s="216"/>
      <c r="BK113" s="203"/>
      <c r="BL113" s="203"/>
      <c r="BM113" s="215"/>
      <c r="BN113" s="215"/>
      <c r="BO113" s="215"/>
      <c r="BP113" s="215"/>
      <c r="BQ113" s="215"/>
      <c r="BR113" s="215"/>
      <c r="BS113" s="214"/>
      <c r="BT113" s="216"/>
      <c r="BU113" s="203"/>
      <c r="BV113" s="203"/>
      <c r="BW113" s="215"/>
      <c r="BX113" s="215"/>
      <c r="BY113" s="215"/>
      <c r="BZ113" s="215"/>
      <c r="CA113" s="215"/>
      <c r="CB113" s="215"/>
      <c r="CC113" s="214"/>
    </row>
    <row r="114" spans="1:81" s="213" customFormat="1" ht="15.95" customHeight="1" x14ac:dyDescent="0.2">
      <c r="A114" s="219" t="s">
        <v>177</v>
      </c>
      <c r="B114" s="211">
        <f>SUM(B112,B99)</f>
        <v>0</v>
      </c>
      <c r="C114" s="203">
        <f>SUM(C112,C99)</f>
        <v>2931979</v>
      </c>
      <c r="D114" s="203">
        <f>IFERROR(C114/B114,0)</f>
        <v>0</v>
      </c>
      <c r="E114" s="202">
        <f t="shared" ref="E114:M114" si="104">SUM(E112,E99)</f>
        <v>2931979</v>
      </c>
      <c r="F114" s="202">
        <f t="shared" si="104"/>
        <v>0</v>
      </c>
      <c r="G114" s="202">
        <f t="shared" si="104"/>
        <v>0</v>
      </c>
      <c r="H114" s="202">
        <f t="shared" si="104"/>
        <v>0</v>
      </c>
      <c r="I114" s="202">
        <f t="shared" si="104"/>
        <v>0</v>
      </c>
      <c r="J114" s="202">
        <f t="shared" si="104"/>
        <v>0</v>
      </c>
      <c r="K114" s="214">
        <f t="shared" si="104"/>
        <v>0</v>
      </c>
      <c r="L114" s="205">
        <f t="shared" si="104"/>
        <v>1002</v>
      </c>
      <c r="M114" s="203">
        <f t="shared" si="104"/>
        <v>4443221</v>
      </c>
      <c r="N114" s="203">
        <f>IFERROR(M114/L114,0)</f>
        <v>4434.3522954091814</v>
      </c>
      <c r="O114" s="202">
        <f t="shared" ref="O114:W114" si="105">SUM(O112,O99)</f>
        <v>2938571</v>
      </c>
      <c r="P114" s="202">
        <f t="shared" si="105"/>
        <v>0</v>
      </c>
      <c r="Q114" s="202">
        <f t="shared" si="105"/>
        <v>975559</v>
      </c>
      <c r="R114" s="202">
        <f t="shared" si="105"/>
        <v>529091</v>
      </c>
      <c r="S114" s="202">
        <f t="shared" si="105"/>
        <v>0</v>
      </c>
      <c r="T114" s="202">
        <f t="shared" si="105"/>
        <v>2116138</v>
      </c>
      <c r="U114" s="214">
        <f t="shared" si="105"/>
        <v>922423</v>
      </c>
      <c r="V114" s="205">
        <f t="shared" si="105"/>
        <v>966</v>
      </c>
      <c r="W114" s="203">
        <f t="shared" si="105"/>
        <v>4626399</v>
      </c>
      <c r="X114" s="203">
        <f>IFERROR(W114/V114,0)</f>
        <v>4789.2329192546586</v>
      </c>
      <c r="Y114" s="202">
        <f t="shared" ref="Y114:AG114" si="106">SUM(Y112,Y99)</f>
        <v>3257381</v>
      </c>
      <c r="Z114" s="202">
        <f t="shared" si="106"/>
        <v>0</v>
      </c>
      <c r="AA114" s="202">
        <f t="shared" si="106"/>
        <v>917144</v>
      </c>
      <c r="AB114" s="202">
        <f t="shared" si="106"/>
        <v>451874</v>
      </c>
      <c r="AC114" s="202">
        <f t="shared" si="106"/>
        <v>0</v>
      </c>
      <c r="AD114" s="202">
        <f t="shared" si="106"/>
        <v>1953848</v>
      </c>
      <c r="AE114" s="214">
        <f t="shared" si="106"/>
        <v>842574</v>
      </c>
      <c r="AF114" s="205">
        <f t="shared" si="106"/>
        <v>1005</v>
      </c>
      <c r="AG114" s="203">
        <f t="shared" si="106"/>
        <v>4794406</v>
      </c>
      <c r="AH114" s="203">
        <f>IFERROR(AG114/AF114,0)</f>
        <v>4770.5532338308458</v>
      </c>
      <c r="AI114" s="202">
        <f t="shared" ref="AI114:AQ114" si="107">SUM(AI112,AI99)</f>
        <v>3413716</v>
      </c>
      <c r="AJ114" s="202">
        <f t="shared" si="107"/>
        <v>0</v>
      </c>
      <c r="AK114" s="202">
        <f t="shared" si="107"/>
        <v>773679</v>
      </c>
      <c r="AL114" s="202">
        <f t="shared" si="107"/>
        <v>607011</v>
      </c>
      <c r="AM114" s="202">
        <f t="shared" si="107"/>
        <v>0</v>
      </c>
      <c r="AN114" s="202">
        <f t="shared" si="107"/>
        <v>1945785</v>
      </c>
      <c r="AO114" s="214">
        <f t="shared" si="107"/>
        <v>870164</v>
      </c>
      <c r="AP114" s="205">
        <f t="shared" si="107"/>
        <v>878</v>
      </c>
      <c r="AQ114" s="203">
        <f t="shared" si="107"/>
        <v>4716161</v>
      </c>
      <c r="AR114" s="203">
        <f>IFERROR(AQ114/AP114,0)</f>
        <v>5371.4817767653758</v>
      </c>
      <c r="AS114" s="202">
        <f t="shared" ref="AS114:BA114" si="108">SUM(AS112,AS99)</f>
        <v>3594525</v>
      </c>
      <c r="AT114" s="202">
        <f t="shared" si="108"/>
        <v>0</v>
      </c>
      <c r="AU114" s="202">
        <f t="shared" si="108"/>
        <v>597050</v>
      </c>
      <c r="AV114" s="202">
        <f t="shared" si="108"/>
        <v>524586</v>
      </c>
      <c r="AW114" s="202">
        <f t="shared" si="108"/>
        <v>0</v>
      </c>
      <c r="AX114" s="202">
        <f t="shared" si="108"/>
        <v>1753918</v>
      </c>
      <c r="AY114" s="214">
        <f t="shared" si="108"/>
        <v>900525</v>
      </c>
      <c r="AZ114" s="205">
        <f t="shared" si="108"/>
        <v>819</v>
      </c>
      <c r="BA114" s="203">
        <f t="shared" si="108"/>
        <v>4555226.1100000003</v>
      </c>
      <c r="BB114" s="203">
        <f>IFERROR(BA114/AZ114,0)</f>
        <v>5561.9366422466428</v>
      </c>
      <c r="BC114" s="202">
        <f t="shared" ref="BC114:BK114" si="109">SUM(BC112,BC99)</f>
        <v>3657521.1100000003</v>
      </c>
      <c r="BD114" s="202">
        <f t="shared" si="109"/>
        <v>0</v>
      </c>
      <c r="BE114" s="202">
        <f t="shared" si="109"/>
        <v>640555</v>
      </c>
      <c r="BF114" s="202">
        <f t="shared" si="109"/>
        <v>257150</v>
      </c>
      <c r="BG114" s="202">
        <f t="shared" si="109"/>
        <v>0</v>
      </c>
      <c r="BH114" s="202">
        <f t="shared" si="109"/>
        <v>1810710</v>
      </c>
      <c r="BI114" s="214">
        <f t="shared" si="109"/>
        <v>1151506</v>
      </c>
      <c r="BJ114" s="205">
        <f t="shared" si="109"/>
        <v>919</v>
      </c>
      <c r="BK114" s="203">
        <f t="shared" si="109"/>
        <v>4714786.41</v>
      </c>
      <c r="BL114" s="203">
        <f>IFERROR(BK114/BJ114,0)</f>
        <v>5130.344298150163</v>
      </c>
      <c r="BM114" s="202">
        <f t="shared" ref="BM114:BU114" si="110">SUM(BM112,BM99)</f>
        <v>4078237.41</v>
      </c>
      <c r="BN114" s="202">
        <f t="shared" si="110"/>
        <v>0</v>
      </c>
      <c r="BO114" s="202">
        <f t="shared" si="110"/>
        <v>270490</v>
      </c>
      <c r="BP114" s="202">
        <f t="shared" si="110"/>
        <v>366059</v>
      </c>
      <c r="BQ114" s="202">
        <f t="shared" si="110"/>
        <v>0</v>
      </c>
      <c r="BR114" s="202">
        <f t="shared" si="110"/>
        <v>1643436.5</v>
      </c>
      <c r="BS114" s="214">
        <f t="shared" si="110"/>
        <v>1141864.5</v>
      </c>
      <c r="BT114" s="205">
        <f t="shared" si="110"/>
        <v>1052</v>
      </c>
      <c r="BU114" s="203">
        <f t="shared" si="110"/>
        <v>5792258</v>
      </c>
      <c r="BV114" s="203">
        <f>IFERROR(BU114/BT114,0)</f>
        <v>5505.9486692015207</v>
      </c>
      <c r="BW114" s="202">
        <f t="shared" ref="BW114:CC114" si="111">SUM(BW112,BW99)</f>
        <v>4434352</v>
      </c>
      <c r="BX114" s="202">
        <f t="shared" si="111"/>
        <v>0</v>
      </c>
      <c r="BY114" s="202">
        <f t="shared" si="111"/>
        <v>841195</v>
      </c>
      <c r="BZ114" s="202">
        <f t="shared" si="111"/>
        <v>516711</v>
      </c>
      <c r="CA114" s="202">
        <f t="shared" si="111"/>
        <v>0</v>
      </c>
      <c r="CB114" s="202">
        <f t="shared" si="111"/>
        <v>1375098</v>
      </c>
      <c r="CC114" s="214">
        <f t="shared" si="111"/>
        <v>922057</v>
      </c>
    </row>
    <row r="115" spans="1:81" ht="15.95" customHeight="1" x14ac:dyDescent="0.2">
      <c r="A115" s="218"/>
      <c r="B115" s="223"/>
      <c r="C115" s="221"/>
      <c r="D115" s="221"/>
      <c r="E115" s="220"/>
      <c r="F115" s="220"/>
      <c r="G115" s="220"/>
      <c r="H115" s="220"/>
      <c r="I115" s="220"/>
      <c r="J115" s="220"/>
      <c r="K115" s="214"/>
      <c r="L115" s="222"/>
      <c r="M115" s="221"/>
      <c r="N115" s="221"/>
      <c r="O115" s="220"/>
      <c r="P115" s="220"/>
      <c r="Q115" s="220"/>
      <c r="R115" s="220"/>
      <c r="S115" s="220"/>
      <c r="T115" s="220"/>
      <c r="U115" s="214"/>
      <c r="V115" s="222"/>
      <c r="W115" s="221"/>
      <c r="X115" s="221"/>
      <c r="Y115" s="220"/>
      <c r="Z115" s="220"/>
      <c r="AA115" s="220"/>
      <c r="AB115" s="220"/>
      <c r="AC115" s="220"/>
      <c r="AD115" s="220"/>
      <c r="AE115" s="214"/>
      <c r="AF115" s="216"/>
      <c r="AG115" s="203"/>
      <c r="AH115" s="203"/>
      <c r="AI115" s="215"/>
      <c r="AJ115" s="215"/>
      <c r="AK115" s="215"/>
      <c r="AL115" s="215"/>
      <c r="AM115" s="215"/>
      <c r="AN115" s="215"/>
      <c r="AO115" s="214"/>
      <c r="AP115" s="216"/>
      <c r="AQ115" s="203"/>
      <c r="AR115" s="203"/>
      <c r="AS115" s="215"/>
      <c r="AT115" s="215"/>
      <c r="AU115" s="215"/>
      <c r="AV115" s="215"/>
      <c r="AW115" s="215"/>
      <c r="AX115" s="215"/>
      <c r="AY115" s="214"/>
      <c r="AZ115" s="216"/>
      <c r="BA115" s="203"/>
      <c r="BB115" s="203"/>
      <c r="BC115" s="215"/>
      <c r="BD115" s="215"/>
      <c r="BE115" s="215"/>
      <c r="BF115" s="215"/>
      <c r="BG115" s="215"/>
      <c r="BH115" s="215"/>
      <c r="BI115" s="214"/>
      <c r="BJ115" s="216"/>
      <c r="BK115" s="203"/>
      <c r="BL115" s="203"/>
      <c r="BM115" s="215"/>
      <c r="BN115" s="215"/>
      <c r="BO115" s="215"/>
      <c r="BP115" s="215"/>
      <c r="BQ115" s="215"/>
      <c r="BR115" s="215"/>
      <c r="BS115" s="214"/>
      <c r="BT115" s="216"/>
      <c r="BU115" s="203"/>
      <c r="BV115" s="203"/>
      <c r="BW115" s="215"/>
      <c r="BX115" s="215"/>
      <c r="BY115" s="215"/>
      <c r="BZ115" s="215"/>
      <c r="CA115" s="215"/>
      <c r="CB115" s="215"/>
      <c r="CC115" s="214"/>
    </row>
    <row r="116" spans="1:81" ht="15.95" customHeight="1" x14ac:dyDescent="0.25">
      <c r="A116" s="229" t="s">
        <v>176</v>
      </c>
      <c r="B116" s="223"/>
      <c r="C116" s="221"/>
      <c r="D116" s="221"/>
      <c r="E116" s="220"/>
      <c r="F116" s="220"/>
      <c r="G116" s="220"/>
      <c r="H116" s="220"/>
      <c r="I116" s="220"/>
      <c r="J116" s="220"/>
      <c r="K116" s="214"/>
      <c r="L116" s="222"/>
      <c r="M116" s="221"/>
      <c r="N116" s="221"/>
      <c r="O116" s="220"/>
      <c r="P116" s="220"/>
      <c r="Q116" s="220"/>
      <c r="R116" s="220"/>
      <c r="S116" s="220"/>
      <c r="T116" s="220"/>
      <c r="U116" s="214"/>
      <c r="V116" s="222"/>
      <c r="W116" s="221"/>
      <c r="X116" s="221"/>
      <c r="Y116" s="220"/>
      <c r="Z116" s="220"/>
      <c r="AA116" s="220"/>
      <c r="AB116" s="220"/>
      <c r="AC116" s="220"/>
      <c r="AD116" s="220"/>
      <c r="AE116" s="214"/>
      <c r="AF116" s="216"/>
      <c r="AG116" s="203"/>
      <c r="AH116" s="203"/>
      <c r="AI116" s="215"/>
      <c r="AJ116" s="215"/>
      <c r="AK116" s="215"/>
      <c r="AL116" s="215"/>
      <c r="AM116" s="215"/>
      <c r="AN116" s="215"/>
      <c r="AO116" s="214"/>
      <c r="AP116" s="216"/>
      <c r="AQ116" s="203"/>
      <c r="AR116" s="203"/>
      <c r="AS116" s="215"/>
      <c r="AT116" s="215"/>
      <c r="AU116" s="215"/>
      <c r="AV116" s="215"/>
      <c r="AW116" s="215"/>
      <c r="AX116" s="215"/>
      <c r="AY116" s="214"/>
      <c r="AZ116" s="216"/>
      <c r="BA116" s="203"/>
      <c r="BB116" s="203"/>
      <c r="BC116" s="215"/>
      <c r="BD116" s="215"/>
      <c r="BE116" s="215"/>
      <c r="BF116" s="215"/>
      <c r="BG116" s="215"/>
      <c r="BH116" s="215"/>
      <c r="BI116" s="214"/>
      <c r="BJ116" s="216"/>
      <c r="BK116" s="203"/>
      <c r="BL116" s="203"/>
      <c r="BM116" s="215"/>
      <c r="BN116" s="215"/>
      <c r="BO116" s="215"/>
      <c r="BP116" s="215"/>
      <c r="BQ116" s="215"/>
      <c r="BR116" s="215"/>
      <c r="BS116" s="214"/>
      <c r="BT116" s="216"/>
      <c r="BU116" s="203"/>
      <c r="BV116" s="203"/>
      <c r="BW116" s="215"/>
      <c r="BX116" s="215"/>
      <c r="BY116" s="215"/>
      <c r="BZ116" s="215"/>
      <c r="CA116" s="215"/>
      <c r="CB116" s="215"/>
      <c r="CC116" s="214"/>
    </row>
    <row r="117" spans="1:81" s="213" customFormat="1" ht="15.95" customHeight="1" x14ac:dyDescent="0.2">
      <c r="A117" s="228" t="s">
        <v>175</v>
      </c>
      <c r="B117" s="217"/>
      <c r="C117" s="203">
        <f t="shared" ref="C117:C126" si="112">SUM(E117:I117)</f>
        <v>0</v>
      </c>
      <c r="D117" s="203">
        <f t="shared" ref="D117:D126" si="113">IFERROR(C117/B117,0)</f>
        <v>0</v>
      </c>
      <c r="E117" s="215"/>
      <c r="F117" s="215"/>
      <c r="G117" s="215"/>
      <c r="H117" s="215"/>
      <c r="I117" s="215"/>
      <c r="J117" s="215"/>
      <c r="K117" s="214">
        <f t="shared" ref="K117:K126" si="114">IF(J117=0,0,(IF(E117&lt;=J117,E117,J117)))</f>
        <v>0</v>
      </c>
      <c r="L117" s="216">
        <v>5579</v>
      </c>
      <c r="M117" s="203">
        <f t="shared" ref="M117:M126" si="115">SUM(O117:S117)</f>
        <v>32563881</v>
      </c>
      <c r="N117" s="203">
        <f t="shared" ref="N117:N126" si="116">IFERROR(M117/L117,0)</f>
        <v>5836.8670012547054</v>
      </c>
      <c r="O117" s="215"/>
      <c r="P117" s="215">
        <v>0</v>
      </c>
      <c r="Q117" s="215"/>
      <c r="R117" s="215">
        <v>32563881</v>
      </c>
      <c r="S117" s="215">
        <v>0</v>
      </c>
      <c r="T117" s="215">
        <v>28357934</v>
      </c>
      <c r="U117" s="214">
        <f t="shared" ref="U117:U126" si="117">IF(T117=0,0,(IF(O117&lt;=T117,O117,T117)))</f>
        <v>0</v>
      </c>
      <c r="V117" s="216">
        <v>5241</v>
      </c>
      <c r="W117" s="203">
        <f t="shared" ref="W117:W126" si="118">SUM(Y117:AC117)</f>
        <v>30335135</v>
      </c>
      <c r="X117" s="203">
        <f t="shared" ref="X117:X126" si="119">IFERROR(W117/V117,0)</f>
        <v>5788.043312344972</v>
      </c>
      <c r="Y117" s="215"/>
      <c r="Z117" s="215"/>
      <c r="AA117" s="215"/>
      <c r="AB117" s="215">
        <v>30335135</v>
      </c>
      <c r="AC117" s="215"/>
      <c r="AD117" s="215">
        <v>26249544</v>
      </c>
      <c r="AE117" s="214">
        <f t="shared" ref="AE117:AE126" si="120">IF(AD117=0,0,(IF(Y117&lt;=AD117,Y117,AD117)))</f>
        <v>0</v>
      </c>
      <c r="AF117" s="216">
        <v>4843</v>
      </c>
      <c r="AG117" s="203">
        <f t="shared" ref="AG117:AG126" si="121">SUM(AI117:AM117)</f>
        <v>28122971</v>
      </c>
      <c r="AH117" s="203">
        <f t="shared" ref="AH117:AH126" si="122">IFERROR(AG117/AF117,0)</f>
        <v>5806.9318604170967</v>
      </c>
      <c r="AI117" s="215"/>
      <c r="AJ117" s="215"/>
      <c r="AK117" s="215"/>
      <c r="AL117" s="215">
        <v>28122971</v>
      </c>
      <c r="AM117" s="215"/>
      <c r="AN117" s="215">
        <v>24146974</v>
      </c>
      <c r="AO117" s="214">
        <f t="shared" ref="AO117:AO126" si="123">IF(AN117=0,0,(IF(AI117&lt;=AN117,AI117,AN117)))</f>
        <v>0</v>
      </c>
      <c r="AP117" s="216">
        <v>4532</v>
      </c>
      <c r="AQ117" s="203">
        <f t="shared" ref="AQ117:AQ125" si="124">SUM(AS117:AW117)</f>
        <v>26698585</v>
      </c>
      <c r="AR117" s="203">
        <f t="shared" ref="AR117:AR125" si="125">IFERROR(AQ117/AP117,0)</f>
        <v>5891.126434245366</v>
      </c>
      <c r="AS117" s="215"/>
      <c r="AT117" s="215"/>
      <c r="AU117" s="215"/>
      <c r="AV117" s="215">
        <v>26698585</v>
      </c>
      <c r="AW117" s="215"/>
      <c r="AX117" s="215">
        <v>22640295</v>
      </c>
      <c r="AY117" s="214">
        <f t="shared" ref="AY117:AY125" si="126">IF(AX117=0,0,(IF(AS117&lt;=AX117,AS117,AX117)))</f>
        <v>0</v>
      </c>
      <c r="AZ117" s="216">
        <v>4239</v>
      </c>
      <c r="BA117" s="203">
        <f t="shared" ref="BA117:BA124" si="127">SUM(BC117:BG117)</f>
        <v>26116524</v>
      </c>
      <c r="BB117" s="203">
        <f t="shared" ref="BB117:BB124" si="128">IFERROR(BA117/AZ117,0)</f>
        <v>6161.0106157112523</v>
      </c>
      <c r="BC117" s="215"/>
      <c r="BD117" s="215"/>
      <c r="BE117" s="215"/>
      <c r="BF117" s="215">
        <v>26116524</v>
      </c>
      <c r="BG117" s="215"/>
      <c r="BH117" s="215">
        <v>21963473</v>
      </c>
      <c r="BI117" s="214">
        <f t="shared" ref="BI117:BI125" si="129">IF(BH117=0,0,(IF(BC117&lt;=BH117,BC117,BH117)))</f>
        <v>0</v>
      </c>
      <c r="BJ117" s="216">
        <v>3832</v>
      </c>
      <c r="BK117" s="203">
        <f t="shared" ref="BK117:BK133" si="130">SUM(BM117:BQ117)</f>
        <v>24578177</v>
      </c>
      <c r="BL117" s="203">
        <f t="shared" ref="BL117:BL133" si="131">IFERROR(BK117/BJ117,0)</f>
        <v>6413.9292797494782</v>
      </c>
      <c r="BM117" s="215"/>
      <c r="BN117" s="215"/>
      <c r="BO117" s="215"/>
      <c r="BP117" s="215">
        <v>24578177</v>
      </c>
      <c r="BQ117" s="215"/>
      <c r="BR117" s="215">
        <v>20406016</v>
      </c>
      <c r="BS117" s="214">
        <f t="shared" ref="BS117:BS133" si="132">IF(BR117=0,0,(IF(BM117&lt;=BR117,BM117,BR117)))</f>
        <v>0</v>
      </c>
      <c r="BT117" s="226">
        <v>3611</v>
      </c>
      <c r="BU117" s="203">
        <f t="shared" ref="BU117:BU133" si="133">SUM(BW117:CA117)</f>
        <v>23304334</v>
      </c>
      <c r="BV117" s="203">
        <f t="shared" ref="BV117:BV133" si="134">IFERROR(BU117/BT117,0)</f>
        <v>6453.7064525062306</v>
      </c>
      <c r="BW117" s="225"/>
      <c r="BX117" s="225"/>
      <c r="BY117" s="225"/>
      <c r="BZ117" s="225">
        <v>23304334</v>
      </c>
      <c r="CA117" s="225"/>
      <c r="CB117" s="225">
        <v>19352927</v>
      </c>
      <c r="CC117" s="214">
        <f t="shared" ref="CC117:CC133" si="135">IF(CB117=0,0,(IF(BW117&lt;=CB117,BW117,CB117)))</f>
        <v>0</v>
      </c>
    </row>
    <row r="118" spans="1:81" s="213" customFormat="1" ht="15.95" customHeight="1" x14ac:dyDescent="0.2">
      <c r="A118" s="228" t="s">
        <v>174</v>
      </c>
      <c r="B118" s="217"/>
      <c r="C118" s="203">
        <f t="shared" si="112"/>
        <v>0</v>
      </c>
      <c r="D118" s="203">
        <f t="shared" si="113"/>
        <v>0</v>
      </c>
      <c r="E118" s="215"/>
      <c r="F118" s="215"/>
      <c r="G118" s="215"/>
      <c r="H118" s="215"/>
      <c r="I118" s="215"/>
      <c r="J118" s="215"/>
      <c r="K118" s="214">
        <f t="shared" si="114"/>
        <v>0</v>
      </c>
      <c r="L118" s="216">
        <v>30</v>
      </c>
      <c r="M118" s="203">
        <f t="shared" si="115"/>
        <v>191517</v>
      </c>
      <c r="N118" s="203">
        <f t="shared" si="116"/>
        <v>6383.9</v>
      </c>
      <c r="O118" s="215"/>
      <c r="P118" s="215">
        <v>0</v>
      </c>
      <c r="Q118" s="215">
        <v>191517</v>
      </c>
      <c r="R118" s="215">
        <v>0</v>
      </c>
      <c r="S118" s="215">
        <v>0</v>
      </c>
      <c r="T118" s="215">
        <v>152511</v>
      </c>
      <c r="U118" s="214">
        <f t="shared" si="117"/>
        <v>0</v>
      </c>
      <c r="V118" s="216">
        <v>41</v>
      </c>
      <c r="W118" s="203">
        <f t="shared" si="118"/>
        <v>296002</v>
      </c>
      <c r="X118" s="203">
        <f t="shared" si="119"/>
        <v>7219.5609756097565</v>
      </c>
      <c r="Y118" s="215"/>
      <c r="Z118" s="215"/>
      <c r="AA118" s="215"/>
      <c r="AB118" s="215">
        <v>296002</v>
      </c>
      <c r="AC118" s="215"/>
      <c r="AD118" s="215">
        <v>187180</v>
      </c>
      <c r="AE118" s="214">
        <f t="shared" si="120"/>
        <v>0</v>
      </c>
      <c r="AF118" s="216">
        <v>48</v>
      </c>
      <c r="AG118" s="203">
        <f t="shared" si="121"/>
        <v>418570</v>
      </c>
      <c r="AH118" s="203">
        <f t="shared" si="122"/>
        <v>8720.2083333333339</v>
      </c>
      <c r="AI118" s="215"/>
      <c r="AJ118" s="215"/>
      <c r="AK118" s="215"/>
      <c r="AL118" s="215">
        <v>418570</v>
      </c>
      <c r="AM118" s="215"/>
      <c r="AN118" s="215">
        <v>295241</v>
      </c>
      <c r="AO118" s="214">
        <f t="shared" si="123"/>
        <v>0</v>
      </c>
      <c r="AP118" s="216">
        <v>76</v>
      </c>
      <c r="AQ118" s="203">
        <f t="shared" si="124"/>
        <v>522956</v>
      </c>
      <c r="AR118" s="203">
        <f t="shared" si="125"/>
        <v>6881</v>
      </c>
      <c r="AS118" s="215"/>
      <c r="AT118" s="215"/>
      <c r="AU118" s="215"/>
      <c r="AV118" s="215">
        <v>522956</v>
      </c>
      <c r="AW118" s="215"/>
      <c r="AX118" s="215">
        <v>338873</v>
      </c>
      <c r="AY118" s="214">
        <f t="shared" si="126"/>
        <v>0</v>
      </c>
      <c r="AZ118" s="216">
        <v>98</v>
      </c>
      <c r="BA118" s="203">
        <f t="shared" si="127"/>
        <v>849107</v>
      </c>
      <c r="BB118" s="203">
        <f t="shared" si="128"/>
        <v>8664.3571428571431</v>
      </c>
      <c r="BC118" s="215"/>
      <c r="BD118" s="215"/>
      <c r="BE118" s="215"/>
      <c r="BF118" s="215">
        <v>849107</v>
      </c>
      <c r="BG118" s="215"/>
      <c r="BH118" s="215">
        <v>581093</v>
      </c>
      <c r="BI118" s="214">
        <f t="shared" si="129"/>
        <v>0</v>
      </c>
      <c r="BJ118" s="216">
        <v>89</v>
      </c>
      <c r="BK118" s="203">
        <f t="shared" si="130"/>
        <v>718673</v>
      </c>
      <c r="BL118" s="203">
        <f t="shared" si="131"/>
        <v>8074.9775280898875</v>
      </c>
      <c r="BM118" s="215"/>
      <c r="BN118" s="215"/>
      <c r="BO118" s="215"/>
      <c r="BP118" s="215">
        <v>718673</v>
      </c>
      <c r="BQ118" s="215"/>
      <c r="BR118" s="215">
        <v>514964</v>
      </c>
      <c r="BS118" s="214">
        <f t="shared" si="132"/>
        <v>0</v>
      </c>
      <c r="BT118" s="226">
        <v>97</v>
      </c>
      <c r="BU118" s="203">
        <f t="shared" si="133"/>
        <v>789904</v>
      </c>
      <c r="BV118" s="203">
        <f t="shared" si="134"/>
        <v>8143.3402061855668</v>
      </c>
      <c r="BW118" s="225"/>
      <c r="BX118" s="225"/>
      <c r="BY118" s="225"/>
      <c r="BZ118" s="225">
        <v>789904</v>
      </c>
      <c r="CA118" s="225"/>
      <c r="CB118" s="225">
        <v>574391</v>
      </c>
      <c r="CC118" s="214">
        <f t="shared" si="135"/>
        <v>0</v>
      </c>
    </row>
    <row r="119" spans="1:81" s="213" customFormat="1" ht="15.95" customHeight="1" x14ac:dyDescent="0.2">
      <c r="A119" s="228" t="s">
        <v>173</v>
      </c>
      <c r="B119" s="217"/>
      <c r="C119" s="203">
        <f t="shared" si="112"/>
        <v>0</v>
      </c>
      <c r="D119" s="203">
        <f t="shared" si="113"/>
        <v>0</v>
      </c>
      <c r="E119" s="215"/>
      <c r="F119" s="215"/>
      <c r="G119" s="215"/>
      <c r="H119" s="215"/>
      <c r="I119" s="215"/>
      <c r="J119" s="215"/>
      <c r="K119" s="214">
        <f t="shared" si="114"/>
        <v>0</v>
      </c>
      <c r="L119" s="216">
        <v>895</v>
      </c>
      <c r="M119" s="203">
        <f t="shared" si="115"/>
        <v>7852296</v>
      </c>
      <c r="N119" s="203">
        <f t="shared" si="116"/>
        <v>8773.5150837988822</v>
      </c>
      <c r="O119" s="215"/>
      <c r="P119" s="215">
        <v>0</v>
      </c>
      <c r="Q119" s="215">
        <v>7852296</v>
      </c>
      <c r="R119" s="215">
        <v>0</v>
      </c>
      <c r="S119" s="215">
        <v>0</v>
      </c>
      <c r="T119" s="215">
        <v>6356890</v>
      </c>
      <c r="U119" s="214">
        <f t="shared" si="117"/>
        <v>0</v>
      </c>
      <c r="V119" s="216">
        <v>938</v>
      </c>
      <c r="W119" s="203">
        <f t="shared" si="118"/>
        <v>8491595</v>
      </c>
      <c r="X119" s="203">
        <f t="shared" si="119"/>
        <v>9052.873134328358</v>
      </c>
      <c r="Y119" s="215"/>
      <c r="Z119" s="215"/>
      <c r="AA119" s="215"/>
      <c r="AB119" s="215">
        <v>8491595</v>
      </c>
      <c r="AC119" s="215"/>
      <c r="AD119" s="215">
        <v>6767491</v>
      </c>
      <c r="AE119" s="214">
        <f t="shared" si="120"/>
        <v>0</v>
      </c>
      <c r="AF119" s="216">
        <v>876</v>
      </c>
      <c r="AG119" s="203">
        <f t="shared" si="121"/>
        <v>8005606</v>
      </c>
      <c r="AH119" s="203">
        <f t="shared" si="122"/>
        <v>9138.8196347031972</v>
      </c>
      <c r="AI119" s="215"/>
      <c r="AJ119" s="215"/>
      <c r="AK119" s="215"/>
      <c r="AL119" s="215">
        <v>8005606</v>
      </c>
      <c r="AM119" s="215"/>
      <c r="AN119" s="215">
        <v>6350535</v>
      </c>
      <c r="AO119" s="214">
        <f t="shared" si="123"/>
        <v>0</v>
      </c>
      <c r="AP119" s="216">
        <v>771</v>
      </c>
      <c r="AQ119" s="203">
        <f t="shared" si="124"/>
        <v>7302633</v>
      </c>
      <c r="AR119" s="203">
        <f t="shared" si="125"/>
        <v>9471.6381322957204</v>
      </c>
      <c r="AS119" s="215"/>
      <c r="AT119" s="215"/>
      <c r="AU119" s="215"/>
      <c r="AV119" s="215">
        <v>7302633</v>
      </c>
      <c r="AW119" s="215"/>
      <c r="AX119" s="215">
        <v>5937559</v>
      </c>
      <c r="AY119" s="214">
        <f t="shared" si="126"/>
        <v>0</v>
      </c>
      <c r="AZ119" s="216">
        <v>622</v>
      </c>
      <c r="BA119" s="203">
        <f t="shared" si="127"/>
        <v>5979684</v>
      </c>
      <c r="BB119" s="203">
        <f t="shared" si="128"/>
        <v>9613.6398713826366</v>
      </c>
      <c r="BC119" s="215"/>
      <c r="BD119" s="215"/>
      <c r="BE119" s="215"/>
      <c r="BF119" s="215">
        <v>5979684</v>
      </c>
      <c r="BG119" s="215"/>
      <c r="BH119" s="215">
        <v>4862932</v>
      </c>
      <c r="BI119" s="214">
        <f t="shared" si="129"/>
        <v>0</v>
      </c>
      <c r="BJ119" s="216">
        <v>545</v>
      </c>
      <c r="BK119" s="203">
        <f t="shared" si="130"/>
        <v>5260205</v>
      </c>
      <c r="BL119" s="203">
        <f t="shared" si="131"/>
        <v>9651.7522935779816</v>
      </c>
      <c r="BM119" s="215"/>
      <c r="BN119" s="215"/>
      <c r="BO119" s="215"/>
      <c r="BP119" s="215">
        <v>5260205</v>
      </c>
      <c r="BQ119" s="215"/>
      <c r="BR119" s="215">
        <v>4174510</v>
      </c>
      <c r="BS119" s="214">
        <f t="shared" si="132"/>
        <v>0</v>
      </c>
      <c r="BT119" s="226">
        <v>588</v>
      </c>
      <c r="BU119" s="203">
        <f t="shared" si="133"/>
        <v>5979669</v>
      </c>
      <c r="BV119" s="203">
        <f t="shared" si="134"/>
        <v>10169.505102040815</v>
      </c>
      <c r="BW119" s="225"/>
      <c r="BX119" s="225"/>
      <c r="BY119" s="225"/>
      <c r="BZ119" s="225">
        <v>5979669</v>
      </c>
      <c r="CA119" s="225"/>
      <c r="CB119" s="225">
        <v>4589996</v>
      </c>
      <c r="CC119" s="214">
        <f t="shared" si="135"/>
        <v>0</v>
      </c>
    </row>
    <row r="120" spans="1:81" s="213" customFormat="1" ht="15.95" customHeight="1" x14ac:dyDescent="0.2">
      <c r="A120" s="228" t="s">
        <v>172</v>
      </c>
      <c r="B120" s="217"/>
      <c r="C120" s="203">
        <f t="shared" si="112"/>
        <v>0</v>
      </c>
      <c r="D120" s="203">
        <f t="shared" si="113"/>
        <v>0</v>
      </c>
      <c r="E120" s="215"/>
      <c r="F120" s="215"/>
      <c r="G120" s="215"/>
      <c r="H120" s="215"/>
      <c r="I120" s="215"/>
      <c r="J120" s="215"/>
      <c r="K120" s="214">
        <f t="shared" si="114"/>
        <v>0</v>
      </c>
      <c r="L120" s="216">
        <v>22</v>
      </c>
      <c r="M120" s="203">
        <f t="shared" si="115"/>
        <v>61890</v>
      </c>
      <c r="N120" s="203">
        <f t="shared" si="116"/>
        <v>2813.181818181818</v>
      </c>
      <c r="O120" s="215"/>
      <c r="P120" s="215">
        <v>0</v>
      </c>
      <c r="Q120" s="215">
        <v>61890</v>
      </c>
      <c r="R120" s="215">
        <v>0</v>
      </c>
      <c r="S120" s="215">
        <v>0</v>
      </c>
      <c r="T120" s="215">
        <v>61890</v>
      </c>
      <c r="U120" s="214">
        <f t="shared" si="117"/>
        <v>0</v>
      </c>
      <c r="V120" s="216">
        <v>26</v>
      </c>
      <c r="W120" s="203">
        <f t="shared" si="118"/>
        <v>71232</v>
      </c>
      <c r="X120" s="203">
        <f t="shared" si="119"/>
        <v>2739.6923076923076</v>
      </c>
      <c r="Y120" s="215"/>
      <c r="Z120" s="215"/>
      <c r="AA120" s="215"/>
      <c r="AB120" s="215">
        <v>71232</v>
      </c>
      <c r="AC120" s="215"/>
      <c r="AD120" s="215">
        <v>71232</v>
      </c>
      <c r="AE120" s="214">
        <f t="shared" si="120"/>
        <v>0</v>
      </c>
      <c r="AF120" s="216">
        <v>25</v>
      </c>
      <c r="AG120" s="203">
        <f t="shared" si="121"/>
        <v>65689</v>
      </c>
      <c r="AH120" s="203">
        <f t="shared" si="122"/>
        <v>2627.56</v>
      </c>
      <c r="AI120" s="215"/>
      <c r="AJ120" s="215"/>
      <c r="AK120" s="215"/>
      <c r="AL120" s="215">
        <v>65689</v>
      </c>
      <c r="AM120" s="215"/>
      <c r="AN120" s="215">
        <v>65689</v>
      </c>
      <c r="AO120" s="214">
        <f t="shared" si="123"/>
        <v>0</v>
      </c>
      <c r="AP120" s="216">
        <v>10</v>
      </c>
      <c r="AQ120" s="203">
        <f t="shared" si="124"/>
        <v>22981</v>
      </c>
      <c r="AR120" s="203">
        <f t="shared" si="125"/>
        <v>2298.1</v>
      </c>
      <c r="AS120" s="215"/>
      <c r="AT120" s="215"/>
      <c r="AU120" s="215"/>
      <c r="AV120" s="215">
        <v>22981</v>
      </c>
      <c r="AW120" s="215"/>
      <c r="AX120" s="215">
        <v>22981</v>
      </c>
      <c r="AY120" s="214">
        <f t="shared" si="126"/>
        <v>0</v>
      </c>
      <c r="AZ120" s="216">
        <v>11</v>
      </c>
      <c r="BA120" s="203">
        <f t="shared" si="127"/>
        <v>26819</v>
      </c>
      <c r="BB120" s="203">
        <f t="shared" si="128"/>
        <v>2438.090909090909</v>
      </c>
      <c r="BC120" s="215"/>
      <c r="BD120" s="215"/>
      <c r="BE120" s="215"/>
      <c r="BF120" s="215">
        <v>26819</v>
      </c>
      <c r="BG120" s="215"/>
      <c r="BH120" s="215">
        <v>26819</v>
      </c>
      <c r="BI120" s="214">
        <f t="shared" si="129"/>
        <v>0</v>
      </c>
      <c r="BJ120" s="216">
        <v>9</v>
      </c>
      <c r="BK120" s="203">
        <f t="shared" si="130"/>
        <v>22053</v>
      </c>
      <c r="BL120" s="203">
        <f t="shared" si="131"/>
        <v>2450.3333333333335</v>
      </c>
      <c r="BM120" s="215"/>
      <c r="BN120" s="215"/>
      <c r="BO120" s="215"/>
      <c r="BP120" s="215">
        <v>22053</v>
      </c>
      <c r="BQ120" s="215"/>
      <c r="BR120" s="215">
        <v>22053</v>
      </c>
      <c r="BS120" s="214">
        <f t="shared" si="132"/>
        <v>0</v>
      </c>
      <c r="BT120" s="226">
        <v>7</v>
      </c>
      <c r="BU120" s="203">
        <f t="shared" si="133"/>
        <v>17446</v>
      </c>
      <c r="BV120" s="203">
        <f t="shared" si="134"/>
        <v>2492.2857142857142</v>
      </c>
      <c r="BW120" s="225"/>
      <c r="BX120" s="225"/>
      <c r="BY120" s="225"/>
      <c r="BZ120" s="225">
        <v>17446</v>
      </c>
      <c r="CA120" s="225"/>
      <c r="CB120" s="225">
        <v>17446</v>
      </c>
      <c r="CC120" s="214">
        <f t="shared" si="135"/>
        <v>0</v>
      </c>
    </row>
    <row r="121" spans="1:81" s="213" customFormat="1" ht="15.95" customHeight="1" x14ac:dyDescent="0.2">
      <c r="A121" s="228" t="s">
        <v>171</v>
      </c>
      <c r="B121" s="217"/>
      <c r="C121" s="203">
        <f t="shared" si="112"/>
        <v>-809286</v>
      </c>
      <c r="D121" s="203">
        <f t="shared" si="113"/>
        <v>0</v>
      </c>
      <c r="E121" s="215">
        <v>-809286</v>
      </c>
      <c r="F121" s="215"/>
      <c r="G121" s="215"/>
      <c r="H121" s="215"/>
      <c r="I121" s="215"/>
      <c r="J121" s="215"/>
      <c r="K121" s="214">
        <f t="shared" si="114"/>
        <v>0</v>
      </c>
      <c r="L121" s="216">
        <v>0</v>
      </c>
      <c r="M121" s="203">
        <f t="shared" si="115"/>
        <v>-633799</v>
      </c>
      <c r="N121" s="203">
        <f t="shared" si="116"/>
        <v>0</v>
      </c>
      <c r="O121" s="215">
        <v>-633799</v>
      </c>
      <c r="P121" s="215">
        <v>0</v>
      </c>
      <c r="Q121" s="215">
        <v>0</v>
      </c>
      <c r="R121" s="215">
        <v>0</v>
      </c>
      <c r="S121" s="215">
        <v>0</v>
      </c>
      <c r="T121" s="215">
        <v>0</v>
      </c>
      <c r="U121" s="214">
        <f t="shared" si="117"/>
        <v>0</v>
      </c>
      <c r="V121" s="216"/>
      <c r="W121" s="203">
        <f t="shared" si="118"/>
        <v>-503038</v>
      </c>
      <c r="X121" s="203">
        <f t="shared" si="119"/>
        <v>0</v>
      </c>
      <c r="Y121" s="215">
        <v>-503038</v>
      </c>
      <c r="Z121" s="215"/>
      <c r="AA121" s="215"/>
      <c r="AB121" s="215"/>
      <c r="AC121" s="215"/>
      <c r="AD121" s="215"/>
      <c r="AE121" s="214">
        <f t="shared" si="120"/>
        <v>0</v>
      </c>
      <c r="AF121" s="216"/>
      <c r="AG121" s="203">
        <f t="shared" si="121"/>
        <v>-336972</v>
      </c>
      <c r="AH121" s="203">
        <f t="shared" si="122"/>
        <v>0</v>
      </c>
      <c r="AI121" s="215">
        <v>-336972</v>
      </c>
      <c r="AJ121" s="215"/>
      <c r="AK121" s="215"/>
      <c r="AL121" s="215"/>
      <c r="AM121" s="215"/>
      <c r="AN121" s="215"/>
      <c r="AO121" s="214">
        <f t="shared" si="123"/>
        <v>0</v>
      </c>
      <c r="AP121" s="216"/>
      <c r="AQ121" s="203">
        <f t="shared" si="124"/>
        <v>-241023</v>
      </c>
      <c r="AR121" s="203">
        <f t="shared" si="125"/>
        <v>0</v>
      </c>
      <c r="AS121" s="215">
        <v>-241023</v>
      </c>
      <c r="AT121" s="215"/>
      <c r="AU121" s="215"/>
      <c r="AV121" s="215"/>
      <c r="AW121" s="215"/>
      <c r="AX121" s="215"/>
      <c r="AY121" s="214">
        <f t="shared" si="126"/>
        <v>0</v>
      </c>
      <c r="AZ121" s="216"/>
      <c r="BA121" s="203">
        <f t="shared" si="127"/>
        <v>-256171.44</v>
      </c>
      <c r="BB121" s="203">
        <f t="shared" si="128"/>
        <v>0</v>
      </c>
      <c r="BC121" s="215">
        <v>-256171.44</v>
      </c>
      <c r="BD121" s="215"/>
      <c r="BE121" s="215"/>
      <c r="BF121" s="215"/>
      <c r="BG121" s="215"/>
      <c r="BH121" s="215"/>
      <c r="BI121" s="214">
        <f t="shared" si="129"/>
        <v>0</v>
      </c>
      <c r="BJ121" s="216"/>
      <c r="BK121" s="203">
        <f t="shared" si="130"/>
        <v>-93880.320000000007</v>
      </c>
      <c r="BL121" s="203">
        <f t="shared" si="131"/>
        <v>0</v>
      </c>
      <c r="BM121" s="215">
        <v>-93880.320000000007</v>
      </c>
      <c r="BN121" s="215"/>
      <c r="BO121" s="215"/>
      <c r="BP121" s="215"/>
      <c r="BQ121" s="215"/>
      <c r="BR121" s="215"/>
      <c r="BS121" s="214">
        <f t="shared" si="132"/>
        <v>0</v>
      </c>
      <c r="BT121" s="226"/>
      <c r="BU121" s="203">
        <f t="shared" si="133"/>
        <v>-25164</v>
      </c>
      <c r="BV121" s="203">
        <f t="shared" si="134"/>
        <v>0</v>
      </c>
      <c r="BW121" s="225">
        <v>-25164</v>
      </c>
      <c r="BX121" s="225"/>
      <c r="BY121" s="225"/>
      <c r="BZ121" s="225"/>
      <c r="CA121" s="225"/>
      <c r="CB121" s="225"/>
      <c r="CC121" s="214">
        <f t="shared" si="135"/>
        <v>0</v>
      </c>
    </row>
    <row r="122" spans="1:81" s="213" customFormat="1" ht="15.95" customHeight="1" x14ac:dyDescent="0.2">
      <c r="A122" s="228" t="s">
        <v>170</v>
      </c>
      <c r="B122" s="217"/>
      <c r="C122" s="203">
        <f t="shared" si="112"/>
        <v>1540424</v>
      </c>
      <c r="D122" s="203">
        <f t="shared" si="113"/>
        <v>0</v>
      </c>
      <c r="E122" s="215">
        <v>1540424</v>
      </c>
      <c r="F122" s="215"/>
      <c r="G122" s="215"/>
      <c r="H122" s="215"/>
      <c r="I122" s="215"/>
      <c r="J122" s="215"/>
      <c r="K122" s="214">
        <f t="shared" si="114"/>
        <v>0</v>
      </c>
      <c r="L122" s="216">
        <v>271</v>
      </c>
      <c r="M122" s="203">
        <f t="shared" si="115"/>
        <v>1717800</v>
      </c>
      <c r="N122" s="203">
        <f t="shared" si="116"/>
        <v>6338.7453874538742</v>
      </c>
      <c r="O122" s="215">
        <v>1717800</v>
      </c>
      <c r="P122" s="215">
        <v>0</v>
      </c>
      <c r="Q122" s="215">
        <v>0</v>
      </c>
      <c r="R122" s="215">
        <v>0</v>
      </c>
      <c r="S122" s="215">
        <v>0</v>
      </c>
      <c r="T122" s="215">
        <v>0</v>
      </c>
      <c r="U122" s="214">
        <f t="shared" si="117"/>
        <v>0</v>
      </c>
      <c r="V122" s="216">
        <v>298</v>
      </c>
      <c r="W122" s="203">
        <f t="shared" si="118"/>
        <v>2005036</v>
      </c>
      <c r="X122" s="203">
        <f t="shared" si="119"/>
        <v>6728.3087248322145</v>
      </c>
      <c r="Y122" s="215">
        <v>2005036</v>
      </c>
      <c r="Z122" s="215"/>
      <c r="AA122" s="215"/>
      <c r="AB122" s="215"/>
      <c r="AC122" s="215"/>
      <c r="AD122" s="215">
        <v>0</v>
      </c>
      <c r="AE122" s="214">
        <f t="shared" si="120"/>
        <v>0</v>
      </c>
      <c r="AF122" s="216">
        <v>229</v>
      </c>
      <c r="AG122" s="203">
        <f t="shared" si="121"/>
        <v>1550077</v>
      </c>
      <c r="AH122" s="203">
        <f t="shared" si="122"/>
        <v>6768.8951965065498</v>
      </c>
      <c r="AI122" s="215">
        <v>1550077</v>
      </c>
      <c r="AJ122" s="215"/>
      <c r="AK122" s="215"/>
      <c r="AL122" s="215"/>
      <c r="AM122" s="215"/>
      <c r="AN122" s="215">
        <v>0</v>
      </c>
      <c r="AO122" s="214">
        <f t="shared" si="123"/>
        <v>0</v>
      </c>
      <c r="AP122" s="216">
        <v>155</v>
      </c>
      <c r="AQ122" s="203">
        <f t="shared" si="124"/>
        <v>964348</v>
      </c>
      <c r="AR122" s="203">
        <f t="shared" si="125"/>
        <v>6221.6</v>
      </c>
      <c r="AS122" s="215">
        <v>964348</v>
      </c>
      <c r="AT122" s="215"/>
      <c r="AU122" s="215"/>
      <c r="AV122" s="215"/>
      <c r="AW122" s="215"/>
      <c r="AX122" s="215">
        <v>0</v>
      </c>
      <c r="AY122" s="214">
        <f t="shared" si="126"/>
        <v>0</v>
      </c>
      <c r="AZ122" s="216">
        <v>84</v>
      </c>
      <c r="BA122" s="203">
        <f t="shared" si="127"/>
        <v>254277.77</v>
      </c>
      <c r="BB122" s="203">
        <f t="shared" si="128"/>
        <v>3027.1163095238094</v>
      </c>
      <c r="BC122" s="215">
        <v>254277.77</v>
      </c>
      <c r="BD122" s="215"/>
      <c r="BE122" s="215"/>
      <c r="BF122" s="215"/>
      <c r="BG122" s="215"/>
      <c r="BH122" s="215">
        <v>126</v>
      </c>
      <c r="BI122" s="214">
        <f t="shared" si="129"/>
        <v>126</v>
      </c>
      <c r="BJ122" s="216">
        <v>53</v>
      </c>
      <c r="BK122" s="203">
        <f t="shared" si="130"/>
        <v>158303.99</v>
      </c>
      <c r="BL122" s="203">
        <f t="shared" si="131"/>
        <v>2986.8677358490563</v>
      </c>
      <c r="BM122" s="215">
        <v>158303.99</v>
      </c>
      <c r="BN122" s="215"/>
      <c r="BO122" s="215"/>
      <c r="BP122" s="215"/>
      <c r="BQ122" s="215"/>
      <c r="BR122" s="215">
        <v>0</v>
      </c>
      <c r="BS122" s="214">
        <f t="shared" si="132"/>
        <v>0</v>
      </c>
      <c r="BT122" s="226">
        <v>36</v>
      </c>
      <c r="BU122" s="203">
        <f t="shared" si="133"/>
        <v>102802</v>
      </c>
      <c r="BV122" s="203">
        <f t="shared" si="134"/>
        <v>2855.6111111111113</v>
      </c>
      <c r="BW122" s="225">
        <v>102802</v>
      </c>
      <c r="BX122" s="225"/>
      <c r="BY122" s="225"/>
      <c r="BZ122" s="225"/>
      <c r="CA122" s="225"/>
      <c r="CB122" s="225">
        <v>0</v>
      </c>
      <c r="CC122" s="214">
        <f t="shared" si="135"/>
        <v>0</v>
      </c>
    </row>
    <row r="123" spans="1:81" s="213" customFormat="1" ht="15.95" customHeight="1" x14ac:dyDescent="0.2">
      <c r="A123" s="228" t="s">
        <v>169</v>
      </c>
      <c r="B123" s="217"/>
      <c r="C123" s="203">
        <f t="shared" si="112"/>
        <v>0</v>
      </c>
      <c r="D123" s="203">
        <f t="shared" si="113"/>
        <v>0</v>
      </c>
      <c r="E123" s="215"/>
      <c r="F123" s="215"/>
      <c r="G123" s="215"/>
      <c r="H123" s="215"/>
      <c r="I123" s="215"/>
      <c r="J123" s="215"/>
      <c r="K123" s="214">
        <f t="shared" si="114"/>
        <v>0</v>
      </c>
      <c r="L123" s="216"/>
      <c r="M123" s="203">
        <f t="shared" si="115"/>
        <v>0</v>
      </c>
      <c r="N123" s="203">
        <f t="shared" si="116"/>
        <v>0</v>
      </c>
      <c r="O123" s="215"/>
      <c r="P123" s="215"/>
      <c r="Q123" s="215"/>
      <c r="R123" s="215"/>
      <c r="S123" s="215"/>
      <c r="T123" s="215"/>
      <c r="U123" s="214">
        <f t="shared" si="117"/>
        <v>0</v>
      </c>
      <c r="V123" s="216"/>
      <c r="W123" s="203">
        <f t="shared" si="118"/>
        <v>0</v>
      </c>
      <c r="X123" s="203">
        <f t="shared" si="119"/>
        <v>0</v>
      </c>
      <c r="Y123" s="215"/>
      <c r="Z123" s="215"/>
      <c r="AA123" s="215"/>
      <c r="AB123" s="215"/>
      <c r="AC123" s="215"/>
      <c r="AD123" s="215"/>
      <c r="AE123" s="214">
        <f t="shared" si="120"/>
        <v>0</v>
      </c>
      <c r="AF123" s="216"/>
      <c r="AG123" s="203">
        <f t="shared" si="121"/>
        <v>0</v>
      </c>
      <c r="AH123" s="203">
        <f t="shared" si="122"/>
        <v>0</v>
      </c>
      <c r="AI123" s="215"/>
      <c r="AJ123" s="215"/>
      <c r="AK123" s="215"/>
      <c r="AL123" s="215"/>
      <c r="AM123" s="215"/>
      <c r="AN123" s="215"/>
      <c r="AO123" s="214">
        <f t="shared" si="123"/>
        <v>0</v>
      </c>
      <c r="AP123" s="216"/>
      <c r="AQ123" s="203">
        <f t="shared" si="124"/>
        <v>0</v>
      </c>
      <c r="AR123" s="203">
        <f t="shared" si="125"/>
        <v>0</v>
      </c>
      <c r="AS123" s="215"/>
      <c r="AT123" s="215"/>
      <c r="AU123" s="215"/>
      <c r="AV123" s="215"/>
      <c r="AW123" s="215"/>
      <c r="AX123" s="215"/>
      <c r="AY123" s="214">
        <f t="shared" si="126"/>
        <v>0</v>
      </c>
      <c r="AZ123" s="216"/>
      <c r="BA123" s="203">
        <f t="shared" si="127"/>
        <v>295739</v>
      </c>
      <c r="BB123" s="203">
        <f t="shared" si="128"/>
        <v>0</v>
      </c>
      <c r="BC123" s="215">
        <v>295739</v>
      </c>
      <c r="BD123" s="215"/>
      <c r="BE123" s="215"/>
      <c r="BF123" s="215"/>
      <c r="BG123" s="215"/>
      <c r="BH123" s="215">
        <v>281812</v>
      </c>
      <c r="BI123" s="214">
        <f t="shared" si="129"/>
        <v>281812</v>
      </c>
      <c r="BJ123" s="216"/>
      <c r="BK123" s="203">
        <f t="shared" si="130"/>
        <v>0</v>
      </c>
      <c r="BL123" s="203">
        <f t="shared" si="131"/>
        <v>0</v>
      </c>
      <c r="BM123" s="215"/>
      <c r="BN123" s="215"/>
      <c r="BO123" s="215"/>
      <c r="BP123" s="215"/>
      <c r="BQ123" s="215"/>
      <c r="BR123" s="215"/>
      <c r="BS123" s="214">
        <f t="shared" si="132"/>
        <v>0</v>
      </c>
      <c r="BT123" s="226"/>
      <c r="BU123" s="203">
        <f t="shared" si="133"/>
        <v>0</v>
      </c>
      <c r="BV123" s="203">
        <f t="shared" si="134"/>
        <v>0</v>
      </c>
      <c r="BW123" s="225"/>
      <c r="BX123" s="225"/>
      <c r="BY123" s="225"/>
      <c r="BZ123" s="225"/>
      <c r="CA123" s="225"/>
      <c r="CB123" s="225"/>
      <c r="CC123" s="214">
        <f t="shared" si="135"/>
        <v>0</v>
      </c>
    </row>
    <row r="124" spans="1:81" s="213" customFormat="1" ht="15.95" customHeight="1" x14ac:dyDescent="0.2">
      <c r="A124" s="228" t="s">
        <v>168</v>
      </c>
      <c r="B124" s="217"/>
      <c r="C124" s="203">
        <f t="shared" si="112"/>
        <v>0</v>
      </c>
      <c r="D124" s="203">
        <f t="shared" si="113"/>
        <v>0</v>
      </c>
      <c r="E124" s="215"/>
      <c r="F124" s="215"/>
      <c r="G124" s="215"/>
      <c r="H124" s="215"/>
      <c r="I124" s="215"/>
      <c r="J124" s="215"/>
      <c r="K124" s="214">
        <f t="shared" si="114"/>
        <v>0</v>
      </c>
      <c r="L124" s="216"/>
      <c r="M124" s="203">
        <f t="shared" si="115"/>
        <v>0</v>
      </c>
      <c r="N124" s="203">
        <f t="shared" si="116"/>
        <v>0</v>
      </c>
      <c r="O124" s="215"/>
      <c r="P124" s="215"/>
      <c r="Q124" s="215"/>
      <c r="R124" s="215"/>
      <c r="S124" s="215"/>
      <c r="T124" s="215"/>
      <c r="U124" s="214">
        <f t="shared" si="117"/>
        <v>0</v>
      </c>
      <c r="V124" s="216"/>
      <c r="W124" s="203">
        <f t="shared" si="118"/>
        <v>0</v>
      </c>
      <c r="X124" s="203">
        <f t="shared" si="119"/>
        <v>0</v>
      </c>
      <c r="Y124" s="215"/>
      <c r="Z124" s="215"/>
      <c r="AA124" s="215"/>
      <c r="AB124" s="215"/>
      <c r="AC124" s="215"/>
      <c r="AD124" s="215"/>
      <c r="AE124" s="214">
        <f t="shared" si="120"/>
        <v>0</v>
      </c>
      <c r="AF124" s="216"/>
      <c r="AG124" s="203">
        <f t="shared" si="121"/>
        <v>0</v>
      </c>
      <c r="AH124" s="203">
        <f t="shared" si="122"/>
        <v>0</v>
      </c>
      <c r="AI124" s="215"/>
      <c r="AJ124" s="215"/>
      <c r="AK124" s="215"/>
      <c r="AL124" s="215"/>
      <c r="AM124" s="215"/>
      <c r="AN124" s="215"/>
      <c r="AO124" s="214">
        <f t="shared" si="123"/>
        <v>0</v>
      </c>
      <c r="AP124" s="216"/>
      <c r="AQ124" s="203">
        <f t="shared" si="124"/>
        <v>0</v>
      </c>
      <c r="AR124" s="203">
        <f t="shared" si="125"/>
        <v>0</v>
      </c>
      <c r="AS124" s="215"/>
      <c r="AT124" s="215"/>
      <c r="AU124" s="215"/>
      <c r="AV124" s="215"/>
      <c r="AW124" s="215"/>
      <c r="AX124" s="215"/>
      <c r="AY124" s="214">
        <f t="shared" si="126"/>
        <v>0</v>
      </c>
      <c r="AZ124" s="216"/>
      <c r="BA124" s="203">
        <f t="shared" si="127"/>
        <v>196860</v>
      </c>
      <c r="BB124" s="203">
        <f t="shared" si="128"/>
        <v>0</v>
      </c>
      <c r="BC124" s="215">
        <v>196860</v>
      </c>
      <c r="BD124" s="215"/>
      <c r="BE124" s="215"/>
      <c r="BF124" s="215"/>
      <c r="BG124" s="215"/>
      <c r="BH124" s="215">
        <v>196860</v>
      </c>
      <c r="BI124" s="214">
        <f t="shared" si="129"/>
        <v>196860</v>
      </c>
      <c r="BJ124" s="216">
        <v>1963</v>
      </c>
      <c r="BK124" s="203">
        <f t="shared" si="130"/>
        <v>270921</v>
      </c>
      <c r="BL124" s="203">
        <f t="shared" si="131"/>
        <v>138.01375445746308</v>
      </c>
      <c r="BM124" s="215">
        <v>270921</v>
      </c>
      <c r="BN124" s="215"/>
      <c r="BO124" s="215"/>
      <c r="BP124" s="215"/>
      <c r="BQ124" s="215"/>
      <c r="BR124" s="215">
        <v>270921</v>
      </c>
      <c r="BS124" s="214">
        <f t="shared" si="132"/>
        <v>270921</v>
      </c>
      <c r="BT124" s="226">
        <v>2257</v>
      </c>
      <c r="BU124" s="203">
        <f t="shared" si="133"/>
        <v>389718</v>
      </c>
      <c r="BV124" s="203">
        <f t="shared" si="134"/>
        <v>172.67080194949048</v>
      </c>
      <c r="BW124" s="225">
        <v>389718</v>
      </c>
      <c r="BX124" s="225"/>
      <c r="BY124" s="225"/>
      <c r="BZ124" s="225"/>
      <c r="CA124" s="225"/>
      <c r="CB124" s="225">
        <v>315217</v>
      </c>
      <c r="CC124" s="214">
        <f t="shared" si="135"/>
        <v>315217</v>
      </c>
    </row>
    <row r="125" spans="1:81" s="213" customFormat="1" ht="15.95" customHeight="1" x14ac:dyDescent="0.2">
      <c r="A125" s="228" t="s">
        <v>167</v>
      </c>
      <c r="B125" s="217"/>
      <c r="C125" s="203">
        <f t="shared" si="112"/>
        <v>0</v>
      </c>
      <c r="D125" s="203">
        <f t="shared" si="113"/>
        <v>0</v>
      </c>
      <c r="E125" s="215"/>
      <c r="F125" s="215"/>
      <c r="G125" s="215"/>
      <c r="H125" s="215"/>
      <c r="I125" s="215"/>
      <c r="J125" s="215"/>
      <c r="K125" s="214">
        <f t="shared" si="114"/>
        <v>0</v>
      </c>
      <c r="L125" s="216"/>
      <c r="M125" s="203">
        <f t="shared" si="115"/>
        <v>0</v>
      </c>
      <c r="N125" s="203">
        <f t="shared" si="116"/>
        <v>0</v>
      </c>
      <c r="O125" s="215"/>
      <c r="P125" s="215"/>
      <c r="Q125" s="215"/>
      <c r="R125" s="215"/>
      <c r="S125" s="215"/>
      <c r="T125" s="215"/>
      <c r="U125" s="214">
        <f t="shared" si="117"/>
        <v>0</v>
      </c>
      <c r="V125" s="216"/>
      <c r="W125" s="203">
        <f t="shared" si="118"/>
        <v>0</v>
      </c>
      <c r="X125" s="203">
        <f t="shared" si="119"/>
        <v>0</v>
      </c>
      <c r="Y125" s="215"/>
      <c r="Z125" s="215"/>
      <c r="AA125" s="215"/>
      <c r="AB125" s="215"/>
      <c r="AC125" s="215"/>
      <c r="AD125" s="215"/>
      <c r="AE125" s="214">
        <f t="shared" si="120"/>
        <v>0</v>
      </c>
      <c r="AF125" s="216"/>
      <c r="AG125" s="203">
        <f t="shared" si="121"/>
        <v>0</v>
      </c>
      <c r="AH125" s="203">
        <f t="shared" si="122"/>
        <v>0</v>
      </c>
      <c r="AI125" s="215"/>
      <c r="AJ125" s="215"/>
      <c r="AK125" s="215"/>
      <c r="AL125" s="215"/>
      <c r="AM125" s="215"/>
      <c r="AN125" s="215"/>
      <c r="AO125" s="214">
        <f t="shared" si="123"/>
        <v>0</v>
      </c>
      <c r="AP125" s="216"/>
      <c r="AQ125" s="203">
        <f t="shared" si="124"/>
        <v>0</v>
      </c>
      <c r="AR125" s="203">
        <f t="shared" si="125"/>
        <v>0</v>
      </c>
      <c r="AS125" s="215"/>
      <c r="AT125" s="215"/>
      <c r="AU125" s="215"/>
      <c r="AV125" s="215"/>
      <c r="AW125" s="215"/>
      <c r="AX125" s="215"/>
      <c r="AY125" s="214">
        <f t="shared" si="126"/>
        <v>0</v>
      </c>
      <c r="AZ125" s="216">
        <v>88</v>
      </c>
      <c r="BA125" s="203"/>
      <c r="BB125" s="203"/>
      <c r="BC125" s="215">
        <v>111772</v>
      </c>
      <c r="BD125" s="215"/>
      <c r="BE125" s="215"/>
      <c r="BF125" s="215"/>
      <c r="BG125" s="215"/>
      <c r="BH125" s="215">
        <v>70250</v>
      </c>
      <c r="BI125" s="214">
        <f t="shared" si="129"/>
        <v>70250</v>
      </c>
      <c r="BJ125" s="216">
        <v>102</v>
      </c>
      <c r="BK125" s="203">
        <f t="shared" si="130"/>
        <v>156264</v>
      </c>
      <c r="BL125" s="203">
        <f t="shared" si="131"/>
        <v>1532</v>
      </c>
      <c r="BM125" s="215">
        <v>156264</v>
      </c>
      <c r="BN125" s="215"/>
      <c r="BO125" s="215"/>
      <c r="BP125" s="215"/>
      <c r="BQ125" s="215"/>
      <c r="BR125" s="215">
        <v>144151</v>
      </c>
      <c r="BS125" s="214">
        <f t="shared" si="132"/>
        <v>144151</v>
      </c>
      <c r="BT125" s="226">
        <v>104</v>
      </c>
      <c r="BU125" s="203">
        <f t="shared" si="133"/>
        <v>126201</v>
      </c>
      <c r="BV125" s="203">
        <f t="shared" si="134"/>
        <v>1213.4711538461538</v>
      </c>
      <c r="BW125" s="225">
        <v>126201</v>
      </c>
      <c r="BX125" s="225"/>
      <c r="BY125" s="225"/>
      <c r="BZ125" s="225"/>
      <c r="CA125" s="225"/>
      <c r="CB125" s="225">
        <v>117366</v>
      </c>
      <c r="CC125" s="214">
        <f t="shared" si="135"/>
        <v>117366</v>
      </c>
    </row>
    <row r="126" spans="1:81" s="213" customFormat="1" ht="15.95" customHeight="1" x14ac:dyDescent="0.2">
      <c r="A126" s="228" t="s">
        <v>166</v>
      </c>
      <c r="B126" s="217"/>
      <c r="C126" s="203">
        <f t="shared" si="112"/>
        <v>1540424</v>
      </c>
      <c r="D126" s="203">
        <f t="shared" si="113"/>
        <v>0</v>
      </c>
      <c r="E126" s="215">
        <v>1540424</v>
      </c>
      <c r="F126" s="215"/>
      <c r="G126" s="215"/>
      <c r="H126" s="215"/>
      <c r="I126" s="215"/>
      <c r="J126" s="215"/>
      <c r="K126" s="214">
        <f t="shared" si="114"/>
        <v>0</v>
      </c>
      <c r="L126" s="216">
        <v>271</v>
      </c>
      <c r="M126" s="203">
        <f t="shared" si="115"/>
        <v>1717800</v>
      </c>
      <c r="N126" s="203">
        <f t="shared" si="116"/>
        <v>6338.7453874538742</v>
      </c>
      <c r="O126" s="215">
        <v>1717800</v>
      </c>
      <c r="P126" s="215">
        <v>0</v>
      </c>
      <c r="Q126" s="215">
        <v>0</v>
      </c>
      <c r="R126" s="215">
        <v>0</v>
      </c>
      <c r="S126" s="215">
        <v>0</v>
      </c>
      <c r="T126" s="215">
        <v>0</v>
      </c>
      <c r="U126" s="214">
        <f t="shared" si="117"/>
        <v>0</v>
      </c>
      <c r="V126" s="216">
        <v>298</v>
      </c>
      <c r="W126" s="203">
        <f t="shared" si="118"/>
        <v>2005036</v>
      </c>
      <c r="X126" s="203">
        <f t="shared" si="119"/>
        <v>6728.3087248322145</v>
      </c>
      <c r="Y126" s="215">
        <v>2005036</v>
      </c>
      <c r="Z126" s="215"/>
      <c r="AA126" s="215"/>
      <c r="AB126" s="215"/>
      <c r="AC126" s="215"/>
      <c r="AD126" s="215">
        <v>0</v>
      </c>
      <c r="AE126" s="214">
        <f t="shared" si="120"/>
        <v>0</v>
      </c>
      <c r="AF126" s="216">
        <v>229</v>
      </c>
      <c r="AG126" s="203">
        <f t="shared" si="121"/>
        <v>1550077</v>
      </c>
      <c r="AH126" s="203">
        <f t="shared" si="122"/>
        <v>6768.8951965065498</v>
      </c>
      <c r="AI126" s="215">
        <v>1550077</v>
      </c>
      <c r="AJ126" s="215"/>
      <c r="AK126" s="215"/>
      <c r="AL126" s="215"/>
      <c r="AM126" s="215"/>
      <c r="AN126" s="215">
        <v>0</v>
      </c>
      <c r="AO126" s="214">
        <f t="shared" si="123"/>
        <v>0</v>
      </c>
      <c r="AP126" s="216"/>
      <c r="AQ126" s="203"/>
      <c r="AR126" s="203"/>
      <c r="AS126" s="215"/>
      <c r="AT126" s="215"/>
      <c r="AU126" s="215"/>
      <c r="AV126" s="215"/>
      <c r="AW126" s="215"/>
      <c r="AX126" s="215"/>
      <c r="AY126" s="214"/>
      <c r="AZ126" s="216">
        <v>6</v>
      </c>
      <c r="BA126" s="203"/>
      <c r="BB126" s="203"/>
      <c r="BC126" s="215">
        <v>5500</v>
      </c>
      <c r="BD126" s="215"/>
      <c r="BE126" s="215"/>
      <c r="BF126" s="215"/>
      <c r="BG126" s="215"/>
      <c r="BH126" s="215">
        <v>5500</v>
      </c>
      <c r="BI126" s="214"/>
      <c r="BJ126" s="216">
        <v>10</v>
      </c>
      <c r="BK126" s="203">
        <f t="shared" si="130"/>
        <v>9000</v>
      </c>
      <c r="BL126" s="203">
        <f t="shared" si="131"/>
        <v>900</v>
      </c>
      <c r="BM126" s="215">
        <v>9000</v>
      </c>
      <c r="BN126" s="215"/>
      <c r="BO126" s="215"/>
      <c r="BP126" s="215"/>
      <c r="BQ126" s="215"/>
      <c r="BR126" s="215">
        <v>9000</v>
      </c>
      <c r="BS126" s="214">
        <f t="shared" si="132"/>
        <v>9000</v>
      </c>
      <c r="BT126" s="226"/>
      <c r="BU126" s="203">
        <f t="shared" si="133"/>
        <v>0</v>
      </c>
      <c r="BV126" s="203">
        <f t="shared" si="134"/>
        <v>0</v>
      </c>
      <c r="BW126" s="225"/>
      <c r="BX126" s="225"/>
      <c r="BY126" s="225"/>
      <c r="BZ126" s="225"/>
      <c r="CA126" s="225"/>
      <c r="CB126" s="225"/>
      <c r="CC126" s="214">
        <f t="shared" si="135"/>
        <v>0</v>
      </c>
    </row>
    <row r="127" spans="1:81" s="213" customFormat="1" ht="15.95" customHeight="1" x14ac:dyDescent="0.2">
      <c r="A127" s="228" t="s">
        <v>165</v>
      </c>
      <c r="B127" s="217"/>
      <c r="C127" s="203"/>
      <c r="D127" s="203"/>
      <c r="E127" s="215"/>
      <c r="F127" s="215"/>
      <c r="G127" s="215"/>
      <c r="H127" s="215"/>
      <c r="I127" s="215"/>
      <c r="J127" s="215"/>
      <c r="K127" s="214"/>
      <c r="L127" s="216"/>
      <c r="M127" s="203"/>
      <c r="N127" s="203"/>
      <c r="O127" s="215"/>
      <c r="P127" s="215"/>
      <c r="Q127" s="215"/>
      <c r="R127" s="215"/>
      <c r="S127" s="215"/>
      <c r="T127" s="215"/>
      <c r="U127" s="214"/>
      <c r="V127" s="216"/>
      <c r="W127" s="203"/>
      <c r="X127" s="203"/>
      <c r="Y127" s="215"/>
      <c r="Z127" s="215"/>
      <c r="AA127" s="215"/>
      <c r="AB127" s="215"/>
      <c r="AC127" s="215"/>
      <c r="AD127" s="215"/>
      <c r="AE127" s="214"/>
      <c r="AF127" s="216"/>
      <c r="AG127" s="203"/>
      <c r="AH127" s="203"/>
      <c r="AI127" s="215"/>
      <c r="AJ127" s="215"/>
      <c r="AK127" s="215"/>
      <c r="AL127" s="215"/>
      <c r="AM127" s="215"/>
      <c r="AN127" s="215"/>
      <c r="AO127" s="214"/>
      <c r="AP127" s="216"/>
      <c r="AQ127" s="203"/>
      <c r="AR127" s="203"/>
      <c r="AS127" s="215"/>
      <c r="AT127" s="215"/>
      <c r="AU127" s="215"/>
      <c r="AV127" s="215"/>
      <c r="AW127" s="215"/>
      <c r="AX127" s="215"/>
      <c r="AY127" s="214"/>
      <c r="AZ127" s="216"/>
      <c r="BA127" s="203"/>
      <c r="BB127" s="203"/>
      <c r="BC127" s="215"/>
      <c r="BD127" s="215"/>
      <c r="BE127" s="215"/>
      <c r="BF127" s="215"/>
      <c r="BG127" s="215"/>
      <c r="BH127" s="215"/>
      <c r="BI127" s="214"/>
      <c r="BJ127" s="216">
        <v>11</v>
      </c>
      <c r="BK127" s="203">
        <f t="shared" si="130"/>
        <v>64770.65</v>
      </c>
      <c r="BL127" s="203">
        <f t="shared" si="131"/>
        <v>5888.2409090909096</v>
      </c>
      <c r="BM127" s="215">
        <v>64770.65</v>
      </c>
      <c r="BN127" s="215"/>
      <c r="BO127" s="215"/>
      <c r="BP127" s="215"/>
      <c r="BQ127" s="215"/>
      <c r="BR127" s="215">
        <v>61174</v>
      </c>
      <c r="BS127" s="214">
        <f t="shared" si="132"/>
        <v>61174</v>
      </c>
      <c r="BT127" s="226">
        <v>11</v>
      </c>
      <c r="BU127" s="203">
        <f t="shared" si="133"/>
        <v>78977</v>
      </c>
      <c r="BV127" s="203">
        <f t="shared" si="134"/>
        <v>7179.727272727273</v>
      </c>
      <c r="BW127" s="225">
        <v>78977</v>
      </c>
      <c r="BX127" s="225"/>
      <c r="BY127" s="225"/>
      <c r="BZ127" s="225"/>
      <c r="CA127" s="225"/>
      <c r="CB127" s="225">
        <v>71555</v>
      </c>
      <c r="CC127" s="214">
        <f t="shared" si="135"/>
        <v>71555</v>
      </c>
    </row>
    <row r="128" spans="1:81" s="213" customFormat="1" ht="15.95" customHeight="1" x14ac:dyDescent="0.2">
      <c r="A128" s="228" t="s">
        <v>164</v>
      </c>
      <c r="B128" s="217"/>
      <c r="C128" s="203"/>
      <c r="D128" s="203"/>
      <c r="E128" s="215"/>
      <c r="F128" s="215"/>
      <c r="G128" s="215"/>
      <c r="H128" s="215"/>
      <c r="I128" s="215"/>
      <c r="J128" s="215"/>
      <c r="K128" s="214"/>
      <c r="L128" s="216"/>
      <c r="M128" s="203"/>
      <c r="N128" s="203"/>
      <c r="O128" s="215"/>
      <c r="P128" s="215"/>
      <c r="Q128" s="215"/>
      <c r="R128" s="215"/>
      <c r="S128" s="215"/>
      <c r="T128" s="215"/>
      <c r="U128" s="214"/>
      <c r="V128" s="216"/>
      <c r="W128" s="203"/>
      <c r="X128" s="203"/>
      <c r="Y128" s="215"/>
      <c r="Z128" s="215"/>
      <c r="AA128" s="215"/>
      <c r="AB128" s="215"/>
      <c r="AC128" s="215"/>
      <c r="AD128" s="215"/>
      <c r="AE128" s="214"/>
      <c r="AF128" s="216"/>
      <c r="AG128" s="203"/>
      <c r="AH128" s="203"/>
      <c r="AI128" s="215"/>
      <c r="AJ128" s="215"/>
      <c r="AK128" s="215"/>
      <c r="AL128" s="215"/>
      <c r="AM128" s="215"/>
      <c r="AN128" s="215"/>
      <c r="AO128" s="214"/>
      <c r="AP128" s="216"/>
      <c r="AQ128" s="203"/>
      <c r="AR128" s="203"/>
      <c r="AS128" s="215"/>
      <c r="AT128" s="215"/>
      <c r="AU128" s="215"/>
      <c r="AV128" s="215"/>
      <c r="AW128" s="215"/>
      <c r="AX128" s="215"/>
      <c r="AY128" s="214"/>
      <c r="AZ128" s="216"/>
      <c r="BA128" s="203"/>
      <c r="BB128" s="203"/>
      <c r="BC128" s="215"/>
      <c r="BD128" s="215"/>
      <c r="BE128" s="215"/>
      <c r="BF128" s="215"/>
      <c r="BG128" s="215"/>
      <c r="BH128" s="215"/>
      <c r="BI128" s="214"/>
      <c r="BJ128" s="216">
        <v>15</v>
      </c>
      <c r="BK128" s="203">
        <f t="shared" si="130"/>
        <v>34467</v>
      </c>
      <c r="BL128" s="203">
        <f t="shared" si="131"/>
        <v>2297.8000000000002</v>
      </c>
      <c r="BM128" s="215">
        <v>34467</v>
      </c>
      <c r="BN128" s="215"/>
      <c r="BO128" s="215"/>
      <c r="BP128" s="215"/>
      <c r="BQ128" s="215"/>
      <c r="BR128" s="215">
        <v>34467</v>
      </c>
      <c r="BS128" s="214">
        <f t="shared" si="132"/>
        <v>34467</v>
      </c>
      <c r="BT128" s="226">
        <v>11</v>
      </c>
      <c r="BU128" s="203">
        <f t="shared" si="133"/>
        <v>19500</v>
      </c>
      <c r="BV128" s="203">
        <f t="shared" si="134"/>
        <v>1772.7272727272727</v>
      </c>
      <c r="BW128" s="225">
        <v>19500</v>
      </c>
      <c r="BX128" s="225"/>
      <c r="BY128" s="225"/>
      <c r="BZ128" s="225"/>
      <c r="CA128" s="225"/>
      <c r="CB128" s="225">
        <v>19500</v>
      </c>
      <c r="CC128" s="214">
        <f t="shared" si="135"/>
        <v>19500</v>
      </c>
    </row>
    <row r="129" spans="1:81" s="213" customFormat="1" ht="15.95" customHeight="1" x14ac:dyDescent="0.2">
      <c r="A129" s="227"/>
      <c r="B129" s="217"/>
      <c r="C129" s="203"/>
      <c r="D129" s="203"/>
      <c r="E129" s="215"/>
      <c r="F129" s="215"/>
      <c r="G129" s="215"/>
      <c r="H129" s="215"/>
      <c r="I129" s="215"/>
      <c r="J129" s="215"/>
      <c r="K129" s="214"/>
      <c r="L129" s="216"/>
      <c r="M129" s="203"/>
      <c r="N129" s="203"/>
      <c r="O129" s="215"/>
      <c r="P129" s="215"/>
      <c r="Q129" s="215"/>
      <c r="R129" s="215"/>
      <c r="S129" s="215"/>
      <c r="T129" s="215"/>
      <c r="U129" s="214"/>
      <c r="V129" s="216"/>
      <c r="W129" s="203"/>
      <c r="X129" s="203"/>
      <c r="Y129" s="215"/>
      <c r="Z129" s="215"/>
      <c r="AA129" s="215"/>
      <c r="AB129" s="215"/>
      <c r="AC129" s="215"/>
      <c r="AD129" s="215"/>
      <c r="AE129" s="214"/>
      <c r="AF129" s="216"/>
      <c r="AG129" s="203"/>
      <c r="AH129" s="203"/>
      <c r="AI129" s="215"/>
      <c r="AJ129" s="215"/>
      <c r="AK129" s="215"/>
      <c r="AL129" s="215"/>
      <c r="AM129" s="215"/>
      <c r="AN129" s="215"/>
      <c r="AO129" s="214"/>
      <c r="AP129" s="216"/>
      <c r="AQ129" s="203"/>
      <c r="AR129" s="203"/>
      <c r="AS129" s="215"/>
      <c r="AT129" s="215"/>
      <c r="AU129" s="215"/>
      <c r="AV129" s="215"/>
      <c r="AW129" s="215"/>
      <c r="AX129" s="215"/>
      <c r="AY129" s="214"/>
      <c r="AZ129" s="216"/>
      <c r="BA129" s="203"/>
      <c r="BB129" s="203"/>
      <c r="BC129" s="215"/>
      <c r="BD129" s="215"/>
      <c r="BE129" s="215"/>
      <c r="BF129" s="215"/>
      <c r="BG129" s="215"/>
      <c r="BH129" s="215"/>
      <c r="BI129" s="214"/>
      <c r="BJ129" s="216"/>
      <c r="BK129" s="203">
        <f t="shared" si="130"/>
        <v>0</v>
      </c>
      <c r="BL129" s="203">
        <f t="shared" si="131"/>
        <v>0</v>
      </c>
      <c r="BM129" s="215"/>
      <c r="BN129" s="215"/>
      <c r="BO129" s="215"/>
      <c r="BP129" s="215"/>
      <c r="BQ129" s="215"/>
      <c r="BR129" s="215"/>
      <c r="BS129" s="214">
        <f t="shared" si="132"/>
        <v>0</v>
      </c>
      <c r="BT129" s="226"/>
      <c r="BU129" s="203">
        <f t="shared" si="133"/>
        <v>0</v>
      </c>
      <c r="BV129" s="203">
        <f t="shared" si="134"/>
        <v>0</v>
      </c>
      <c r="BW129" s="225"/>
      <c r="BX129" s="225"/>
      <c r="BY129" s="225"/>
      <c r="BZ129" s="225"/>
      <c r="CA129" s="225"/>
      <c r="CB129" s="225"/>
      <c r="CC129" s="214">
        <f t="shared" si="135"/>
        <v>0</v>
      </c>
    </row>
    <row r="130" spans="1:81" s="213" customFormat="1" ht="15.95" customHeight="1" x14ac:dyDescent="0.2">
      <c r="A130" s="227"/>
      <c r="B130" s="217"/>
      <c r="C130" s="203"/>
      <c r="D130" s="203"/>
      <c r="E130" s="215"/>
      <c r="F130" s="215"/>
      <c r="G130" s="215"/>
      <c r="H130" s="215"/>
      <c r="I130" s="215"/>
      <c r="J130" s="215"/>
      <c r="K130" s="214"/>
      <c r="L130" s="216"/>
      <c r="M130" s="203"/>
      <c r="N130" s="203"/>
      <c r="O130" s="215"/>
      <c r="P130" s="215"/>
      <c r="Q130" s="215"/>
      <c r="R130" s="215"/>
      <c r="S130" s="215"/>
      <c r="T130" s="215"/>
      <c r="U130" s="214"/>
      <c r="V130" s="216"/>
      <c r="W130" s="203"/>
      <c r="X130" s="203"/>
      <c r="Y130" s="215"/>
      <c r="Z130" s="215"/>
      <c r="AA130" s="215"/>
      <c r="AB130" s="215"/>
      <c r="AC130" s="215"/>
      <c r="AD130" s="215"/>
      <c r="AE130" s="214"/>
      <c r="AF130" s="216"/>
      <c r="AG130" s="203"/>
      <c r="AH130" s="203"/>
      <c r="AI130" s="215"/>
      <c r="AJ130" s="215"/>
      <c r="AK130" s="215"/>
      <c r="AL130" s="215"/>
      <c r="AM130" s="215"/>
      <c r="AN130" s="215"/>
      <c r="AO130" s="214"/>
      <c r="AP130" s="216"/>
      <c r="AQ130" s="203"/>
      <c r="AR130" s="203"/>
      <c r="AS130" s="215"/>
      <c r="AT130" s="215"/>
      <c r="AU130" s="215"/>
      <c r="AV130" s="215"/>
      <c r="AW130" s="215"/>
      <c r="AX130" s="215"/>
      <c r="AY130" s="214"/>
      <c r="AZ130" s="216"/>
      <c r="BA130" s="203"/>
      <c r="BB130" s="203"/>
      <c r="BC130" s="215"/>
      <c r="BD130" s="215"/>
      <c r="BE130" s="215"/>
      <c r="BF130" s="215"/>
      <c r="BG130" s="215"/>
      <c r="BH130" s="215"/>
      <c r="BI130" s="214"/>
      <c r="BJ130" s="216"/>
      <c r="BK130" s="203">
        <f t="shared" si="130"/>
        <v>0</v>
      </c>
      <c r="BL130" s="203">
        <f t="shared" si="131"/>
        <v>0</v>
      </c>
      <c r="BM130" s="215"/>
      <c r="BN130" s="215"/>
      <c r="BO130" s="215"/>
      <c r="BP130" s="215"/>
      <c r="BQ130" s="215"/>
      <c r="BR130" s="215"/>
      <c r="BS130" s="214">
        <f t="shared" si="132"/>
        <v>0</v>
      </c>
      <c r="BT130" s="226"/>
      <c r="BU130" s="203">
        <f t="shared" si="133"/>
        <v>0</v>
      </c>
      <c r="BV130" s="203">
        <f t="shared" si="134"/>
        <v>0</v>
      </c>
      <c r="BW130" s="225"/>
      <c r="BX130" s="225"/>
      <c r="BY130" s="225"/>
      <c r="BZ130" s="225"/>
      <c r="CA130" s="225"/>
      <c r="CB130" s="225"/>
      <c r="CC130" s="214">
        <f t="shared" si="135"/>
        <v>0</v>
      </c>
    </row>
    <row r="131" spans="1:81" s="213" customFormat="1" ht="15.95" customHeight="1" x14ac:dyDescent="0.2">
      <c r="A131" s="227"/>
      <c r="B131" s="217"/>
      <c r="C131" s="203"/>
      <c r="D131" s="203"/>
      <c r="E131" s="215"/>
      <c r="F131" s="215"/>
      <c r="G131" s="215"/>
      <c r="H131" s="215"/>
      <c r="I131" s="215"/>
      <c r="J131" s="215"/>
      <c r="K131" s="214"/>
      <c r="L131" s="216"/>
      <c r="M131" s="203"/>
      <c r="N131" s="203"/>
      <c r="O131" s="215"/>
      <c r="P131" s="215"/>
      <c r="Q131" s="215"/>
      <c r="R131" s="215"/>
      <c r="S131" s="215"/>
      <c r="T131" s="215"/>
      <c r="U131" s="214"/>
      <c r="V131" s="216"/>
      <c r="W131" s="203"/>
      <c r="X131" s="203"/>
      <c r="Y131" s="215"/>
      <c r="Z131" s="215"/>
      <c r="AA131" s="215"/>
      <c r="AB131" s="215"/>
      <c r="AC131" s="215"/>
      <c r="AD131" s="215"/>
      <c r="AE131" s="214"/>
      <c r="AF131" s="216"/>
      <c r="AG131" s="203"/>
      <c r="AH131" s="203"/>
      <c r="AI131" s="215"/>
      <c r="AJ131" s="215"/>
      <c r="AK131" s="215"/>
      <c r="AL131" s="215"/>
      <c r="AM131" s="215"/>
      <c r="AN131" s="215"/>
      <c r="AO131" s="214"/>
      <c r="AP131" s="216"/>
      <c r="AQ131" s="203"/>
      <c r="AR131" s="203"/>
      <c r="AS131" s="215"/>
      <c r="AT131" s="215"/>
      <c r="AU131" s="215"/>
      <c r="AV131" s="215"/>
      <c r="AW131" s="215"/>
      <c r="AX131" s="215"/>
      <c r="AY131" s="214"/>
      <c r="AZ131" s="216"/>
      <c r="BA131" s="203"/>
      <c r="BB131" s="203"/>
      <c r="BC131" s="215"/>
      <c r="BD131" s="215"/>
      <c r="BE131" s="215"/>
      <c r="BF131" s="215"/>
      <c r="BG131" s="215"/>
      <c r="BH131" s="215"/>
      <c r="BI131" s="214"/>
      <c r="BJ131" s="216"/>
      <c r="BK131" s="203">
        <f t="shared" si="130"/>
        <v>0</v>
      </c>
      <c r="BL131" s="203">
        <f t="shared" si="131"/>
        <v>0</v>
      </c>
      <c r="BM131" s="215"/>
      <c r="BN131" s="215"/>
      <c r="BO131" s="215"/>
      <c r="BP131" s="215"/>
      <c r="BQ131" s="215"/>
      <c r="BR131" s="215"/>
      <c r="BS131" s="214">
        <f t="shared" si="132"/>
        <v>0</v>
      </c>
      <c r="BT131" s="226"/>
      <c r="BU131" s="203">
        <f t="shared" si="133"/>
        <v>0</v>
      </c>
      <c r="BV131" s="203">
        <f t="shared" si="134"/>
        <v>0</v>
      </c>
      <c r="BW131" s="225"/>
      <c r="BX131" s="225"/>
      <c r="BY131" s="225"/>
      <c r="BZ131" s="225"/>
      <c r="CA131" s="225"/>
      <c r="CB131" s="225"/>
      <c r="CC131" s="214">
        <f t="shared" si="135"/>
        <v>0</v>
      </c>
    </row>
    <row r="132" spans="1:81" s="213" customFormat="1" ht="15.95" customHeight="1" x14ac:dyDescent="0.2">
      <c r="A132" s="227"/>
      <c r="B132" s="217"/>
      <c r="C132" s="203"/>
      <c r="D132" s="203"/>
      <c r="E132" s="215"/>
      <c r="F132" s="215"/>
      <c r="G132" s="215"/>
      <c r="H132" s="215"/>
      <c r="I132" s="215"/>
      <c r="J132" s="215"/>
      <c r="K132" s="214"/>
      <c r="L132" s="216"/>
      <c r="M132" s="203"/>
      <c r="N132" s="203"/>
      <c r="O132" s="215"/>
      <c r="P132" s="215"/>
      <c r="Q132" s="215"/>
      <c r="R132" s="215"/>
      <c r="S132" s="215"/>
      <c r="T132" s="215"/>
      <c r="U132" s="214"/>
      <c r="V132" s="216"/>
      <c r="W132" s="203"/>
      <c r="X132" s="203"/>
      <c r="Y132" s="215"/>
      <c r="Z132" s="215"/>
      <c r="AA132" s="215"/>
      <c r="AB132" s="215"/>
      <c r="AC132" s="215"/>
      <c r="AD132" s="215"/>
      <c r="AE132" s="214"/>
      <c r="AF132" s="216"/>
      <c r="AG132" s="203"/>
      <c r="AH132" s="203"/>
      <c r="AI132" s="215"/>
      <c r="AJ132" s="215"/>
      <c r="AK132" s="215"/>
      <c r="AL132" s="215"/>
      <c r="AM132" s="215"/>
      <c r="AN132" s="215"/>
      <c r="AO132" s="214"/>
      <c r="AP132" s="216"/>
      <c r="AQ132" s="203"/>
      <c r="AR132" s="203"/>
      <c r="AS132" s="215"/>
      <c r="AT132" s="215"/>
      <c r="AU132" s="215"/>
      <c r="AV132" s="215"/>
      <c r="AW132" s="215"/>
      <c r="AX132" s="215"/>
      <c r="AY132" s="214"/>
      <c r="AZ132" s="216"/>
      <c r="BA132" s="203"/>
      <c r="BB132" s="203"/>
      <c r="BC132" s="215"/>
      <c r="BD132" s="215"/>
      <c r="BE132" s="215"/>
      <c r="BF132" s="215"/>
      <c r="BG132" s="215"/>
      <c r="BH132" s="215"/>
      <c r="BI132" s="214"/>
      <c r="BJ132" s="216"/>
      <c r="BK132" s="203">
        <f t="shared" si="130"/>
        <v>0</v>
      </c>
      <c r="BL132" s="203">
        <f t="shared" si="131"/>
        <v>0</v>
      </c>
      <c r="BM132" s="215"/>
      <c r="BN132" s="215"/>
      <c r="BO132" s="215"/>
      <c r="BP132" s="215"/>
      <c r="BQ132" s="215"/>
      <c r="BR132" s="215"/>
      <c r="BS132" s="214">
        <f t="shared" si="132"/>
        <v>0</v>
      </c>
      <c r="BT132" s="226"/>
      <c r="BU132" s="203">
        <f t="shared" si="133"/>
        <v>0</v>
      </c>
      <c r="BV132" s="203">
        <f t="shared" si="134"/>
        <v>0</v>
      </c>
      <c r="BW132" s="225"/>
      <c r="BX132" s="225"/>
      <c r="BY132" s="225"/>
      <c r="BZ132" s="225"/>
      <c r="CA132" s="225"/>
      <c r="CB132" s="225"/>
      <c r="CC132" s="214">
        <f t="shared" si="135"/>
        <v>0</v>
      </c>
    </row>
    <row r="133" spans="1:81" s="213" customFormat="1" ht="15.95" customHeight="1" x14ac:dyDescent="0.2">
      <c r="A133" s="227"/>
      <c r="B133" s="217"/>
      <c r="C133" s="203"/>
      <c r="D133" s="203"/>
      <c r="E133" s="215"/>
      <c r="F133" s="215"/>
      <c r="G133" s="215"/>
      <c r="H133" s="215"/>
      <c r="I133" s="215"/>
      <c r="J133" s="215"/>
      <c r="K133" s="214"/>
      <c r="L133" s="216"/>
      <c r="M133" s="203"/>
      <c r="N133" s="203"/>
      <c r="O133" s="215"/>
      <c r="P133" s="215"/>
      <c r="Q133" s="215"/>
      <c r="R133" s="215"/>
      <c r="S133" s="215"/>
      <c r="T133" s="215"/>
      <c r="U133" s="214"/>
      <c r="V133" s="216"/>
      <c r="W133" s="203"/>
      <c r="X133" s="203"/>
      <c r="Y133" s="215"/>
      <c r="Z133" s="215"/>
      <c r="AA133" s="215"/>
      <c r="AB133" s="215"/>
      <c r="AC133" s="215"/>
      <c r="AD133" s="215"/>
      <c r="AE133" s="214"/>
      <c r="AF133" s="216"/>
      <c r="AG133" s="203"/>
      <c r="AH133" s="203"/>
      <c r="AI133" s="215"/>
      <c r="AJ133" s="215"/>
      <c r="AK133" s="215"/>
      <c r="AL133" s="215"/>
      <c r="AM133" s="215"/>
      <c r="AN133" s="215"/>
      <c r="AO133" s="214"/>
      <c r="AP133" s="216"/>
      <c r="AQ133" s="203"/>
      <c r="AR133" s="203"/>
      <c r="AS133" s="215"/>
      <c r="AT133" s="215"/>
      <c r="AU133" s="215"/>
      <c r="AV133" s="215"/>
      <c r="AW133" s="215"/>
      <c r="AX133" s="215"/>
      <c r="AY133" s="214"/>
      <c r="AZ133" s="216"/>
      <c r="BA133" s="203"/>
      <c r="BB133" s="203"/>
      <c r="BC133" s="215"/>
      <c r="BD133" s="215"/>
      <c r="BE133" s="215"/>
      <c r="BF133" s="215"/>
      <c r="BG133" s="215"/>
      <c r="BH133" s="215"/>
      <c r="BI133" s="214"/>
      <c r="BJ133" s="216"/>
      <c r="BK133" s="203">
        <f t="shared" si="130"/>
        <v>0</v>
      </c>
      <c r="BL133" s="203">
        <f t="shared" si="131"/>
        <v>0</v>
      </c>
      <c r="BM133" s="215"/>
      <c r="BN133" s="215"/>
      <c r="BO133" s="215"/>
      <c r="BP133" s="215"/>
      <c r="BQ133" s="215"/>
      <c r="BR133" s="215"/>
      <c r="BS133" s="214">
        <f t="shared" si="132"/>
        <v>0</v>
      </c>
      <c r="BT133" s="226"/>
      <c r="BU133" s="203">
        <f t="shared" si="133"/>
        <v>0</v>
      </c>
      <c r="BV133" s="203">
        <f t="shared" si="134"/>
        <v>0</v>
      </c>
      <c r="BW133" s="225"/>
      <c r="BX133" s="225"/>
      <c r="BY133" s="225"/>
      <c r="BZ133" s="225"/>
      <c r="CA133" s="225"/>
      <c r="CB133" s="225"/>
      <c r="CC133" s="214">
        <f t="shared" si="135"/>
        <v>0</v>
      </c>
    </row>
    <row r="134" spans="1:81" ht="15.95" customHeight="1" x14ac:dyDescent="0.2">
      <c r="A134" s="224" t="s">
        <v>163</v>
      </c>
      <c r="B134" s="223"/>
      <c r="C134" s="221"/>
      <c r="D134" s="221"/>
      <c r="E134" s="220"/>
      <c r="F134" s="220"/>
      <c r="G134" s="220"/>
      <c r="H134" s="220"/>
      <c r="I134" s="220"/>
      <c r="J134" s="220"/>
      <c r="K134" s="214"/>
      <c r="L134" s="222"/>
      <c r="M134" s="221"/>
      <c r="N134" s="221"/>
      <c r="O134" s="220"/>
      <c r="P134" s="220"/>
      <c r="Q134" s="220"/>
      <c r="R134" s="220"/>
      <c r="S134" s="220"/>
      <c r="T134" s="220"/>
      <c r="U134" s="214"/>
      <c r="V134" s="222"/>
      <c r="W134" s="221"/>
      <c r="X134" s="221"/>
      <c r="Y134" s="220"/>
      <c r="Z134" s="220"/>
      <c r="AA134" s="220"/>
      <c r="AB134" s="220"/>
      <c r="AC134" s="220"/>
      <c r="AD134" s="220"/>
      <c r="AE134" s="214"/>
      <c r="AF134" s="216"/>
      <c r="AG134" s="203"/>
      <c r="AH134" s="203"/>
      <c r="AI134" s="215"/>
      <c r="AJ134" s="215"/>
      <c r="AK134" s="215"/>
      <c r="AL134" s="215"/>
      <c r="AM134" s="215"/>
      <c r="AN134" s="215"/>
      <c r="AO134" s="214"/>
      <c r="AP134" s="216"/>
      <c r="AQ134" s="203"/>
      <c r="AR134" s="203"/>
      <c r="AS134" s="215"/>
      <c r="AT134" s="215"/>
      <c r="AU134" s="215"/>
      <c r="AV134" s="215"/>
      <c r="AW134" s="215"/>
      <c r="AX134" s="215"/>
      <c r="AY134" s="214"/>
      <c r="AZ134" s="216"/>
      <c r="BA134" s="203"/>
      <c r="BB134" s="203"/>
      <c r="BC134" s="215"/>
      <c r="BD134" s="215"/>
      <c r="BE134" s="215"/>
      <c r="BF134" s="215"/>
      <c r="BG134" s="215"/>
      <c r="BH134" s="215"/>
      <c r="BI134" s="214"/>
      <c r="BJ134" s="216"/>
      <c r="BK134" s="203"/>
      <c r="BL134" s="203"/>
      <c r="BM134" s="215"/>
      <c r="BN134" s="215"/>
      <c r="BO134" s="215"/>
      <c r="BP134" s="215"/>
      <c r="BQ134" s="215"/>
      <c r="BR134" s="215"/>
      <c r="BS134" s="214"/>
      <c r="BT134" s="216"/>
      <c r="BU134" s="203"/>
      <c r="BV134" s="203"/>
      <c r="BW134" s="215"/>
      <c r="BX134" s="215"/>
      <c r="BY134" s="215"/>
      <c r="BZ134" s="215"/>
      <c r="CA134" s="215"/>
      <c r="CB134" s="215"/>
      <c r="CC134" s="214"/>
    </row>
    <row r="135" spans="1:81" s="213" customFormat="1" ht="15.95" customHeight="1" x14ac:dyDescent="0.2">
      <c r="A135" s="219" t="s">
        <v>162</v>
      </c>
      <c r="B135" s="211">
        <f>SUM(B$116:B134)</f>
        <v>0</v>
      </c>
      <c r="C135" s="203">
        <f>SUM(C$116:C134)</f>
        <v>2271562</v>
      </c>
      <c r="D135" s="203">
        <f>IFERROR(C135/B135,0)</f>
        <v>0</v>
      </c>
      <c r="E135" s="202">
        <f>SUM(E$116:E134)</f>
        <v>2271562</v>
      </c>
      <c r="F135" s="202">
        <f>SUM(F$116:F134)</f>
        <v>0</v>
      </c>
      <c r="G135" s="202">
        <f>SUM(G$116:G134)</f>
        <v>0</v>
      </c>
      <c r="H135" s="202">
        <f>SUM(H$116:H134)</f>
        <v>0</v>
      </c>
      <c r="I135" s="202">
        <f>SUM(I$116:I134)</f>
        <v>0</v>
      </c>
      <c r="J135" s="202">
        <f>SUM(J$116:J134)</f>
        <v>0</v>
      </c>
      <c r="K135" s="214">
        <f>SUM(K$116:K134)</f>
        <v>0</v>
      </c>
      <c r="L135" s="205">
        <f>SUM(L$116:L134)</f>
        <v>7068</v>
      </c>
      <c r="M135" s="203">
        <f>SUM(M$116:M134)</f>
        <v>43471385</v>
      </c>
      <c r="N135" s="203">
        <f>IFERROR(M135/L135,0)</f>
        <v>6150.4506225240521</v>
      </c>
      <c r="O135" s="202">
        <f>SUM(O$116:O134)</f>
        <v>2801801</v>
      </c>
      <c r="P135" s="202">
        <f>SUM(P$116:P134)</f>
        <v>0</v>
      </c>
      <c r="Q135" s="202">
        <f>SUM(Q$116:Q134)</f>
        <v>8105703</v>
      </c>
      <c r="R135" s="202">
        <f>SUM(R$116:R134)</f>
        <v>32563881</v>
      </c>
      <c r="S135" s="202">
        <f>SUM(S$116:S134)</f>
        <v>0</v>
      </c>
      <c r="T135" s="202">
        <f>SUM(T$116:T134)</f>
        <v>34929225</v>
      </c>
      <c r="U135" s="214">
        <f>SUM(U$116:U134)</f>
        <v>0</v>
      </c>
      <c r="V135" s="205">
        <f>SUM(V$116:V134)</f>
        <v>6842</v>
      </c>
      <c r="W135" s="203">
        <f>SUM(W$116:W134)</f>
        <v>42700998</v>
      </c>
      <c r="X135" s="203">
        <f>IFERROR(W135/V135,0)</f>
        <v>6241.011107863198</v>
      </c>
      <c r="Y135" s="202">
        <f>SUM(Y$116:Y134)</f>
        <v>3507034</v>
      </c>
      <c r="Z135" s="202">
        <f>SUM(Z$116:Z134)</f>
        <v>0</v>
      </c>
      <c r="AA135" s="202">
        <f>SUM(AA$116:AA134)</f>
        <v>0</v>
      </c>
      <c r="AB135" s="202">
        <f>SUM(AB$116:AB134)</f>
        <v>39193964</v>
      </c>
      <c r="AC135" s="202">
        <f>SUM(AC$116:AC134)</f>
        <v>0</v>
      </c>
      <c r="AD135" s="202">
        <f>SUM(AD$116:AD134)</f>
        <v>33275447</v>
      </c>
      <c r="AE135" s="214">
        <f>SUM(AE$116:AE134)</f>
        <v>0</v>
      </c>
      <c r="AF135" s="205">
        <f>SUM(AF$116:AF134)</f>
        <v>6250</v>
      </c>
      <c r="AG135" s="203">
        <f>SUM(AG$116:AG134)</f>
        <v>39376018</v>
      </c>
      <c r="AH135" s="203">
        <f>IFERROR(AG135/AF135,0)</f>
        <v>6300.1628799999999</v>
      </c>
      <c r="AI135" s="202">
        <f>SUM(AI$116:AI134)</f>
        <v>2763182</v>
      </c>
      <c r="AJ135" s="202">
        <f>SUM(AJ$116:AJ134)</f>
        <v>0</v>
      </c>
      <c r="AK135" s="202">
        <f>SUM(AK$116:AK134)</f>
        <v>0</v>
      </c>
      <c r="AL135" s="202">
        <f>SUM(AL$116:AL134)</f>
        <v>36612836</v>
      </c>
      <c r="AM135" s="202">
        <f>SUM(AM$116:AM134)</f>
        <v>0</v>
      </c>
      <c r="AN135" s="202">
        <f>SUM(AN$116:AN134)</f>
        <v>30858439</v>
      </c>
      <c r="AO135" s="214">
        <f>SUM(AO$116:AO134)</f>
        <v>0</v>
      </c>
      <c r="AP135" s="205">
        <f>SUM(AP$116:AP134)</f>
        <v>5544</v>
      </c>
      <c r="AQ135" s="203">
        <f>SUM(AQ$116:AQ134)</f>
        <v>35270480</v>
      </c>
      <c r="AR135" s="203">
        <f>IFERROR(AQ135/AP135,0)</f>
        <v>6361.9191919191917</v>
      </c>
      <c r="AS135" s="202">
        <f>SUM(AS$116:AS134)</f>
        <v>723325</v>
      </c>
      <c r="AT135" s="202">
        <f>SUM(AT$116:AT134)</f>
        <v>0</v>
      </c>
      <c r="AU135" s="202">
        <f>SUM(AU$116:AU134)</f>
        <v>0</v>
      </c>
      <c r="AV135" s="202">
        <f>SUM(AV$116:AV134)</f>
        <v>34547155</v>
      </c>
      <c r="AW135" s="202">
        <f>SUM(AW$116:AW134)</f>
        <v>0</v>
      </c>
      <c r="AX135" s="202">
        <f>SUM(AX$116:AX134)</f>
        <v>28939708</v>
      </c>
      <c r="AY135" s="214">
        <f>SUM(AY$116:AY134)</f>
        <v>0</v>
      </c>
      <c r="AZ135" s="205">
        <f>SUM(AZ$116:AZ134)</f>
        <v>5148</v>
      </c>
      <c r="BA135" s="203">
        <f>SUM(BA$116:BA134)</f>
        <v>33462839.329999998</v>
      </c>
      <c r="BB135" s="203">
        <f>IFERROR(BA135/AZ135,0)</f>
        <v>6500.16304001554</v>
      </c>
      <c r="BC135" s="202">
        <f>SUM(BC$116:BC134)</f>
        <v>607977.32999999996</v>
      </c>
      <c r="BD135" s="202">
        <f>SUM(BD$116:BD134)</f>
        <v>0</v>
      </c>
      <c r="BE135" s="202">
        <f>SUM(BE$116:BE134)</f>
        <v>0</v>
      </c>
      <c r="BF135" s="202">
        <f>SUM(BF$116:BF134)</f>
        <v>32972134</v>
      </c>
      <c r="BG135" s="202">
        <f>SUM(BG$116:BG134)</f>
        <v>0</v>
      </c>
      <c r="BH135" s="202">
        <f>SUM(BH$116:BH134)</f>
        <v>27988865</v>
      </c>
      <c r="BI135" s="214">
        <f>SUM(BI$116:BI134)</f>
        <v>549048</v>
      </c>
      <c r="BJ135" s="205">
        <f>SUM(BJ$116:BJ134)</f>
        <v>6629</v>
      </c>
      <c r="BK135" s="203">
        <f>SUM(BK$116:BK134)</f>
        <v>31178954.319999997</v>
      </c>
      <c r="BL135" s="203">
        <f>IFERROR(BK135/BJ135,0)</f>
        <v>4703.4174566299589</v>
      </c>
      <c r="BM135" s="202">
        <f>SUM(BM$116:BM134)</f>
        <v>599846.31999999995</v>
      </c>
      <c r="BN135" s="202">
        <f>SUM(BN$116:BN134)</f>
        <v>0</v>
      </c>
      <c r="BO135" s="202">
        <f>SUM(BO$116:BO134)</f>
        <v>0</v>
      </c>
      <c r="BP135" s="202">
        <f>SUM(BP$116:BP134)</f>
        <v>30579108</v>
      </c>
      <c r="BQ135" s="202">
        <f>SUM(BQ$116:BQ134)</f>
        <v>0</v>
      </c>
      <c r="BR135" s="202">
        <f>SUM(BR$116:BR134)</f>
        <v>25637256</v>
      </c>
      <c r="BS135" s="214">
        <f>SUM(BS$116:BS134)</f>
        <v>519713</v>
      </c>
      <c r="BT135" s="205">
        <f>SUM(BT$116:BT134)</f>
        <v>6722</v>
      </c>
      <c r="BU135" s="203">
        <f>SUM(BU$116:BU134)</f>
        <v>30783387</v>
      </c>
      <c r="BV135" s="203">
        <f>IFERROR(BU135/BT135,0)</f>
        <v>4579.4982148170184</v>
      </c>
      <c r="BW135" s="202">
        <f>SUM(BW$116:BW134)</f>
        <v>692034</v>
      </c>
      <c r="BX135" s="202">
        <f>SUM(BX$116:BX134)</f>
        <v>0</v>
      </c>
      <c r="BY135" s="202">
        <f>SUM(BY$116:BY134)</f>
        <v>0</v>
      </c>
      <c r="BZ135" s="202">
        <f>SUM(BZ$116:BZ134)</f>
        <v>30091353</v>
      </c>
      <c r="CA135" s="202">
        <f>SUM(CA$116:CA134)</f>
        <v>0</v>
      </c>
      <c r="CB135" s="202">
        <f>SUM(CB$116:CB134)</f>
        <v>25058398</v>
      </c>
      <c r="CC135" s="214">
        <f>SUM(CC$116:CC134)</f>
        <v>523638</v>
      </c>
    </row>
    <row r="136" spans="1:81" s="213" customFormat="1" ht="15.95" customHeight="1" x14ac:dyDescent="0.2">
      <c r="A136" s="218"/>
      <c r="B136" s="217"/>
      <c r="C136" s="203"/>
      <c r="D136" s="203"/>
      <c r="E136" s="215"/>
      <c r="F136" s="215"/>
      <c r="G136" s="215"/>
      <c r="H136" s="215"/>
      <c r="I136" s="215"/>
      <c r="J136" s="215"/>
      <c r="K136" s="214"/>
      <c r="L136" s="216"/>
      <c r="M136" s="203"/>
      <c r="N136" s="203"/>
      <c r="O136" s="215"/>
      <c r="P136" s="215"/>
      <c r="Q136" s="215"/>
      <c r="R136" s="215"/>
      <c r="S136" s="215"/>
      <c r="T136" s="215"/>
      <c r="U136" s="214"/>
      <c r="V136" s="216"/>
      <c r="W136" s="203"/>
      <c r="X136" s="203"/>
      <c r="Y136" s="215"/>
      <c r="Z136" s="215"/>
      <c r="AA136" s="215"/>
      <c r="AB136" s="215"/>
      <c r="AC136" s="215"/>
      <c r="AD136" s="215"/>
      <c r="AE136" s="214"/>
      <c r="AF136" s="216"/>
      <c r="AG136" s="203"/>
      <c r="AH136" s="203"/>
      <c r="AI136" s="215"/>
      <c r="AJ136" s="215"/>
      <c r="AK136" s="215"/>
      <c r="AL136" s="215"/>
      <c r="AM136" s="215"/>
      <c r="AN136" s="215"/>
      <c r="AO136" s="214"/>
      <c r="AP136" s="216"/>
      <c r="AQ136" s="203"/>
      <c r="AR136" s="203"/>
      <c r="AS136" s="215"/>
      <c r="AT136" s="215"/>
      <c r="AU136" s="215"/>
      <c r="AV136" s="215"/>
      <c r="AW136" s="215"/>
      <c r="AX136" s="215"/>
      <c r="AY136" s="214"/>
      <c r="AZ136" s="216"/>
      <c r="BA136" s="203"/>
      <c r="BB136" s="203"/>
      <c r="BC136" s="215"/>
      <c r="BD136" s="215"/>
      <c r="BE136" s="215"/>
      <c r="BF136" s="215"/>
      <c r="BG136" s="215"/>
      <c r="BH136" s="215"/>
      <c r="BI136" s="214"/>
      <c r="BJ136" s="216"/>
      <c r="BK136" s="203"/>
      <c r="BL136" s="203"/>
      <c r="BM136" s="215"/>
      <c r="BN136" s="215"/>
      <c r="BO136" s="215"/>
      <c r="BP136" s="215"/>
      <c r="BQ136" s="215"/>
      <c r="BR136" s="215"/>
      <c r="BS136" s="214"/>
      <c r="BT136" s="216"/>
      <c r="BU136" s="203"/>
      <c r="BV136" s="203"/>
      <c r="BW136" s="215"/>
      <c r="BX136" s="215"/>
      <c r="BY136" s="215"/>
      <c r="BZ136" s="215"/>
      <c r="CA136" s="215"/>
      <c r="CB136" s="215"/>
      <c r="CC136" s="214"/>
    </row>
    <row r="137" spans="1:81" s="200" customFormat="1" ht="33" customHeight="1" x14ac:dyDescent="0.2">
      <c r="A137" s="212" t="s">
        <v>161</v>
      </c>
      <c r="B137" s="211">
        <f>SUM(B135,B114,B88)</f>
        <v>0</v>
      </c>
      <c r="C137" s="210">
        <f>SUM(C135,C114,C88)</f>
        <v>27807471</v>
      </c>
      <c r="D137" s="203">
        <f>IFERROR(C137/B137,0)</f>
        <v>0</v>
      </c>
      <c r="E137" s="202">
        <f t="shared" ref="E137:M137" si="136">SUM(E135,E114,E88)</f>
        <v>21860806</v>
      </c>
      <c r="F137" s="202">
        <f t="shared" si="136"/>
        <v>2965967</v>
      </c>
      <c r="G137" s="202">
        <f t="shared" si="136"/>
        <v>2980698</v>
      </c>
      <c r="H137" s="202">
        <f t="shared" si="136"/>
        <v>0</v>
      </c>
      <c r="I137" s="202">
        <f t="shared" si="136"/>
        <v>0</v>
      </c>
      <c r="J137" s="209">
        <f t="shared" si="136"/>
        <v>0</v>
      </c>
      <c r="K137" s="208">
        <f t="shared" si="136"/>
        <v>0</v>
      </c>
      <c r="L137" s="207">
        <f t="shared" si="136"/>
        <v>30846</v>
      </c>
      <c r="M137" s="204">
        <f t="shared" si="136"/>
        <v>128922383</v>
      </c>
      <c r="N137" s="204">
        <f>IFERROR(M137/L137,0)</f>
        <v>4179.5494715684372</v>
      </c>
      <c r="O137" s="206">
        <f t="shared" ref="O137:W137" si="137">SUM(O135,O114,O88)</f>
        <v>23577977</v>
      </c>
      <c r="P137" s="206">
        <f t="shared" si="137"/>
        <v>3041000</v>
      </c>
      <c r="Q137" s="206">
        <f t="shared" si="137"/>
        <v>13520746</v>
      </c>
      <c r="R137" s="206">
        <f t="shared" si="137"/>
        <v>67649976</v>
      </c>
      <c r="S137" s="206">
        <f t="shared" si="137"/>
        <v>21436684</v>
      </c>
      <c r="T137" s="206">
        <f t="shared" si="137"/>
        <v>107469184</v>
      </c>
      <c r="U137" s="201">
        <f t="shared" si="137"/>
        <v>13029794</v>
      </c>
      <c r="V137" s="205">
        <f t="shared" si="137"/>
        <v>30851</v>
      </c>
      <c r="W137" s="204">
        <f t="shared" si="137"/>
        <v>133620254</v>
      </c>
      <c r="X137" s="203">
        <f>IFERROR(W137/V137,0)</f>
        <v>4331.1482285825423</v>
      </c>
      <c r="Y137" s="202">
        <f t="shared" ref="Y137:AG137" si="138">SUM(Y135,Y114,Y88)</f>
        <v>25293470</v>
      </c>
      <c r="Z137" s="202">
        <f t="shared" si="138"/>
        <v>3205000</v>
      </c>
      <c r="AA137" s="202">
        <f t="shared" si="138"/>
        <v>5447101</v>
      </c>
      <c r="AB137" s="202">
        <f t="shared" si="138"/>
        <v>77318575</v>
      </c>
      <c r="AC137" s="202">
        <f t="shared" si="138"/>
        <v>22356108</v>
      </c>
      <c r="AD137" s="202">
        <f t="shared" si="138"/>
        <v>109951424</v>
      </c>
      <c r="AE137" s="201">
        <f t="shared" si="138"/>
        <v>13526067</v>
      </c>
      <c r="AF137" s="205">
        <f t="shared" si="138"/>
        <v>30571</v>
      </c>
      <c r="AG137" s="204">
        <f t="shared" si="138"/>
        <v>133081154</v>
      </c>
      <c r="AH137" s="203">
        <f>IFERROR(AG137/AF137,0)</f>
        <v>4353.1828857413893</v>
      </c>
      <c r="AI137" s="202">
        <f t="shared" ref="AI137:AQ137" si="139">SUM(AI135,AI114,AI88)</f>
        <v>25899145</v>
      </c>
      <c r="AJ137" s="202">
        <f t="shared" si="139"/>
        <v>4890180</v>
      </c>
      <c r="AK137" s="202">
        <f t="shared" si="139"/>
        <v>5251700</v>
      </c>
      <c r="AL137" s="202">
        <f t="shared" si="139"/>
        <v>73297084</v>
      </c>
      <c r="AM137" s="202">
        <f t="shared" si="139"/>
        <v>23743045</v>
      </c>
      <c r="AN137" s="202">
        <f t="shared" si="139"/>
        <v>108847771</v>
      </c>
      <c r="AO137" s="201">
        <f t="shared" si="139"/>
        <v>14227420</v>
      </c>
      <c r="AP137" s="205">
        <f t="shared" si="139"/>
        <v>30366</v>
      </c>
      <c r="AQ137" s="204">
        <f t="shared" si="139"/>
        <v>130124928</v>
      </c>
      <c r="AR137" s="203">
        <f>IFERROR(AQ137/AP137,0)</f>
        <v>4285.2179411183561</v>
      </c>
      <c r="AS137" s="202">
        <f t="shared" ref="AS137:BA137" si="140">SUM(AS135,AS114,AS88)</f>
        <v>25829672</v>
      </c>
      <c r="AT137" s="202">
        <f t="shared" si="140"/>
        <v>4339031</v>
      </c>
      <c r="AU137" s="202">
        <f t="shared" si="140"/>
        <v>5262931</v>
      </c>
      <c r="AV137" s="202">
        <f t="shared" si="140"/>
        <v>69746009</v>
      </c>
      <c r="AW137" s="202">
        <f t="shared" si="140"/>
        <v>24947285</v>
      </c>
      <c r="AX137" s="202">
        <f t="shared" si="140"/>
        <v>106845443</v>
      </c>
      <c r="AY137" s="201">
        <f t="shared" si="140"/>
        <v>15711762</v>
      </c>
      <c r="AZ137" s="205">
        <f t="shared" si="140"/>
        <v>30146</v>
      </c>
      <c r="BA137" s="204">
        <f t="shared" si="140"/>
        <v>129922975.88000001</v>
      </c>
      <c r="BB137" s="203">
        <f>IFERROR(BA137/AZ137,0)</f>
        <v>4309.7915438200762</v>
      </c>
      <c r="BC137" s="202">
        <f t="shared" ref="BC137:BK137" si="141">SUM(BC135,BC114,BC88)</f>
        <v>25151330.880000003</v>
      </c>
      <c r="BD137" s="202">
        <f t="shared" si="141"/>
        <v>6412558</v>
      </c>
      <c r="BE137" s="202">
        <f t="shared" si="141"/>
        <v>6052698</v>
      </c>
      <c r="BF137" s="202">
        <f t="shared" si="141"/>
        <v>67513120</v>
      </c>
      <c r="BG137" s="202">
        <f t="shared" si="141"/>
        <v>24910541</v>
      </c>
      <c r="BH137" s="202">
        <f t="shared" si="141"/>
        <v>111656793.39</v>
      </c>
      <c r="BI137" s="201">
        <f t="shared" si="141"/>
        <v>18252256.300000001</v>
      </c>
      <c r="BJ137" s="205">
        <f t="shared" si="141"/>
        <v>31722</v>
      </c>
      <c r="BK137" s="204">
        <f t="shared" si="141"/>
        <v>128508957.63</v>
      </c>
      <c r="BL137" s="203">
        <f>IFERROR(BK137/BJ137,0)</f>
        <v>4051.0988471723094</v>
      </c>
      <c r="BM137" s="202">
        <f t="shared" ref="BM137:BU137" si="142">SUM(BM135,BM114,BM88)</f>
        <v>28087230.629999999</v>
      </c>
      <c r="BN137" s="202">
        <f t="shared" si="142"/>
        <v>6644230</v>
      </c>
      <c r="BO137" s="202">
        <f t="shared" si="142"/>
        <v>6202684</v>
      </c>
      <c r="BP137" s="202">
        <f t="shared" si="142"/>
        <v>63090745</v>
      </c>
      <c r="BQ137" s="202">
        <f t="shared" si="142"/>
        <v>24484068</v>
      </c>
      <c r="BR137" s="202">
        <f t="shared" si="142"/>
        <v>97522286.720000014</v>
      </c>
      <c r="BS137" s="201">
        <f t="shared" si="142"/>
        <v>19121139.390000001</v>
      </c>
      <c r="BT137" s="205">
        <f t="shared" si="142"/>
        <v>32672</v>
      </c>
      <c r="BU137" s="204">
        <f t="shared" si="142"/>
        <v>131439911.75</v>
      </c>
      <c r="BV137" s="203">
        <f>IFERROR(BU137/BT137,0)</f>
        <v>4023.013949253183</v>
      </c>
      <c r="BW137" s="202">
        <f t="shared" ref="BW137:CC137" si="143">SUM(BW135,BW114,BW88)</f>
        <v>25881235.75</v>
      </c>
      <c r="BX137" s="202">
        <f t="shared" si="143"/>
        <v>7005000</v>
      </c>
      <c r="BY137" s="202">
        <f t="shared" si="143"/>
        <v>9805229</v>
      </c>
      <c r="BZ137" s="202">
        <f t="shared" si="143"/>
        <v>62549241</v>
      </c>
      <c r="CA137" s="202">
        <f t="shared" si="143"/>
        <v>26199206</v>
      </c>
      <c r="CB137" s="202">
        <f t="shared" si="143"/>
        <v>92610453.539000005</v>
      </c>
      <c r="CC137" s="201">
        <f t="shared" si="143"/>
        <v>19510840.75</v>
      </c>
    </row>
    <row r="138" spans="1:81" s="196" customFormat="1" ht="50.25" customHeight="1" x14ac:dyDescent="0.25">
      <c r="A138" s="199" t="s">
        <v>160</v>
      </c>
      <c r="B138" s="198" t="str">
        <f>B2</f>
        <v>2015-16</v>
      </c>
      <c r="C138" s="466" t="str">
        <f>B138&amp;" COMMENTS"</f>
        <v>2015-16 COMMENTS</v>
      </c>
      <c r="D138" s="467"/>
      <c r="E138" s="467"/>
      <c r="F138" s="467"/>
      <c r="G138" s="467"/>
      <c r="H138" s="467"/>
      <c r="I138" s="467"/>
      <c r="J138" s="467"/>
      <c r="K138" s="468"/>
      <c r="L138" s="197" t="str">
        <f>L2</f>
        <v>2016-17</v>
      </c>
      <c r="M138" s="466" t="str">
        <f>L138&amp;" COMMENTS"</f>
        <v>2016-17 COMMENTS</v>
      </c>
      <c r="N138" s="467"/>
      <c r="O138" s="467"/>
      <c r="P138" s="467"/>
      <c r="Q138" s="467"/>
      <c r="R138" s="467"/>
      <c r="S138" s="467"/>
      <c r="T138" s="467"/>
      <c r="U138" s="468"/>
      <c r="V138" s="197" t="str">
        <f>V2</f>
        <v>2017-18</v>
      </c>
      <c r="W138" s="466" t="str">
        <f>V138&amp;" COMMENTS"</f>
        <v>2017-18 COMMENTS</v>
      </c>
      <c r="X138" s="467"/>
      <c r="Y138" s="467"/>
      <c r="Z138" s="467"/>
      <c r="AA138" s="467"/>
      <c r="AB138" s="467"/>
      <c r="AC138" s="467"/>
      <c r="AD138" s="467"/>
      <c r="AE138" s="468"/>
      <c r="AF138" s="198" t="str">
        <f>AF2</f>
        <v>2018-19</v>
      </c>
      <c r="AG138" s="466" t="str">
        <f>AF138&amp;" COMMENTS"</f>
        <v>2018-19 COMMENTS</v>
      </c>
      <c r="AH138" s="467"/>
      <c r="AI138" s="467"/>
      <c r="AJ138" s="467"/>
      <c r="AK138" s="467"/>
      <c r="AL138" s="467"/>
      <c r="AM138" s="467"/>
      <c r="AN138" s="467"/>
      <c r="AO138" s="468"/>
      <c r="AP138" s="197" t="str">
        <f>AP2</f>
        <v>2019-20</v>
      </c>
      <c r="AQ138" s="466" t="str">
        <f>AP138&amp;" COMMENTS"</f>
        <v>2019-20 COMMENTS</v>
      </c>
      <c r="AR138" s="467"/>
      <c r="AS138" s="467"/>
      <c r="AT138" s="467"/>
      <c r="AU138" s="467"/>
      <c r="AV138" s="467"/>
      <c r="AW138" s="467"/>
      <c r="AX138" s="467"/>
      <c r="AY138" s="468"/>
      <c r="AZ138" s="197" t="str">
        <f>AZ2</f>
        <v>2020-21</v>
      </c>
      <c r="BA138" s="466" t="str">
        <f>AZ138&amp;" COMMENTS"</f>
        <v>2020-21 COMMENTS</v>
      </c>
      <c r="BB138" s="467"/>
      <c r="BC138" s="467"/>
      <c r="BD138" s="467"/>
      <c r="BE138" s="467"/>
      <c r="BF138" s="467"/>
      <c r="BG138" s="467"/>
      <c r="BH138" s="467"/>
      <c r="BI138" s="468"/>
      <c r="BJ138" s="197" t="str">
        <f>BJ2</f>
        <v>2021-22</v>
      </c>
      <c r="BK138" s="466" t="str">
        <f>BJ138&amp;" COMMENTS"</f>
        <v>2021-22 COMMENTS</v>
      </c>
      <c r="BL138" s="467"/>
      <c r="BM138" s="467"/>
      <c r="BN138" s="467"/>
      <c r="BO138" s="467"/>
      <c r="BP138" s="467"/>
      <c r="BQ138" s="467"/>
      <c r="BR138" s="467"/>
      <c r="BS138" s="468"/>
      <c r="BT138" s="197" t="str">
        <f>BT2</f>
        <v>2022-23</v>
      </c>
      <c r="BU138" s="466" t="str">
        <f>BT138&amp;" COMMENTS"</f>
        <v>2022-23 COMMENTS</v>
      </c>
      <c r="BV138" s="467"/>
      <c r="BW138" s="467"/>
      <c r="BX138" s="467"/>
      <c r="BY138" s="467"/>
      <c r="BZ138" s="467"/>
      <c r="CA138" s="467"/>
      <c r="CB138" s="467"/>
      <c r="CC138" s="468"/>
    </row>
    <row r="139" spans="1:81" s="180" customFormat="1" ht="20.25" customHeight="1" x14ac:dyDescent="0.2">
      <c r="A139" s="187" t="s">
        <v>159</v>
      </c>
      <c r="B139" s="195">
        <v>15526</v>
      </c>
      <c r="C139" s="469"/>
      <c r="D139" s="470"/>
      <c r="E139" s="470"/>
      <c r="F139" s="470"/>
      <c r="G139" s="470"/>
      <c r="H139" s="470"/>
      <c r="I139" s="470"/>
      <c r="J139" s="470"/>
      <c r="K139" s="471"/>
      <c r="L139" s="195">
        <v>15627</v>
      </c>
      <c r="M139" s="469"/>
      <c r="N139" s="470"/>
      <c r="O139" s="470"/>
      <c r="P139" s="470"/>
      <c r="Q139" s="470"/>
      <c r="R139" s="470"/>
      <c r="S139" s="470"/>
      <c r="T139" s="470"/>
      <c r="U139" s="471"/>
      <c r="V139" s="195">
        <v>15731</v>
      </c>
      <c r="W139" s="469"/>
      <c r="X139" s="470"/>
      <c r="Y139" s="470"/>
      <c r="Z139" s="470"/>
      <c r="AA139" s="470"/>
      <c r="AB139" s="470"/>
      <c r="AC139" s="470"/>
      <c r="AD139" s="470"/>
      <c r="AE139" s="471"/>
      <c r="AF139" s="195">
        <v>15408</v>
      </c>
      <c r="AG139" s="469"/>
      <c r="AH139" s="470"/>
      <c r="AI139" s="470"/>
      <c r="AJ139" s="470"/>
      <c r="AK139" s="470"/>
      <c r="AL139" s="470"/>
      <c r="AM139" s="470"/>
      <c r="AN139" s="470"/>
      <c r="AO139" s="471"/>
      <c r="AP139" s="195"/>
      <c r="AQ139" s="472"/>
      <c r="AR139" s="473"/>
      <c r="AS139" s="473"/>
      <c r="AT139" s="473"/>
      <c r="AU139" s="473"/>
      <c r="AV139" s="473"/>
      <c r="AW139" s="473"/>
      <c r="AX139" s="473"/>
      <c r="AY139" s="474"/>
      <c r="AZ139" s="195">
        <v>15892</v>
      </c>
      <c r="BA139" s="472"/>
      <c r="BB139" s="473"/>
      <c r="BC139" s="473"/>
      <c r="BD139" s="473"/>
      <c r="BE139" s="473"/>
      <c r="BF139" s="473"/>
      <c r="BG139" s="473"/>
      <c r="BH139" s="473"/>
      <c r="BI139" s="474"/>
      <c r="BJ139" s="195">
        <v>15329</v>
      </c>
      <c r="BK139" s="472"/>
      <c r="BL139" s="473"/>
      <c r="BM139" s="473"/>
      <c r="BN139" s="473"/>
      <c r="BO139" s="473"/>
      <c r="BP139" s="473"/>
      <c r="BQ139" s="473"/>
      <c r="BR139" s="473"/>
      <c r="BS139" s="474"/>
      <c r="BT139" s="194"/>
      <c r="BU139" s="478"/>
      <c r="BV139" s="479"/>
      <c r="BW139" s="479"/>
      <c r="BX139" s="479"/>
      <c r="BY139" s="479"/>
      <c r="BZ139" s="479"/>
      <c r="CA139" s="479"/>
      <c r="CB139" s="479"/>
      <c r="CC139" s="480"/>
    </row>
    <row r="140" spans="1:81" s="180" customFormat="1" ht="20.25" customHeight="1" x14ac:dyDescent="0.2">
      <c r="A140" s="187" t="s">
        <v>158</v>
      </c>
      <c r="B140" s="195"/>
      <c r="C140" s="472"/>
      <c r="D140" s="473"/>
      <c r="E140" s="473"/>
      <c r="F140" s="473"/>
      <c r="G140" s="473"/>
      <c r="H140" s="473"/>
      <c r="I140" s="473"/>
      <c r="J140" s="473"/>
      <c r="K140" s="474"/>
      <c r="L140" s="195">
        <v>13900</v>
      </c>
      <c r="M140" s="472"/>
      <c r="N140" s="473"/>
      <c r="O140" s="473"/>
      <c r="P140" s="473"/>
      <c r="Q140" s="473"/>
      <c r="R140" s="473"/>
      <c r="S140" s="473"/>
      <c r="T140" s="473"/>
      <c r="U140" s="474"/>
      <c r="V140" s="195">
        <v>13843</v>
      </c>
      <c r="W140" s="472"/>
      <c r="X140" s="473"/>
      <c r="Y140" s="473"/>
      <c r="Z140" s="473"/>
      <c r="AA140" s="473"/>
      <c r="AB140" s="473"/>
      <c r="AC140" s="473"/>
      <c r="AD140" s="473"/>
      <c r="AE140" s="474"/>
      <c r="AF140" s="195">
        <v>13420</v>
      </c>
      <c r="AG140" s="472"/>
      <c r="AH140" s="473"/>
      <c r="AI140" s="473"/>
      <c r="AJ140" s="473"/>
      <c r="AK140" s="473"/>
      <c r="AL140" s="473"/>
      <c r="AM140" s="473"/>
      <c r="AN140" s="473"/>
      <c r="AO140" s="474"/>
      <c r="AP140" s="195">
        <v>13114</v>
      </c>
      <c r="AQ140" s="472"/>
      <c r="AR140" s="473"/>
      <c r="AS140" s="473"/>
      <c r="AT140" s="473"/>
      <c r="AU140" s="473"/>
      <c r="AV140" s="473"/>
      <c r="AW140" s="473"/>
      <c r="AX140" s="473"/>
      <c r="AY140" s="474"/>
      <c r="AZ140" s="195">
        <v>13898</v>
      </c>
      <c r="BA140" s="472"/>
      <c r="BB140" s="473"/>
      <c r="BC140" s="473"/>
      <c r="BD140" s="473"/>
      <c r="BE140" s="473"/>
      <c r="BF140" s="473"/>
      <c r="BG140" s="473"/>
      <c r="BH140" s="473"/>
      <c r="BI140" s="474"/>
      <c r="BJ140" s="195">
        <v>13680</v>
      </c>
      <c r="BK140" s="472"/>
      <c r="BL140" s="473"/>
      <c r="BM140" s="473"/>
      <c r="BN140" s="473"/>
      <c r="BO140" s="473"/>
      <c r="BP140" s="473"/>
      <c r="BQ140" s="473"/>
      <c r="BR140" s="473"/>
      <c r="BS140" s="474"/>
      <c r="BT140" s="194">
        <v>14997</v>
      </c>
      <c r="BU140" s="478"/>
      <c r="BV140" s="479"/>
      <c r="BW140" s="479"/>
      <c r="BX140" s="479"/>
      <c r="BY140" s="479"/>
      <c r="BZ140" s="479"/>
      <c r="CA140" s="479"/>
      <c r="CB140" s="479"/>
      <c r="CC140" s="480"/>
    </row>
    <row r="141" spans="1:81" s="180" customFormat="1" ht="20.25" customHeight="1" x14ac:dyDescent="0.2">
      <c r="A141" s="187" t="s">
        <v>157</v>
      </c>
      <c r="B141" s="195"/>
      <c r="C141" s="472"/>
      <c r="D141" s="473"/>
      <c r="E141" s="473"/>
      <c r="F141" s="473"/>
      <c r="G141" s="473"/>
      <c r="H141" s="473"/>
      <c r="I141" s="473"/>
      <c r="J141" s="473"/>
      <c r="K141" s="474"/>
      <c r="L141" s="195">
        <v>8736</v>
      </c>
      <c r="M141" s="472"/>
      <c r="N141" s="473"/>
      <c r="O141" s="473"/>
      <c r="P141" s="473"/>
      <c r="Q141" s="473"/>
      <c r="R141" s="473"/>
      <c r="S141" s="473"/>
      <c r="T141" s="473"/>
      <c r="U141" s="474"/>
      <c r="V141" s="195">
        <v>8863</v>
      </c>
      <c r="W141" s="472"/>
      <c r="X141" s="473"/>
      <c r="Y141" s="473"/>
      <c r="Z141" s="473"/>
      <c r="AA141" s="473"/>
      <c r="AB141" s="473"/>
      <c r="AC141" s="473"/>
      <c r="AD141" s="473"/>
      <c r="AE141" s="474"/>
      <c r="AF141" s="195">
        <v>8747</v>
      </c>
      <c r="AG141" s="472"/>
      <c r="AH141" s="473"/>
      <c r="AI141" s="473"/>
      <c r="AJ141" s="473"/>
      <c r="AK141" s="473"/>
      <c r="AL141" s="473"/>
      <c r="AM141" s="473"/>
      <c r="AN141" s="473"/>
      <c r="AO141" s="474"/>
      <c r="AP141" s="195">
        <v>8561</v>
      </c>
      <c r="AQ141" s="472"/>
      <c r="AR141" s="473"/>
      <c r="AS141" s="473"/>
      <c r="AT141" s="473"/>
      <c r="AU141" s="473"/>
      <c r="AV141" s="473"/>
      <c r="AW141" s="473"/>
      <c r="AX141" s="473"/>
      <c r="AY141" s="474"/>
      <c r="AZ141" s="195">
        <v>8804</v>
      </c>
      <c r="BA141" s="472"/>
      <c r="BB141" s="473"/>
      <c r="BC141" s="473"/>
      <c r="BD141" s="473"/>
      <c r="BE141" s="473"/>
      <c r="BF141" s="473"/>
      <c r="BG141" s="473"/>
      <c r="BH141" s="473"/>
      <c r="BI141" s="474"/>
      <c r="BJ141" s="195">
        <v>8517</v>
      </c>
      <c r="BK141" s="472"/>
      <c r="BL141" s="473"/>
      <c r="BM141" s="473"/>
      <c r="BN141" s="473"/>
      <c r="BO141" s="473"/>
      <c r="BP141" s="473"/>
      <c r="BQ141" s="473"/>
      <c r="BR141" s="473"/>
      <c r="BS141" s="474"/>
      <c r="BT141" s="194">
        <v>9014</v>
      </c>
      <c r="BU141" s="478"/>
      <c r="BV141" s="479"/>
      <c r="BW141" s="479"/>
      <c r="BX141" s="479"/>
      <c r="BY141" s="479"/>
      <c r="BZ141" s="479"/>
      <c r="CA141" s="479"/>
      <c r="CB141" s="479"/>
      <c r="CC141" s="480"/>
    </row>
    <row r="142" spans="1:81" s="180" customFormat="1" ht="20.25" customHeight="1" x14ac:dyDescent="0.2">
      <c r="A142" s="187" t="s">
        <v>156</v>
      </c>
      <c r="B142" s="186">
        <f>IFERROR(B140/B139,"")</f>
        <v>0</v>
      </c>
      <c r="C142" s="472"/>
      <c r="D142" s="473"/>
      <c r="E142" s="473"/>
      <c r="F142" s="473"/>
      <c r="G142" s="473"/>
      <c r="H142" s="473"/>
      <c r="I142" s="473"/>
      <c r="J142" s="473"/>
      <c r="K142" s="474"/>
      <c r="L142" s="186">
        <f>IFERROR(L140/L139,"")</f>
        <v>0.88948614577334106</v>
      </c>
      <c r="M142" s="472"/>
      <c r="N142" s="473"/>
      <c r="O142" s="473"/>
      <c r="P142" s="473"/>
      <c r="Q142" s="473"/>
      <c r="R142" s="473"/>
      <c r="S142" s="473"/>
      <c r="T142" s="473"/>
      <c r="U142" s="474"/>
      <c r="V142" s="186">
        <f>IFERROR(V140/V139,"")</f>
        <v>0.87998220075011124</v>
      </c>
      <c r="W142" s="472"/>
      <c r="X142" s="473"/>
      <c r="Y142" s="473"/>
      <c r="Z142" s="473"/>
      <c r="AA142" s="473"/>
      <c r="AB142" s="473"/>
      <c r="AC142" s="473"/>
      <c r="AD142" s="473"/>
      <c r="AE142" s="474"/>
      <c r="AF142" s="186">
        <f>IFERROR(AF140/AF139,"")</f>
        <v>0.87097611630321914</v>
      </c>
      <c r="AG142" s="472"/>
      <c r="AH142" s="473"/>
      <c r="AI142" s="473"/>
      <c r="AJ142" s="473"/>
      <c r="AK142" s="473"/>
      <c r="AL142" s="473"/>
      <c r="AM142" s="473"/>
      <c r="AN142" s="473"/>
      <c r="AO142" s="474"/>
      <c r="AP142" s="186" t="str">
        <f>IFERROR(AP140/AP139,"")</f>
        <v/>
      </c>
      <c r="AQ142" s="472"/>
      <c r="AR142" s="473"/>
      <c r="AS142" s="473"/>
      <c r="AT142" s="473"/>
      <c r="AU142" s="473"/>
      <c r="AV142" s="473"/>
      <c r="AW142" s="473"/>
      <c r="AX142" s="473"/>
      <c r="AY142" s="474"/>
      <c r="AZ142" s="186">
        <f>IFERROR(AZ140/AZ139,"")</f>
        <v>0.8745280644349358</v>
      </c>
      <c r="BA142" s="472"/>
      <c r="BB142" s="473"/>
      <c r="BC142" s="473"/>
      <c r="BD142" s="473"/>
      <c r="BE142" s="473"/>
      <c r="BF142" s="473"/>
      <c r="BG142" s="473"/>
      <c r="BH142" s="473"/>
      <c r="BI142" s="474"/>
      <c r="BJ142" s="186">
        <f>IFERROR(BJ140/BJ139,"")</f>
        <v>0.89242612042533764</v>
      </c>
      <c r="BK142" s="472"/>
      <c r="BL142" s="473"/>
      <c r="BM142" s="473"/>
      <c r="BN142" s="473"/>
      <c r="BO142" s="473"/>
      <c r="BP142" s="473"/>
      <c r="BQ142" s="473"/>
      <c r="BR142" s="473"/>
      <c r="BS142" s="474"/>
      <c r="BT142" s="186" t="str">
        <f>IFERROR(BT140/BT139,"")</f>
        <v/>
      </c>
      <c r="BU142" s="478"/>
      <c r="BV142" s="479"/>
      <c r="BW142" s="479"/>
      <c r="BX142" s="479"/>
      <c r="BY142" s="479"/>
      <c r="BZ142" s="479"/>
      <c r="CA142" s="479"/>
      <c r="CB142" s="479"/>
      <c r="CC142" s="480"/>
    </row>
    <row r="143" spans="1:81" s="180" customFormat="1" ht="20.25" customHeight="1" x14ac:dyDescent="0.2">
      <c r="A143" s="187" t="s">
        <v>155</v>
      </c>
      <c r="B143" s="195"/>
      <c r="C143" s="472"/>
      <c r="D143" s="473"/>
      <c r="E143" s="473"/>
      <c r="F143" s="473"/>
      <c r="G143" s="473"/>
      <c r="H143" s="473"/>
      <c r="I143" s="473"/>
      <c r="J143" s="473"/>
      <c r="K143" s="474"/>
      <c r="L143" s="195">
        <v>11887</v>
      </c>
      <c r="M143" s="472"/>
      <c r="N143" s="473"/>
      <c r="O143" s="473"/>
      <c r="P143" s="473"/>
      <c r="Q143" s="473"/>
      <c r="R143" s="473"/>
      <c r="S143" s="473"/>
      <c r="T143" s="473"/>
      <c r="U143" s="474"/>
      <c r="V143" s="195">
        <v>11975</v>
      </c>
      <c r="W143" s="472"/>
      <c r="X143" s="473"/>
      <c r="Y143" s="473"/>
      <c r="Z143" s="473"/>
      <c r="AA143" s="473"/>
      <c r="AB143" s="473"/>
      <c r="AC143" s="473"/>
      <c r="AD143" s="473"/>
      <c r="AE143" s="474"/>
      <c r="AF143" s="195">
        <v>11565</v>
      </c>
      <c r="AG143" s="472"/>
      <c r="AH143" s="473"/>
      <c r="AI143" s="473"/>
      <c r="AJ143" s="473"/>
      <c r="AK143" s="473"/>
      <c r="AL143" s="473"/>
      <c r="AM143" s="473"/>
      <c r="AN143" s="473"/>
      <c r="AO143" s="474"/>
      <c r="AP143" s="195">
        <v>11274</v>
      </c>
      <c r="AQ143" s="472"/>
      <c r="AR143" s="473"/>
      <c r="AS143" s="473"/>
      <c r="AT143" s="473"/>
      <c r="AU143" s="473"/>
      <c r="AV143" s="473"/>
      <c r="AW143" s="473"/>
      <c r="AX143" s="473"/>
      <c r="AY143" s="474"/>
      <c r="AZ143" s="195">
        <v>11910</v>
      </c>
      <c r="BA143" s="472"/>
      <c r="BB143" s="473"/>
      <c r="BC143" s="473"/>
      <c r="BD143" s="473"/>
      <c r="BE143" s="473"/>
      <c r="BF143" s="473"/>
      <c r="BG143" s="473"/>
      <c r="BH143" s="473"/>
      <c r="BI143" s="474"/>
      <c r="BJ143" s="195">
        <v>11607</v>
      </c>
      <c r="BK143" s="472"/>
      <c r="BL143" s="473"/>
      <c r="BM143" s="473"/>
      <c r="BN143" s="473"/>
      <c r="BO143" s="473"/>
      <c r="BP143" s="473"/>
      <c r="BQ143" s="473"/>
      <c r="BR143" s="473"/>
      <c r="BS143" s="474"/>
      <c r="BT143" s="194">
        <v>12850</v>
      </c>
      <c r="BU143" s="478"/>
      <c r="BV143" s="479"/>
      <c r="BW143" s="479"/>
      <c r="BX143" s="479"/>
      <c r="BY143" s="479"/>
      <c r="BZ143" s="479"/>
      <c r="CA143" s="479"/>
      <c r="CB143" s="479"/>
      <c r="CC143" s="480"/>
    </row>
    <row r="144" spans="1:81" s="180" customFormat="1" ht="20.25" customHeight="1" x14ac:dyDescent="0.2">
      <c r="A144" s="187" t="s">
        <v>154</v>
      </c>
      <c r="B144" s="186" t="str">
        <f>IFERROR(B143/B140,"")</f>
        <v/>
      </c>
      <c r="C144" s="472"/>
      <c r="D144" s="473"/>
      <c r="E144" s="473"/>
      <c r="F144" s="473"/>
      <c r="G144" s="473"/>
      <c r="H144" s="473"/>
      <c r="I144" s="473"/>
      <c r="J144" s="473"/>
      <c r="K144" s="474"/>
      <c r="L144" s="186">
        <f>IFERROR(L143/L140,"")</f>
        <v>0.85517985611510794</v>
      </c>
      <c r="M144" s="472"/>
      <c r="N144" s="473"/>
      <c r="O144" s="473"/>
      <c r="P144" s="473"/>
      <c r="Q144" s="473"/>
      <c r="R144" s="473"/>
      <c r="S144" s="473"/>
      <c r="T144" s="473"/>
      <c r="U144" s="474"/>
      <c r="V144" s="186">
        <f>IFERROR(V143/V140,"")</f>
        <v>0.86505815213465287</v>
      </c>
      <c r="W144" s="472"/>
      <c r="X144" s="473"/>
      <c r="Y144" s="473"/>
      <c r="Z144" s="473"/>
      <c r="AA144" s="473"/>
      <c r="AB144" s="473"/>
      <c r="AC144" s="473"/>
      <c r="AD144" s="473"/>
      <c r="AE144" s="474"/>
      <c r="AF144" s="186">
        <f>IFERROR(AF143/AF140,"")</f>
        <v>0.8617734724292101</v>
      </c>
      <c r="AG144" s="472"/>
      <c r="AH144" s="473"/>
      <c r="AI144" s="473"/>
      <c r="AJ144" s="473"/>
      <c r="AK144" s="473"/>
      <c r="AL144" s="473"/>
      <c r="AM144" s="473"/>
      <c r="AN144" s="473"/>
      <c r="AO144" s="474"/>
      <c r="AP144" s="186">
        <f>IFERROR(AP143/AP140,"")</f>
        <v>0.85969193228610641</v>
      </c>
      <c r="AQ144" s="472"/>
      <c r="AR144" s="473"/>
      <c r="AS144" s="473"/>
      <c r="AT144" s="473"/>
      <c r="AU144" s="473"/>
      <c r="AV144" s="473"/>
      <c r="AW144" s="473"/>
      <c r="AX144" s="473"/>
      <c r="AY144" s="474"/>
      <c r="AZ144" s="186">
        <f>IFERROR(AZ143/AZ140,"")</f>
        <v>0.85695783565980721</v>
      </c>
      <c r="BA144" s="472"/>
      <c r="BB144" s="473"/>
      <c r="BC144" s="473"/>
      <c r="BD144" s="473"/>
      <c r="BE144" s="473"/>
      <c r="BF144" s="473"/>
      <c r="BG144" s="473"/>
      <c r="BH144" s="473"/>
      <c r="BI144" s="474"/>
      <c r="BJ144" s="186">
        <f>IFERROR(BJ143/BJ140,"")</f>
        <v>0.84846491228070176</v>
      </c>
      <c r="BK144" s="472"/>
      <c r="BL144" s="473"/>
      <c r="BM144" s="473"/>
      <c r="BN144" s="473"/>
      <c r="BO144" s="473"/>
      <c r="BP144" s="473"/>
      <c r="BQ144" s="473"/>
      <c r="BR144" s="473"/>
      <c r="BS144" s="474"/>
      <c r="BT144" s="186">
        <f>IFERROR(BT143/BT140,"")</f>
        <v>0.85683803427352134</v>
      </c>
      <c r="BU144" s="478"/>
      <c r="BV144" s="479"/>
      <c r="BW144" s="479"/>
      <c r="BX144" s="479"/>
      <c r="BY144" s="479"/>
      <c r="BZ144" s="479"/>
      <c r="CA144" s="479"/>
      <c r="CB144" s="479"/>
      <c r="CC144" s="480"/>
    </row>
    <row r="145" spans="1:81" s="189" customFormat="1" ht="20.25" customHeight="1" x14ac:dyDescent="0.2">
      <c r="A145" s="192" t="s">
        <v>153</v>
      </c>
      <c r="B145" s="193">
        <f>C137</f>
        <v>27807471</v>
      </c>
      <c r="C145" s="472"/>
      <c r="D145" s="473"/>
      <c r="E145" s="473"/>
      <c r="F145" s="473"/>
      <c r="G145" s="473"/>
      <c r="H145" s="473"/>
      <c r="I145" s="473"/>
      <c r="J145" s="473"/>
      <c r="K145" s="474"/>
      <c r="L145" s="193">
        <f>M137</f>
        <v>128922383</v>
      </c>
      <c r="M145" s="472"/>
      <c r="N145" s="473"/>
      <c r="O145" s="473"/>
      <c r="P145" s="473"/>
      <c r="Q145" s="473"/>
      <c r="R145" s="473"/>
      <c r="S145" s="473"/>
      <c r="T145" s="473"/>
      <c r="U145" s="474"/>
      <c r="V145" s="193">
        <f>W137</f>
        <v>133620254</v>
      </c>
      <c r="W145" s="472"/>
      <c r="X145" s="473"/>
      <c r="Y145" s="473"/>
      <c r="Z145" s="473"/>
      <c r="AA145" s="473"/>
      <c r="AB145" s="473"/>
      <c r="AC145" s="473"/>
      <c r="AD145" s="473"/>
      <c r="AE145" s="474"/>
      <c r="AF145" s="193">
        <f>AG137</f>
        <v>133081154</v>
      </c>
      <c r="AG145" s="472"/>
      <c r="AH145" s="473"/>
      <c r="AI145" s="473"/>
      <c r="AJ145" s="473"/>
      <c r="AK145" s="473"/>
      <c r="AL145" s="473"/>
      <c r="AM145" s="473"/>
      <c r="AN145" s="473"/>
      <c r="AO145" s="474"/>
      <c r="AP145" s="193">
        <f>AQ137</f>
        <v>130124928</v>
      </c>
      <c r="AQ145" s="472"/>
      <c r="AR145" s="473"/>
      <c r="AS145" s="473"/>
      <c r="AT145" s="473"/>
      <c r="AU145" s="473"/>
      <c r="AV145" s="473"/>
      <c r="AW145" s="473"/>
      <c r="AX145" s="473"/>
      <c r="AY145" s="474"/>
      <c r="AZ145" s="193">
        <f>BA137</f>
        <v>129922975.88000001</v>
      </c>
      <c r="BA145" s="472"/>
      <c r="BB145" s="473"/>
      <c r="BC145" s="473"/>
      <c r="BD145" s="473"/>
      <c r="BE145" s="473"/>
      <c r="BF145" s="473"/>
      <c r="BG145" s="473"/>
      <c r="BH145" s="473"/>
      <c r="BI145" s="474"/>
      <c r="BJ145" s="193">
        <f>BK137</f>
        <v>128508957.63</v>
      </c>
      <c r="BK145" s="472"/>
      <c r="BL145" s="473"/>
      <c r="BM145" s="473"/>
      <c r="BN145" s="473"/>
      <c r="BO145" s="473"/>
      <c r="BP145" s="473"/>
      <c r="BQ145" s="473"/>
      <c r="BR145" s="473"/>
      <c r="BS145" s="474"/>
      <c r="BT145" s="193">
        <f>BU137</f>
        <v>131439911.75</v>
      </c>
      <c r="BU145" s="478"/>
      <c r="BV145" s="479"/>
      <c r="BW145" s="479"/>
      <c r="BX145" s="479"/>
      <c r="BY145" s="479"/>
      <c r="BZ145" s="479"/>
      <c r="CA145" s="479"/>
      <c r="CB145" s="479"/>
      <c r="CC145" s="480"/>
    </row>
    <row r="146" spans="1:81" s="189" customFormat="1" ht="20.25" customHeight="1" x14ac:dyDescent="0.2">
      <c r="A146" s="192" t="s">
        <v>152</v>
      </c>
      <c r="B146" s="193">
        <f>J137</f>
        <v>0</v>
      </c>
      <c r="C146" s="472"/>
      <c r="D146" s="473"/>
      <c r="E146" s="473"/>
      <c r="F146" s="473"/>
      <c r="G146" s="473"/>
      <c r="H146" s="473"/>
      <c r="I146" s="473"/>
      <c r="J146" s="473"/>
      <c r="K146" s="474"/>
      <c r="L146" s="193">
        <f>T137</f>
        <v>107469184</v>
      </c>
      <c r="M146" s="472"/>
      <c r="N146" s="473"/>
      <c r="O146" s="473"/>
      <c r="P146" s="473"/>
      <c r="Q146" s="473"/>
      <c r="R146" s="473"/>
      <c r="S146" s="473"/>
      <c r="T146" s="473"/>
      <c r="U146" s="474"/>
      <c r="V146" s="193">
        <f>AD137</f>
        <v>109951424</v>
      </c>
      <c r="W146" s="472"/>
      <c r="X146" s="473"/>
      <c r="Y146" s="473"/>
      <c r="Z146" s="473"/>
      <c r="AA146" s="473"/>
      <c r="AB146" s="473"/>
      <c r="AC146" s="473"/>
      <c r="AD146" s="473"/>
      <c r="AE146" s="474"/>
      <c r="AF146" s="193">
        <f>AN137</f>
        <v>108847771</v>
      </c>
      <c r="AG146" s="472"/>
      <c r="AH146" s="473"/>
      <c r="AI146" s="473"/>
      <c r="AJ146" s="473"/>
      <c r="AK146" s="473"/>
      <c r="AL146" s="473"/>
      <c r="AM146" s="473"/>
      <c r="AN146" s="473"/>
      <c r="AO146" s="474"/>
      <c r="AP146" s="193">
        <f>AX137</f>
        <v>106845443</v>
      </c>
      <c r="AQ146" s="472"/>
      <c r="AR146" s="473"/>
      <c r="AS146" s="473"/>
      <c r="AT146" s="473"/>
      <c r="AU146" s="473"/>
      <c r="AV146" s="473"/>
      <c r="AW146" s="473"/>
      <c r="AX146" s="473"/>
      <c r="AY146" s="474"/>
      <c r="AZ146" s="193">
        <f>BH137</f>
        <v>111656793.39</v>
      </c>
      <c r="BA146" s="472"/>
      <c r="BB146" s="473"/>
      <c r="BC146" s="473"/>
      <c r="BD146" s="473"/>
      <c r="BE146" s="473"/>
      <c r="BF146" s="473"/>
      <c r="BG146" s="473"/>
      <c r="BH146" s="473"/>
      <c r="BI146" s="474"/>
      <c r="BJ146" s="193">
        <f>BR137</f>
        <v>97522286.720000014</v>
      </c>
      <c r="BK146" s="472"/>
      <c r="BL146" s="473"/>
      <c r="BM146" s="473"/>
      <c r="BN146" s="473"/>
      <c r="BO146" s="473"/>
      <c r="BP146" s="473"/>
      <c r="BQ146" s="473"/>
      <c r="BR146" s="473"/>
      <c r="BS146" s="474"/>
      <c r="BT146" s="193">
        <f>CB137</f>
        <v>92610453.539000005</v>
      </c>
      <c r="BU146" s="478"/>
      <c r="BV146" s="479"/>
      <c r="BW146" s="479"/>
      <c r="BX146" s="479"/>
      <c r="BY146" s="479"/>
      <c r="BZ146" s="479"/>
      <c r="CA146" s="479"/>
      <c r="CB146" s="479"/>
      <c r="CC146" s="480"/>
    </row>
    <row r="147" spans="1:81" s="189" customFormat="1" ht="20.25" customHeight="1" x14ac:dyDescent="0.2">
      <c r="A147" s="192" t="s">
        <v>151</v>
      </c>
      <c r="B147" s="193">
        <f>K137</f>
        <v>0</v>
      </c>
      <c r="C147" s="472"/>
      <c r="D147" s="473"/>
      <c r="E147" s="473"/>
      <c r="F147" s="473"/>
      <c r="G147" s="473"/>
      <c r="H147" s="473"/>
      <c r="I147" s="473"/>
      <c r="J147" s="473"/>
      <c r="K147" s="474"/>
      <c r="L147" s="193">
        <f>U137</f>
        <v>13029794</v>
      </c>
      <c r="M147" s="472"/>
      <c r="N147" s="473"/>
      <c r="O147" s="473"/>
      <c r="P147" s="473"/>
      <c r="Q147" s="473"/>
      <c r="R147" s="473"/>
      <c r="S147" s="473"/>
      <c r="T147" s="473"/>
      <c r="U147" s="474"/>
      <c r="V147" s="193">
        <f>AE137</f>
        <v>13526067</v>
      </c>
      <c r="W147" s="472"/>
      <c r="X147" s="473"/>
      <c r="Y147" s="473"/>
      <c r="Z147" s="473"/>
      <c r="AA147" s="473"/>
      <c r="AB147" s="473"/>
      <c r="AC147" s="473"/>
      <c r="AD147" s="473"/>
      <c r="AE147" s="474"/>
      <c r="AF147" s="193">
        <f>AO137</f>
        <v>14227420</v>
      </c>
      <c r="AG147" s="472"/>
      <c r="AH147" s="473"/>
      <c r="AI147" s="473"/>
      <c r="AJ147" s="473"/>
      <c r="AK147" s="473"/>
      <c r="AL147" s="473"/>
      <c r="AM147" s="473"/>
      <c r="AN147" s="473"/>
      <c r="AO147" s="474"/>
      <c r="AP147" s="193">
        <f>AY137</f>
        <v>15711762</v>
      </c>
      <c r="AQ147" s="472"/>
      <c r="AR147" s="473"/>
      <c r="AS147" s="473"/>
      <c r="AT147" s="473"/>
      <c r="AU147" s="473"/>
      <c r="AV147" s="473"/>
      <c r="AW147" s="473"/>
      <c r="AX147" s="473"/>
      <c r="AY147" s="474"/>
      <c r="AZ147" s="193">
        <f>BI137</f>
        <v>18252256.300000001</v>
      </c>
      <c r="BA147" s="472"/>
      <c r="BB147" s="473"/>
      <c r="BC147" s="473"/>
      <c r="BD147" s="473"/>
      <c r="BE147" s="473"/>
      <c r="BF147" s="473"/>
      <c r="BG147" s="473"/>
      <c r="BH147" s="473"/>
      <c r="BI147" s="474"/>
      <c r="BJ147" s="193">
        <f>BS137</f>
        <v>19121139.390000001</v>
      </c>
      <c r="BK147" s="472"/>
      <c r="BL147" s="473"/>
      <c r="BM147" s="473"/>
      <c r="BN147" s="473"/>
      <c r="BO147" s="473"/>
      <c r="BP147" s="473"/>
      <c r="BQ147" s="473"/>
      <c r="BR147" s="473"/>
      <c r="BS147" s="474"/>
      <c r="BT147" s="193">
        <f>CC137</f>
        <v>19510840.75</v>
      </c>
      <c r="BU147" s="478"/>
      <c r="BV147" s="479"/>
      <c r="BW147" s="479"/>
      <c r="BX147" s="479"/>
      <c r="BY147" s="479"/>
      <c r="BZ147" s="479"/>
      <c r="CA147" s="479"/>
      <c r="CB147" s="479"/>
      <c r="CC147" s="480"/>
    </row>
    <row r="148" spans="1:81" s="189" customFormat="1" ht="20.25" customHeight="1" x14ac:dyDescent="0.2">
      <c r="A148" s="192" t="s">
        <v>150</v>
      </c>
      <c r="B148" s="193">
        <f>E137-B147</f>
        <v>21860806</v>
      </c>
      <c r="C148" s="472"/>
      <c r="D148" s="473"/>
      <c r="E148" s="473"/>
      <c r="F148" s="473"/>
      <c r="G148" s="473"/>
      <c r="H148" s="473"/>
      <c r="I148" s="473"/>
      <c r="J148" s="473"/>
      <c r="K148" s="474"/>
      <c r="L148" s="193">
        <f>O137-L147</f>
        <v>10548183</v>
      </c>
      <c r="M148" s="472"/>
      <c r="N148" s="473"/>
      <c r="O148" s="473"/>
      <c r="P148" s="473"/>
      <c r="Q148" s="473"/>
      <c r="R148" s="473"/>
      <c r="S148" s="473"/>
      <c r="T148" s="473"/>
      <c r="U148" s="474"/>
      <c r="V148" s="193">
        <f>Y137-V147</f>
        <v>11767403</v>
      </c>
      <c r="W148" s="472"/>
      <c r="X148" s="473"/>
      <c r="Y148" s="473"/>
      <c r="Z148" s="473"/>
      <c r="AA148" s="473"/>
      <c r="AB148" s="473"/>
      <c r="AC148" s="473"/>
      <c r="AD148" s="473"/>
      <c r="AE148" s="474"/>
      <c r="AF148" s="193">
        <f>AI137-AF147</f>
        <v>11671725</v>
      </c>
      <c r="AG148" s="472"/>
      <c r="AH148" s="473"/>
      <c r="AI148" s="473"/>
      <c r="AJ148" s="473"/>
      <c r="AK148" s="473"/>
      <c r="AL148" s="473"/>
      <c r="AM148" s="473"/>
      <c r="AN148" s="473"/>
      <c r="AO148" s="474"/>
      <c r="AP148" s="193">
        <f>AS137-AP147</f>
        <v>10117910</v>
      </c>
      <c r="AQ148" s="472"/>
      <c r="AR148" s="473"/>
      <c r="AS148" s="473"/>
      <c r="AT148" s="473"/>
      <c r="AU148" s="473"/>
      <c r="AV148" s="473"/>
      <c r="AW148" s="473"/>
      <c r="AX148" s="473"/>
      <c r="AY148" s="474"/>
      <c r="AZ148" s="193">
        <f>BC137-AZ147</f>
        <v>6899074.5800000019</v>
      </c>
      <c r="BA148" s="472"/>
      <c r="BB148" s="473"/>
      <c r="BC148" s="473"/>
      <c r="BD148" s="473"/>
      <c r="BE148" s="473"/>
      <c r="BF148" s="473"/>
      <c r="BG148" s="473"/>
      <c r="BH148" s="473"/>
      <c r="BI148" s="474"/>
      <c r="BJ148" s="193">
        <f>BM137-BJ147</f>
        <v>8966091.2399999984</v>
      </c>
      <c r="BK148" s="472"/>
      <c r="BL148" s="473"/>
      <c r="BM148" s="473"/>
      <c r="BN148" s="473"/>
      <c r="BO148" s="473"/>
      <c r="BP148" s="473"/>
      <c r="BQ148" s="473"/>
      <c r="BR148" s="473"/>
      <c r="BS148" s="474"/>
      <c r="BT148" s="193">
        <f>BW137-BT147</f>
        <v>6370395</v>
      </c>
      <c r="BU148" s="478"/>
      <c r="BV148" s="479"/>
      <c r="BW148" s="479"/>
      <c r="BX148" s="479"/>
      <c r="BY148" s="479"/>
      <c r="BZ148" s="479"/>
      <c r="CA148" s="479"/>
      <c r="CB148" s="479"/>
      <c r="CC148" s="480"/>
    </row>
    <row r="149" spans="1:81" s="180" customFormat="1" ht="20.25" customHeight="1" x14ac:dyDescent="0.2">
      <c r="A149" s="187" t="s">
        <v>149</v>
      </c>
      <c r="B149" s="186">
        <f>IFERROR(B146/B145,"")</f>
        <v>0</v>
      </c>
      <c r="C149" s="472"/>
      <c r="D149" s="473"/>
      <c r="E149" s="473"/>
      <c r="F149" s="473"/>
      <c r="G149" s="473"/>
      <c r="H149" s="473"/>
      <c r="I149" s="473"/>
      <c r="J149" s="473"/>
      <c r="K149" s="474"/>
      <c r="L149" s="186">
        <f>IFERROR(L146/L145,"")</f>
        <v>0.83359600946873591</v>
      </c>
      <c r="M149" s="472"/>
      <c r="N149" s="473"/>
      <c r="O149" s="473"/>
      <c r="P149" s="473"/>
      <c r="Q149" s="473"/>
      <c r="R149" s="473"/>
      <c r="S149" s="473"/>
      <c r="T149" s="473"/>
      <c r="U149" s="474"/>
      <c r="V149" s="186">
        <f>IFERROR(V146/V145,"")</f>
        <v>0.82286495279375838</v>
      </c>
      <c r="W149" s="472"/>
      <c r="X149" s="473"/>
      <c r="Y149" s="473"/>
      <c r="Z149" s="473"/>
      <c r="AA149" s="473"/>
      <c r="AB149" s="473"/>
      <c r="AC149" s="473"/>
      <c r="AD149" s="473"/>
      <c r="AE149" s="474"/>
      <c r="AF149" s="186">
        <f>IFERROR(AF146/AF145,"")</f>
        <v>0.81790522345485517</v>
      </c>
      <c r="AG149" s="472"/>
      <c r="AH149" s="473"/>
      <c r="AI149" s="473"/>
      <c r="AJ149" s="473"/>
      <c r="AK149" s="473"/>
      <c r="AL149" s="473"/>
      <c r="AM149" s="473"/>
      <c r="AN149" s="473"/>
      <c r="AO149" s="474"/>
      <c r="AP149" s="186">
        <f>IFERROR(AP146/AP145,"")</f>
        <v>0.82109895960903045</v>
      </c>
      <c r="AQ149" s="472"/>
      <c r="AR149" s="473"/>
      <c r="AS149" s="473"/>
      <c r="AT149" s="473"/>
      <c r="AU149" s="473"/>
      <c r="AV149" s="473"/>
      <c r="AW149" s="473"/>
      <c r="AX149" s="473"/>
      <c r="AY149" s="474"/>
      <c r="AZ149" s="186">
        <f>IFERROR(AZ146/AZ145,"")</f>
        <v>0.8594076038800782</v>
      </c>
      <c r="BA149" s="472"/>
      <c r="BB149" s="473"/>
      <c r="BC149" s="473"/>
      <c r="BD149" s="473"/>
      <c r="BE149" s="473"/>
      <c r="BF149" s="473"/>
      <c r="BG149" s="473"/>
      <c r="BH149" s="473"/>
      <c r="BI149" s="474"/>
      <c r="BJ149" s="186">
        <f>IFERROR(BJ146/BJ145,"")</f>
        <v>0.75887540073886461</v>
      </c>
      <c r="BK149" s="472"/>
      <c r="BL149" s="473"/>
      <c r="BM149" s="473"/>
      <c r="BN149" s="473"/>
      <c r="BO149" s="473"/>
      <c r="BP149" s="473"/>
      <c r="BQ149" s="473"/>
      <c r="BR149" s="473"/>
      <c r="BS149" s="474"/>
      <c r="BT149" s="186">
        <f>IFERROR(BT146/BT145,"")</f>
        <v>0.70458396012275171</v>
      </c>
      <c r="BU149" s="478"/>
      <c r="BV149" s="479"/>
      <c r="BW149" s="479"/>
      <c r="BX149" s="479"/>
      <c r="BY149" s="479"/>
      <c r="BZ149" s="479"/>
      <c r="CA149" s="479"/>
      <c r="CB149" s="479"/>
      <c r="CC149" s="480"/>
    </row>
    <row r="150" spans="1:81" s="189" customFormat="1" ht="20.25" customHeight="1" x14ac:dyDescent="0.2">
      <c r="A150" s="192" t="s">
        <v>148</v>
      </c>
      <c r="B150" s="191">
        <v>98798243</v>
      </c>
      <c r="C150" s="472"/>
      <c r="D150" s="473"/>
      <c r="E150" s="473"/>
      <c r="F150" s="473"/>
      <c r="G150" s="473"/>
      <c r="H150" s="473"/>
      <c r="I150" s="473"/>
      <c r="J150" s="473"/>
      <c r="K150" s="474"/>
      <c r="L150" s="191">
        <v>102490634</v>
      </c>
      <c r="M150" s="472"/>
      <c r="N150" s="473"/>
      <c r="O150" s="473"/>
      <c r="P150" s="473"/>
      <c r="Q150" s="473"/>
      <c r="R150" s="473"/>
      <c r="S150" s="473"/>
      <c r="T150" s="473"/>
      <c r="U150" s="474"/>
      <c r="V150" s="191">
        <f>109032214-2335518</f>
        <v>106696696</v>
      </c>
      <c r="W150" s="472"/>
      <c r="X150" s="473"/>
      <c r="Y150" s="473"/>
      <c r="Z150" s="473"/>
      <c r="AA150" s="473"/>
      <c r="AB150" s="473"/>
      <c r="AC150" s="473"/>
      <c r="AD150" s="473"/>
      <c r="AE150" s="474"/>
      <c r="AF150" s="191">
        <f>112090377-2903265</f>
        <v>109187112</v>
      </c>
      <c r="AG150" s="472"/>
      <c r="AH150" s="473"/>
      <c r="AI150" s="473"/>
      <c r="AJ150" s="473"/>
      <c r="AK150" s="473"/>
      <c r="AL150" s="473"/>
      <c r="AM150" s="473"/>
      <c r="AN150" s="473"/>
      <c r="AO150" s="474"/>
      <c r="AP150" s="191"/>
      <c r="AQ150" s="472"/>
      <c r="AR150" s="473"/>
      <c r="AS150" s="473"/>
      <c r="AT150" s="473"/>
      <c r="AU150" s="473"/>
      <c r="AV150" s="473"/>
      <c r="AW150" s="473"/>
      <c r="AX150" s="473"/>
      <c r="AY150" s="474"/>
      <c r="AZ150" s="191"/>
      <c r="BA150" s="472"/>
      <c r="BB150" s="473"/>
      <c r="BC150" s="473"/>
      <c r="BD150" s="473"/>
      <c r="BE150" s="473"/>
      <c r="BF150" s="473"/>
      <c r="BG150" s="473"/>
      <c r="BH150" s="473"/>
      <c r="BI150" s="474"/>
      <c r="BJ150" s="191"/>
      <c r="BK150" s="472"/>
      <c r="BL150" s="473"/>
      <c r="BM150" s="473"/>
      <c r="BN150" s="473"/>
      <c r="BO150" s="473"/>
      <c r="BP150" s="473"/>
      <c r="BQ150" s="473"/>
      <c r="BR150" s="473"/>
      <c r="BS150" s="474"/>
      <c r="BT150" s="190"/>
      <c r="BU150" s="478"/>
      <c r="BV150" s="479"/>
      <c r="BW150" s="479"/>
      <c r="BX150" s="479"/>
      <c r="BY150" s="479"/>
      <c r="BZ150" s="479"/>
      <c r="CA150" s="479"/>
      <c r="CB150" s="479"/>
      <c r="CC150" s="480"/>
    </row>
    <row r="151" spans="1:81" s="180" customFormat="1" ht="20.25" customHeight="1" x14ac:dyDescent="0.2">
      <c r="A151" s="187" t="s">
        <v>147</v>
      </c>
      <c r="B151" s="188">
        <f>IFERROR(E137/B150,"")</f>
        <v>0.2212671535059586</v>
      </c>
      <c r="C151" s="472"/>
      <c r="D151" s="473"/>
      <c r="E151" s="473"/>
      <c r="F151" s="473"/>
      <c r="G151" s="473"/>
      <c r="H151" s="473"/>
      <c r="I151" s="473"/>
      <c r="J151" s="473"/>
      <c r="K151" s="474"/>
      <c r="L151" s="188">
        <f>IFERROR(O137/L150,"")</f>
        <v>0.23005006486739071</v>
      </c>
      <c r="M151" s="472"/>
      <c r="N151" s="473"/>
      <c r="O151" s="473"/>
      <c r="P151" s="473"/>
      <c r="Q151" s="473"/>
      <c r="R151" s="473"/>
      <c r="S151" s="473"/>
      <c r="T151" s="473"/>
      <c r="U151" s="474"/>
      <c r="V151" s="188">
        <f>IFERROR(Y137/V150,"")</f>
        <v>0.23705954306213944</v>
      </c>
      <c r="W151" s="472"/>
      <c r="X151" s="473"/>
      <c r="Y151" s="473"/>
      <c r="Z151" s="473"/>
      <c r="AA151" s="473"/>
      <c r="AB151" s="473"/>
      <c r="AC151" s="473"/>
      <c r="AD151" s="473"/>
      <c r="AE151" s="474"/>
      <c r="AF151" s="188">
        <f>IFERROR(AI137/AF150,"")</f>
        <v>0.23719965228130588</v>
      </c>
      <c r="AG151" s="472"/>
      <c r="AH151" s="473"/>
      <c r="AI151" s="473"/>
      <c r="AJ151" s="473"/>
      <c r="AK151" s="473"/>
      <c r="AL151" s="473"/>
      <c r="AM151" s="473"/>
      <c r="AN151" s="473"/>
      <c r="AO151" s="474"/>
      <c r="AP151" s="188" t="str">
        <f>IFERROR(AS137/AP150,"")</f>
        <v/>
      </c>
      <c r="AQ151" s="472"/>
      <c r="AR151" s="473"/>
      <c r="AS151" s="473"/>
      <c r="AT151" s="473"/>
      <c r="AU151" s="473"/>
      <c r="AV151" s="473"/>
      <c r="AW151" s="473"/>
      <c r="AX151" s="473"/>
      <c r="AY151" s="474"/>
      <c r="AZ151" s="188" t="str">
        <f>IFERROR(BC137/AZ150,"")</f>
        <v/>
      </c>
      <c r="BA151" s="472"/>
      <c r="BB151" s="473"/>
      <c r="BC151" s="473"/>
      <c r="BD151" s="473"/>
      <c r="BE151" s="473"/>
      <c r="BF151" s="473"/>
      <c r="BG151" s="473"/>
      <c r="BH151" s="473"/>
      <c r="BI151" s="474"/>
      <c r="BJ151" s="188" t="str">
        <f>IFERROR(BM137/BJ150,"")</f>
        <v/>
      </c>
      <c r="BK151" s="472"/>
      <c r="BL151" s="473"/>
      <c r="BM151" s="473"/>
      <c r="BN151" s="473"/>
      <c r="BO151" s="473"/>
      <c r="BP151" s="473"/>
      <c r="BQ151" s="473"/>
      <c r="BR151" s="473"/>
      <c r="BS151" s="474"/>
      <c r="BT151" s="188" t="str">
        <f>IFERROR(BW137/BT150,"")</f>
        <v/>
      </c>
      <c r="BU151" s="478"/>
      <c r="BV151" s="479"/>
      <c r="BW151" s="479"/>
      <c r="BX151" s="479"/>
      <c r="BY151" s="479"/>
      <c r="BZ151" s="479"/>
      <c r="CA151" s="479"/>
      <c r="CB151" s="479"/>
      <c r="CC151" s="480"/>
    </row>
    <row r="152" spans="1:81" s="185" customFormat="1" ht="20.25" customHeight="1" x14ac:dyDescent="0.2">
      <c r="A152" s="187" t="s">
        <v>146</v>
      </c>
      <c r="B152" s="186">
        <f>IFERROR(E137/C137,"")</f>
        <v>0.78614865767548581</v>
      </c>
      <c r="C152" s="472"/>
      <c r="D152" s="473"/>
      <c r="E152" s="473"/>
      <c r="F152" s="473"/>
      <c r="G152" s="473"/>
      <c r="H152" s="473"/>
      <c r="I152" s="473"/>
      <c r="J152" s="473"/>
      <c r="K152" s="474"/>
      <c r="L152" s="186">
        <f>IFERROR(O137/M137,"")</f>
        <v>0.18288505418023493</v>
      </c>
      <c r="M152" s="472"/>
      <c r="N152" s="473"/>
      <c r="O152" s="473"/>
      <c r="P152" s="473"/>
      <c r="Q152" s="473"/>
      <c r="R152" s="473"/>
      <c r="S152" s="473"/>
      <c r="T152" s="473"/>
      <c r="U152" s="474"/>
      <c r="V152" s="186">
        <f>IFERROR(Y137/W137,"")</f>
        <v>0.18929368297713309</v>
      </c>
      <c r="W152" s="472"/>
      <c r="X152" s="473"/>
      <c r="Y152" s="473"/>
      <c r="Z152" s="473"/>
      <c r="AA152" s="473"/>
      <c r="AB152" s="473"/>
      <c r="AC152" s="473"/>
      <c r="AD152" s="473"/>
      <c r="AE152" s="474"/>
      <c r="AF152" s="186">
        <f>IFERROR(AI137/AG137,"")</f>
        <v>0.19461166530010704</v>
      </c>
      <c r="AG152" s="472"/>
      <c r="AH152" s="473"/>
      <c r="AI152" s="473"/>
      <c r="AJ152" s="473"/>
      <c r="AK152" s="473"/>
      <c r="AL152" s="473"/>
      <c r="AM152" s="473"/>
      <c r="AN152" s="473"/>
      <c r="AO152" s="474"/>
      <c r="AP152" s="186">
        <f>IFERROR(AS137/AQ137,"")</f>
        <v>0.1984990301012885</v>
      </c>
      <c r="AQ152" s="472"/>
      <c r="AR152" s="473"/>
      <c r="AS152" s="473"/>
      <c r="AT152" s="473"/>
      <c r="AU152" s="473"/>
      <c r="AV152" s="473"/>
      <c r="AW152" s="473"/>
      <c r="AX152" s="473"/>
      <c r="AY152" s="474"/>
      <c r="AZ152" s="186">
        <f>IFERROR(BC137/BA137,"")</f>
        <v>0.19358647467581391</v>
      </c>
      <c r="BA152" s="472"/>
      <c r="BB152" s="473"/>
      <c r="BC152" s="473"/>
      <c r="BD152" s="473"/>
      <c r="BE152" s="473"/>
      <c r="BF152" s="473"/>
      <c r="BG152" s="473"/>
      <c r="BH152" s="473"/>
      <c r="BI152" s="474"/>
      <c r="BJ152" s="186">
        <f>IFERROR(BM137/BK137,"")</f>
        <v>0.21856243446365894</v>
      </c>
      <c r="BK152" s="472"/>
      <c r="BL152" s="473"/>
      <c r="BM152" s="473"/>
      <c r="BN152" s="473"/>
      <c r="BO152" s="473"/>
      <c r="BP152" s="473"/>
      <c r="BQ152" s="473"/>
      <c r="BR152" s="473"/>
      <c r="BS152" s="474"/>
      <c r="BT152" s="186">
        <f>IFERROR(BW137/BU137,"")</f>
        <v>0.19690545592594708</v>
      </c>
      <c r="BU152" s="478"/>
      <c r="BV152" s="479"/>
      <c r="BW152" s="479"/>
      <c r="BX152" s="479"/>
      <c r="BY152" s="479"/>
      <c r="BZ152" s="479"/>
      <c r="CA152" s="479"/>
      <c r="CB152" s="479"/>
      <c r="CC152" s="480"/>
    </row>
    <row r="153" spans="1:81" s="185" customFormat="1" ht="20.25" customHeight="1" x14ac:dyDescent="0.2">
      <c r="A153" s="187" t="s">
        <v>145</v>
      </c>
      <c r="B153" s="186">
        <f>IFERROR(C88/B145,"")</f>
        <v>0.81287255500509192</v>
      </c>
      <c r="C153" s="472"/>
      <c r="D153" s="473"/>
      <c r="E153" s="473"/>
      <c r="F153" s="473"/>
      <c r="G153" s="473"/>
      <c r="H153" s="473"/>
      <c r="I153" s="473"/>
      <c r="J153" s="473"/>
      <c r="K153" s="474"/>
      <c r="L153" s="186">
        <f>IFERROR(M88/L145,"")</f>
        <v>0.62834532774654028</v>
      </c>
      <c r="M153" s="472"/>
      <c r="N153" s="473"/>
      <c r="O153" s="473"/>
      <c r="P153" s="473"/>
      <c r="Q153" s="473"/>
      <c r="R153" s="473"/>
      <c r="S153" s="473"/>
      <c r="T153" s="473"/>
      <c r="U153" s="474"/>
      <c r="V153" s="186">
        <f>IFERROR(W88/V145,"")</f>
        <v>0.64580671280567992</v>
      </c>
      <c r="W153" s="472"/>
      <c r="X153" s="473"/>
      <c r="Y153" s="473"/>
      <c r="Z153" s="473"/>
      <c r="AA153" s="473"/>
      <c r="AB153" s="473"/>
      <c r="AC153" s="473"/>
      <c r="AD153" s="473"/>
      <c r="AE153" s="474"/>
      <c r="AF153" s="186">
        <f>IFERROR(AG88/AF145,"")</f>
        <v>0.66809407138143695</v>
      </c>
      <c r="AG153" s="472"/>
      <c r="AH153" s="473"/>
      <c r="AI153" s="473"/>
      <c r="AJ153" s="473"/>
      <c r="AK153" s="473"/>
      <c r="AL153" s="473"/>
      <c r="AM153" s="473"/>
      <c r="AN153" s="473"/>
      <c r="AO153" s="474"/>
      <c r="AP153" s="186">
        <f>IFERROR(AQ88/AP145,"")</f>
        <v>0.69270575888426233</v>
      </c>
      <c r="AQ153" s="472"/>
      <c r="AR153" s="473"/>
      <c r="AS153" s="473"/>
      <c r="AT153" s="473"/>
      <c r="AU153" s="473"/>
      <c r="AV153" s="473"/>
      <c r="AW153" s="473"/>
      <c r="AX153" s="473"/>
      <c r="AY153" s="474"/>
      <c r="AZ153" s="186">
        <f>IFERROR(BA88/AZ145,"")</f>
        <v>0.7073799673807164</v>
      </c>
      <c r="BA153" s="472"/>
      <c r="BB153" s="473"/>
      <c r="BC153" s="473"/>
      <c r="BD153" s="473"/>
      <c r="BE153" s="473"/>
      <c r="BF153" s="473"/>
      <c r="BG153" s="473"/>
      <c r="BH153" s="473"/>
      <c r="BI153" s="474"/>
      <c r="BJ153" s="186">
        <f>IFERROR(BK88/BJ145,"")</f>
        <v>0.72069074878543149</v>
      </c>
      <c r="BK153" s="472"/>
      <c r="BL153" s="473"/>
      <c r="BM153" s="473"/>
      <c r="BN153" s="473"/>
      <c r="BO153" s="473"/>
      <c r="BP153" s="473"/>
      <c r="BQ153" s="473"/>
      <c r="BR153" s="473"/>
      <c r="BS153" s="474"/>
      <c r="BT153" s="186">
        <f>IFERROR(BU88/BT145,"")</f>
        <v>0.72173105936370963</v>
      </c>
      <c r="BU153" s="478"/>
      <c r="BV153" s="479"/>
      <c r="BW153" s="479"/>
      <c r="BX153" s="479"/>
      <c r="BY153" s="479"/>
      <c r="BZ153" s="479"/>
      <c r="CA153" s="479"/>
      <c r="CB153" s="479"/>
      <c r="CC153" s="480"/>
    </row>
    <row r="154" spans="1:81" s="185" customFormat="1" ht="20.25" customHeight="1" x14ac:dyDescent="0.2">
      <c r="A154" s="187" t="s">
        <v>144</v>
      </c>
      <c r="B154" s="186">
        <f>IFERROR(C114/B145,"")</f>
        <v>0.10543853484554565</v>
      </c>
      <c r="C154" s="472"/>
      <c r="D154" s="473"/>
      <c r="E154" s="473"/>
      <c r="F154" s="473"/>
      <c r="G154" s="473"/>
      <c r="H154" s="473"/>
      <c r="I154" s="473"/>
      <c r="J154" s="473"/>
      <c r="K154" s="474"/>
      <c r="L154" s="186">
        <f>IFERROR(M114/L145,"")</f>
        <v>3.4464310204380878E-2</v>
      </c>
      <c r="M154" s="472"/>
      <c r="N154" s="473"/>
      <c r="O154" s="473"/>
      <c r="P154" s="473"/>
      <c r="Q154" s="473"/>
      <c r="R154" s="473"/>
      <c r="S154" s="473"/>
      <c r="T154" s="473"/>
      <c r="U154" s="474"/>
      <c r="V154" s="186">
        <f>IFERROR(W114/V145,"")</f>
        <v>3.4623486047257478E-2</v>
      </c>
      <c r="W154" s="472"/>
      <c r="X154" s="473"/>
      <c r="Y154" s="473"/>
      <c r="Z154" s="473"/>
      <c r="AA154" s="473"/>
      <c r="AB154" s="473"/>
      <c r="AC154" s="473"/>
      <c r="AD154" s="473"/>
      <c r="AE154" s="474"/>
      <c r="AF154" s="186">
        <f>IFERROR(AG114/AF145,"")</f>
        <v>3.6026182940974497E-2</v>
      </c>
      <c r="AG154" s="472"/>
      <c r="AH154" s="473"/>
      <c r="AI154" s="473"/>
      <c r="AJ154" s="473"/>
      <c r="AK154" s="473"/>
      <c r="AL154" s="473"/>
      <c r="AM154" s="473"/>
      <c r="AN154" s="473"/>
      <c r="AO154" s="474"/>
      <c r="AP154" s="186">
        <f>IFERROR(AQ114/AP145,"")</f>
        <v>3.6243332253755409E-2</v>
      </c>
      <c r="AQ154" s="472"/>
      <c r="AR154" s="473"/>
      <c r="AS154" s="473"/>
      <c r="AT154" s="473"/>
      <c r="AU154" s="473"/>
      <c r="AV154" s="473"/>
      <c r="AW154" s="473"/>
      <c r="AX154" s="473"/>
      <c r="AY154" s="474"/>
      <c r="AZ154" s="186">
        <f>IFERROR(BA114/AZ145,"")</f>
        <v>3.506097423605288E-2</v>
      </c>
      <c r="BA154" s="472"/>
      <c r="BB154" s="473"/>
      <c r="BC154" s="473"/>
      <c r="BD154" s="473"/>
      <c r="BE154" s="473"/>
      <c r="BF154" s="473"/>
      <c r="BG154" s="473"/>
      <c r="BH154" s="473"/>
      <c r="BI154" s="474"/>
      <c r="BJ154" s="186">
        <f>IFERROR(BK114/BJ145,"")</f>
        <v>3.6688387307402363E-2</v>
      </c>
      <c r="BK154" s="472"/>
      <c r="BL154" s="473"/>
      <c r="BM154" s="473"/>
      <c r="BN154" s="473"/>
      <c r="BO154" s="473"/>
      <c r="BP154" s="473"/>
      <c r="BQ154" s="473"/>
      <c r="BR154" s="473"/>
      <c r="BS154" s="474"/>
      <c r="BT154" s="186">
        <f>IFERROR(BU114/BT145,"")</f>
        <v>4.4067725874747478E-2</v>
      </c>
      <c r="BU154" s="478"/>
      <c r="BV154" s="479"/>
      <c r="BW154" s="479"/>
      <c r="BX154" s="479"/>
      <c r="BY154" s="479"/>
      <c r="BZ154" s="479"/>
      <c r="CA154" s="479"/>
      <c r="CB154" s="479"/>
      <c r="CC154" s="480"/>
    </row>
    <row r="155" spans="1:81" s="185" customFormat="1" ht="20.25" customHeight="1" x14ac:dyDescent="0.2">
      <c r="A155" s="187" t="s">
        <v>143</v>
      </c>
      <c r="B155" s="186">
        <f>IFERROR(SUM(C34,C99)/B145,"")</f>
        <v>0.34264453606730366</v>
      </c>
      <c r="C155" s="472"/>
      <c r="D155" s="473"/>
      <c r="E155" s="473"/>
      <c r="F155" s="473"/>
      <c r="G155" s="473"/>
      <c r="H155" s="473"/>
      <c r="I155" s="473"/>
      <c r="J155" s="473"/>
      <c r="K155" s="474"/>
      <c r="L155" s="186">
        <f>IFERROR(SUM(M34,M99)/L145,"")</f>
        <v>0.46418043637930584</v>
      </c>
      <c r="M155" s="472"/>
      <c r="N155" s="473"/>
      <c r="O155" s="473"/>
      <c r="P155" s="473"/>
      <c r="Q155" s="473"/>
      <c r="R155" s="473"/>
      <c r="S155" s="473"/>
      <c r="T155" s="473"/>
      <c r="U155" s="474"/>
      <c r="V155" s="186">
        <f>IFERROR(SUM(W34,W99)/V145,"")</f>
        <v>0.47720641213569315</v>
      </c>
      <c r="W155" s="472"/>
      <c r="X155" s="473"/>
      <c r="Y155" s="473"/>
      <c r="Z155" s="473"/>
      <c r="AA155" s="473"/>
      <c r="AB155" s="473"/>
      <c r="AC155" s="473"/>
      <c r="AD155" s="473"/>
      <c r="AE155" s="474"/>
      <c r="AF155" s="186">
        <f>IFERROR(SUM(AG34,AG99)/AF145,"")</f>
        <v>0.48981491398849758</v>
      </c>
      <c r="AG155" s="472"/>
      <c r="AH155" s="473"/>
      <c r="AI155" s="473"/>
      <c r="AJ155" s="473"/>
      <c r="AK155" s="473"/>
      <c r="AL155" s="473"/>
      <c r="AM155" s="473"/>
      <c r="AN155" s="473"/>
      <c r="AO155" s="474"/>
      <c r="AP155" s="186">
        <f>IFERROR(SUM(AQ34,AQ99)/AP145,"")</f>
        <v>0.49382879965935506</v>
      </c>
      <c r="AQ155" s="472"/>
      <c r="AR155" s="473"/>
      <c r="AS155" s="473"/>
      <c r="AT155" s="473"/>
      <c r="AU155" s="473"/>
      <c r="AV155" s="473"/>
      <c r="AW155" s="473"/>
      <c r="AX155" s="473"/>
      <c r="AY155" s="474"/>
      <c r="AZ155" s="186">
        <f>IFERROR(SUM(BA34,BA99)/AZ145,"")</f>
        <v>0.51091358891986605</v>
      </c>
      <c r="BA155" s="472"/>
      <c r="BB155" s="473"/>
      <c r="BC155" s="473"/>
      <c r="BD155" s="473"/>
      <c r="BE155" s="473"/>
      <c r="BF155" s="473"/>
      <c r="BG155" s="473"/>
      <c r="BH155" s="473"/>
      <c r="BI155" s="474"/>
      <c r="BJ155" s="186">
        <f>IFERROR(SUM(BK34,BK99)/BJ145,"")</f>
        <v>0.49739993537289423</v>
      </c>
      <c r="BK155" s="472"/>
      <c r="BL155" s="473"/>
      <c r="BM155" s="473"/>
      <c r="BN155" s="473"/>
      <c r="BO155" s="473"/>
      <c r="BP155" s="473"/>
      <c r="BQ155" s="473"/>
      <c r="BR155" s="473"/>
      <c r="BS155" s="474"/>
      <c r="BT155" s="186">
        <f>IFERROR(SUM(BU34,BU99)/BT145,"")</f>
        <v>0.48631666096656523</v>
      </c>
      <c r="BU155" s="478"/>
      <c r="BV155" s="479"/>
      <c r="BW155" s="479"/>
      <c r="BX155" s="479"/>
      <c r="BY155" s="479"/>
      <c r="BZ155" s="479"/>
      <c r="CA155" s="479"/>
      <c r="CB155" s="479"/>
      <c r="CC155" s="480"/>
    </row>
    <row r="156" spans="1:81" s="185" customFormat="1" ht="20.25" customHeight="1" x14ac:dyDescent="0.2">
      <c r="A156" s="187" t="s">
        <v>142</v>
      </c>
      <c r="B156" s="186">
        <f>IFERROR(SUM(C61,C112)/B145,"")</f>
        <v>0.44598910127425828</v>
      </c>
      <c r="C156" s="472"/>
      <c r="D156" s="473"/>
      <c r="E156" s="473"/>
      <c r="F156" s="473"/>
      <c r="G156" s="473"/>
      <c r="H156" s="473"/>
      <c r="I156" s="473"/>
      <c r="J156" s="473"/>
      <c r="K156" s="474"/>
      <c r="L156" s="186">
        <f>IFERROR(SUM(M61,M112)/L145,"")</f>
        <v>0.15547252178855553</v>
      </c>
      <c r="M156" s="472"/>
      <c r="N156" s="473"/>
      <c r="O156" s="473"/>
      <c r="P156" s="473"/>
      <c r="Q156" s="473"/>
      <c r="R156" s="473"/>
      <c r="S156" s="473"/>
      <c r="T156" s="473"/>
      <c r="U156" s="474"/>
      <c r="V156" s="186">
        <f>IFERROR(SUM(W61,W112)/V145,"")</f>
        <v>0.16258302427714288</v>
      </c>
      <c r="W156" s="472"/>
      <c r="X156" s="473"/>
      <c r="Y156" s="473"/>
      <c r="Z156" s="473"/>
      <c r="AA156" s="473"/>
      <c r="AB156" s="473"/>
      <c r="AC156" s="473"/>
      <c r="AD156" s="473"/>
      <c r="AE156" s="474"/>
      <c r="AF156" s="186">
        <f>IFERROR(SUM(AG61,AG112)/AF145,"")</f>
        <v>0.17358049059298059</v>
      </c>
      <c r="AG156" s="472"/>
      <c r="AH156" s="473"/>
      <c r="AI156" s="473"/>
      <c r="AJ156" s="473"/>
      <c r="AK156" s="473"/>
      <c r="AL156" s="473"/>
      <c r="AM156" s="473"/>
      <c r="AN156" s="473"/>
      <c r="AO156" s="474"/>
      <c r="AP156" s="186">
        <f>IFERROR(SUM(AQ61,AQ112)/AP145,"")</f>
        <v>0.19020168064953705</v>
      </c>
      <c r="AQ156" s="472"/>
      <c r="AR156" s="473"/>
      <c r="AS156" s="473"/>
      <c r="AT156" s="473"/>
      <c r="AU156" s="473"/>
      <c r="AV156" s="473"/>
      <c r="AW156" s="473"/>
      <c r="AX156" s="473"/>
      <c r="AY156" s="474"/>
      <c r="AZ156" s="186">
        <f>IFERROR(SUM(BA61,BA112)/AZ145,"")</f>
        <v>0.19242687261944511</v>
      </c>
      <c r="BA156" s="472"/>
      <c r="BB156" s="473"/>
      <c r="BC156" s="473"/>
      <c r="BD156" s="473"/>
      <c r="BE156" s="473"/>
      <c r="BF156" s="473"/>
      <c r="BG156" s="473"/>
      <c r="BH156" s="473"/>
      <c r="BI156" s="474"/>
      <c r="BJ156" s="186">
        <f>IFERROR(SUM(BK61,BK112)/BJ145,"")</f>
        <v>0.22060375333230378</v>
      </c>
      <c r="BK156" s="472"/>
      <c r="BL156" s="473"/>
      <c r="BM156" s="473"/>
      <c r="BN156" s="473"/>
      <c r="BO156" s="473"/>
      <c r="BP156" s="473"/>
      <c r="BQ156" s="473"/>
      <c r="BR156" s="473"/>
      <c r="BS156" s="474"/>
      <c r="BT156" s="186">
        <f>IFERROR(SUM(BU61,BU112)/BT145,"")</f>
        <v>0.22874634195727844</v>
      </c>
      <c r="BU156" s="478"/>
      <c r="BV156" s="479"/>
      <c r="BW156" s="479"/>
      <c r="BX156" s="479"/>
      <c r="BY156" s="479"/>
      <c r="BZ156" s="479"/>
      <c r="CA156" s="479"/>
      <c r="CB156" s="479"/>
      <c r="CC156" s="480"/>
    </row>
    <row r="157" spans="1:81" s="185" customFormat="1" ht="20.25" customHeight="1" x14ac:dyDescent="0.2">
      <c r="A157" s="187" t="s">
        <v>141</v>
      </c>
      <c r="B157" s="186">
        <f>IFERROR(SUM(C86)/B145,"")</f>
        <v>0.1296774525090757</v>
      </c>
      <c r="C157" s="472"/>
      <c r="D157" s="473"/>
      <c r="E157" s="473"/>
      <c r="F157" s="473"/>
      <c r="G157" s="473"/>
      <c r="H157" s="473"/>
      <c r="I157" s="473"/>
      <c r="J157" s="473"/>
      <c r="K157" s="474"/>
      <c r="L157" s="186">
        <f>IFERROR(SUM(M86)/L145,"")</f>
        <v>4.3156679783059856E-2</v>
      </c>
      <c r="M157" s="472"/>
      <c r="N157" s="473"/>
      <c r="O157" s="473"/>
      <c r="P157" s="473"/>
      <c r="Q157" s="473"/>
      <c r="R157" s="473"/>
      <c r="S157" s="473"/>
      <c r="T157" s="473"/>
      <c r="U157" s="474"/>
      <c r="V157" s="186">
        <f>IFERROR(SUM(W86)/V145,"")</f>
        <v>4.0640762440101334E-2</v>
      </c>
      <c r="W157" s="472"/>
      <c r="X157" s="473"/>
      <c r="Y157" s="473"/>
      <c r="Z157" s="473"/>
      <c r="AA157" s="473"/>
      <c r="AB157" s="473"/>
      <c r="AC157" s="473"/>
      <c r="AD157" s="473"/>
      <c r="AE157" s="474"/>
      <c r="AF157" s="186">
        <f>IFERROR(SUM(AG86)/AF145,"")</f>
        <v>4.0724849740933267E-2</v>
      </c>
      <c r="AG157" s="472"/>
      <c r="AH157" s="473"/>
      <c r="AI157" s="473"/>
      <c r="AJ157" s="473"/>
      <c r="AK157" s="473"/>
      <c r="AL157" s="473"/>
      <c r="AM157" s="473"/>
      <c r="AN157" s="473"/>
      <c r="AO157" s="474"/>
      <c r="AP157" s="186">
        <f>IFERROR(SUM(AQ86)/AP145,"")</f>
        <v>4.4918610829125682E-2</v>
      </c>
      <c r="AQ157" s="472"/>
      <c r="AR157" s="473"/>
      <c r="AS157" s="473"/>
      <c r="AT157" s="473"/>
      <c r="AU157" s="473"/>
      <c r="AV157" s="473"/>
      <c r="AW157" s="473"/>
      <c r="AX157" s="473"/>
      <c r="AY157" s="474"/>
      <c r="AZ157" s="186">
        <f>IFERROR(SUM(BA86)/AZ145,"")</f>
        <v>3.9100480077458026E-2</v>
      </c>
      <c r="BA157" s="472"/>
      <c r="BB157" s="473"/>
      <c r="BC157" s="473"/>
      <c r="BD157" s="473"/>
      <c r="BE157" s="473"/>
      <c r="BF157" s="473"/>
      <c r="BG157" s="473"/>
      <c r="BH157" s="473"/>
      <c r="BI157" s="474"/>
      <c r="BJ157" s="186">
        <f>IFERROR(SUM(BK86)/BJ145,"")</f>
        <v>3.9375447387635924E-2</v>
      </c>
      <c r="BK157" s="472"/>
      <c r="BL157" s="473"/>
      <c r="BM157" s="473"/>
      <c r="BN157" s="473"/>
      <c r="BO157" s="473"/>
      <c r="BP157" s="473"/>
      <c r="BQ157" s="473"/>
      <c r="BR157" s="473"/>
      <c r="BS157" s="474"/>
      <c r="BT157" s="186">
        <f>IFERROR(SUM(BU86)/BT145,"")</f>
        <v>5.0735782314613433E-2</v>
      </c>
      <c r="BU157" s="478"/>
      <c r="BV157" s="479"/>
      <c r="BW157" s="479"/>
      <c r="BX157" s="479"/>
      <c r="BY157" s="479"/>
      <c r="BZ157" s="479"/>
      <c r="CA157" s="479"/>
      <c r="CB157" s="479"/>
      <c r="CC157" s="480"/>
    </row>
    <row r="158" spans="1:81" s="185" customFormat="1" ht="20.25" customHeight="1" x14ac:dyDescent="0.2">
      <c r="A158" s="187" t="s">
        <v>140</v>
      </c>
      <c r="B158" s="186">
        <f>IFERROR(C135/B145,"")</f>
        <v>8.1688910149362373E-2</v>
      </c>
      <c r="C158" s="475"/>
      <c r="D158" s="476"/>
      <c r="E158" s="476"/>
      <c r="F158" s="476"/>
      <c r="G158" s="476"/>
      <c r="H158" s="476"/>
      <c r="I158" s="476"/>
      <c r="J158" s="476"/>
      <c r="K158" s="477"/>
      <c r="L158" s="186">
        <f>IFERROR(M135/L145,"")</f>
        <v>0.33719036204907876</v>
      </c>
      <c r="M158" s="475"/>
      <c r="N158" s="476"/>
      <c r="O158" s="476"/>
      <c r="P158" s="476"/>
      <c r="Q158" s="476"/>
      <c r="R158" s="476"/>
      <c r="S158" s="476"/>
      <c r="T158" s="476"/>
      <c r="U158" s="477"/>
      <c r="V158" s="186">
        <f>IFERROR(W135/V145,"")</f>
        <v>0.31956980114706263</v>
      </c>
      <c r="W158" s="475"/>
      <c r="X158" s="476"/>
      <c r="Y158" s="476"/>
      <c r="Z158" s="476"/>
      <c r="AA158" s="476"/>
      <c r="AB158" s="476"/>
      <c r="AC158" s="476"/>
      <c r="AD158" s="476"/>
      <c r="AE158" s="477"/>
      <c r="AF158" s="186">
        <f>IFERROR(AG135/AF145,"")</f>
        <v>0.29587974567758857</v>
      </c>
      <c r="AG158" s="475"/>
      <c r="AH158" s="476"/>
      <c r="AI158" s="476"/>
      <c r="AJ158" s="476"/>
      <c r="AK158" s="476"/>
      <c r="AL158" s="476"/>
      <c r="AM158" s="476"/>
      <c r="AN158" s="476"/>
      <c r="AO158" s="477"/>
      <c r="AP158" s="186">
        <f>IFERROR(AQ135/AP145,"")</f>
        <v>0.27105090886198224</v>
      </c>
      <c r="AQ158" s="475"/>
      <c r="AR158" s="476"/>
      <c r="AS158" s="476"/>
      <c r="AT158" s="476"/>
      <c r="AU158" s="476"/>
      <c r="AV158" s="476"/>
      <c r="AW158" s="476"/>
      <c r="AX158" s="476"/>
      <c r="AY158" s="477"/>
      <c r="AZ158" s="186">
        <f>IFERROR(BA135/AZ145,"")</f>
        <v>0.25755905838323073</v>
      </c>
      <c r="BA158" s="475"/>
      <c r="BB158" s="476"/>
      <c r="BC158" s="476"/>
      <c r="BD158" s="476"/>
      <c r="BE158" s="476"/>
      <c r="BF158" s="476"/>
      <c r="BG158" s="476"/>
      <c r="BH158" s="476"/>
      <c r="BI158" s="477"/>
      <c r="BJ158" s="186">
        <f>IFERROR(BK135/BJ145,"")</f>
        <v>0.24262086390716606</v>
      </c>
      <c r="BK158" s="475"/>
      <c r="BL158" s="476"/>
      <c r="BM158" s="476"/>
      <c r="BN158" s="476"/>
      <c r="BO158" s="476"/>
      <c r="BP158" s="476"/>
      <c r="BQ158" s="476"/>
      <c r="BR158" s="476"/>
      <c r="BS158" s="477"/>
      <c r="BT158" s="186">
        <f>IFERROR(BU135/BT145,"")</f>
        <v>0.23420121476154293</v>
      </c>
      <c r="BU158" s="481"/>
      <c r="BV158" s="482"/>
      <c r="BW158" s="482"/>
      <c r="BX158" s="482"/>
      <c r="BY158" s="482"/>
      <c r="BZ158" s="482"/>
      <c r="CA158" s="482"/>
      <c r="CB158" s="482"/>
      <c r="CC158" s="483"/>
    </row>
    <row r="159" spans="1:81" s="180" customFormat="1" x14ac:dyDescent="0.2">
      <c r="B159" s="182"/>
      <c r="C159" s="182"/>
      <c r="D159" s="184"/>
      <c r="E159" s="182"/>
      <c r="F159" s="182"/>
      <c r="G159" s="182"/>
      <c r="H159" s="182"/>
      <c r="I159" s="182"/>
      <c r="J159" s="182"/>
      <c r="K159" s="182"/>
      <c r="L159" s="182"/>
      <c r="M159" s="182"/>
      <c r="N159" s="184"/>
      <c r="O159" s="182"/>
      <c r="P159" s="182"/>
      <c r="Q159" s="182"/>
      <c r="R159" s="182"/>
      <c r="S159" s="182"/>
      <c r="T159" s="182"/>
      <c r="U159" s="182"/>
      <c r="V159" s="182"/>
      <c r="W159" s="182"/>
      <c r="X159" s="184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4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4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4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4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4"/>
      <c r="BW159" s="182"/>
      <c r="BX159" s="182"/>
      <c r="BY159" s="182"/>
      <c r="BZ159" s="182"/>
      <c r="CA159" s="182"/>
      <c r="CB159" s="182"/>
      <c r="CC159" s="182"/>
    </row>
    <row r="160" spans="1:81" s="180" customFormat="1" x14ac:dyDescent="0.2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3"/>
      <c r="X160" s="183"/>
      <c r="Y160" s="182"/>
      <c r="Z160" s="182"/>
      <c r="AA160" s="182"/>
      <c r="AB160" s="182"/>
      <c r="AC160" s="182"/>
      <c r="AD160" s="182"/>
      <c r="AE160" s="182"/>
      <c r="AF160" s="182"/>
      <c r="AG160" s="183"/>
      <c r="AH160" s="183"/>
      <c r="AI160" s="182"/>
      <c r="AJ160" s="182"/>
      <c r="AK160" s="182"/>
      <c r="AL160" s="182"/>
      <c r="AM160" s="182"/>
      <c r="AN160" s="182"/>
      <c r="AO160" s="182"/>
      <c r="AP160" s="182"/>
      <c r="AQ160" s="183"/>
      <c r="AR160" s="183"/>
      <c r="AS160" s="182"/>
      <c r="AT160" s="182"/>
      <c r="AU160" s="182"/>
      <c r="AV160" s="182"/>
      <c r="AW160" s="182"/>
      <c r="AX160" s="182"/>
      <c r="AY160" s="182"/>
      <c r="AZ160" s="182"/>
      <c r="BA160" s="183"/>
      <c r="BB160" s="183"/>
      <c r="BC160" s="182"/>
      <c r="BD160" s="182"/>
      <c r="BE160" s="182"/>
      <c r="BF160" s="182"/>
      <c r="BG160" s="182"/>
      <c r="BH160" s="182"/>
      <c r="BI160" s="182"/>
      <c r="BJ160" s="182"/>
      <c r="BK160" s="183"/>
      <c r="BL160" s="183"/>
      <c r="BM160" s="182"/>
      <c r="BN160" s="182"/>
      <c r="BO160" s="182"/>
      <c r="BP160" s="182"/>
      <c r="BQ160" s="182"/>
      <c r="BR160" s="182"/>
      <c r="BS160" s="182"/>
      <c r="BT160" s="182"/>
      <c r="BU160" s="183"/>
      <c r="BV160" s="183"/>
      <c r="BW160" s="182"/>
      <c r="BX160" s="182"/>
      <c r="BY160" s="182"/>
      <c r="BZ160" s="182"/>
      <c r="CA160" s="182"/>
      <c r="CB160" s="182"/>
      <c r="CC160" s="182"/>
    </row>
    <row r="161" spans="2:72" s="180" customFormat="1" ht="15" x14ac:dyDescent="0.25">
      <c r="B161" s="181"/>
      <c r="L161" s="181"/>
      <c r="V161" s="181"/>
      <c r="AF161" s="181"/>
      <c r="AP161" s="181"/>
      <c r="AZ161" s="181"/>
      <c r="BJ161" s="181"/>
      <c r="BT161" s="181"/>
    </row>
    <row r="162" spans="2:72" s="180" customFormat="1" x14ac:dyDescent="0.2"/>
    <row r="163" spans="2:72" s="180" customFormat="1" x14ac:dyDescent="0.2"/>
    <row r="164" spans="2:72" s="180" customFormat="1" x14ac:dyDescent="0.2"/>
    <row r="165" spans="2:72" s="180" customFormat="1" x14ac:dyDescent="0.2"/>
    <row r="166" spans="2:72" s="180" customFormat="1" x14ac:dyDescent="0.2"/>
    <row r="167" spans="2:72" s="180" customFormat="1" x14ac:dyDescent="0.2"/>
    <row r="168" spans="2:72" s="180" customFormat="1" x14ac:dyDescent="0.2"/>
    <row r="169" spans="2:72" s="180" customFormat="1" x14ac:dyDescent="0.2"/>
    <row r="170" spans="2:72" s="180" customFormat="1" x14ac:dyDescent="0.2"/>
    <row r="171" spans="2:72" s="180" customFormat="1" x14ac:dyDescent="0.2"/>
    <row r="172" spans="2:72" s="180" customFormat="1" x14ac:dyDescent="0.2"/>
    <row r="173" spans="2:72" s="180" customFormat="1" x14ac:dyDescent="0.2"/>
    <row r="174" spans="2:72" s="180" customFormat="1" x14ac:dyDescent="0.2"/>
    <row r="175" spans="2:72" s="180" customFormat="1" x14ac:dyDescent="0.2"/>
    <row r="176" spans="2:72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</sheetData>
  <sheetProtection formatColumns="0" insertRows="0"/>
  <mergeCells count="32">
    <mergeCell ref="BA138:BI138"/>
    <mergeCell ref="BK138:BS138"/>
    <mergeCell ref="BU138:CC138"/>
    <mergeCell ref="C139:K158"/>
    <mergeCell ref="M139:U158"/>
    <mergeCell ref="W139:AE158"/>
    <mergeCell ref="AG139:AO158"/>
    <mergeCell ref="AQ139:AY158"/>
    <mergeCell ref="BA139:BI158"/>
    <mergeCell ref="BK139:BS158"/>
    <mergeCell ref="BU139:CC158"/>
    <mergeCell ref="C138:K138"/>
    <mergeCell ref="M138:U138"/>
    <mergeCell ref="W138:AE138"/>
    <mergeCell ref="AG138:AO138"/>
    <mergeCell ref="AQ138:AY138"/>
    <mergeCell ref="AZ2:BI2"/>
    <mergeCell ref="BJ2:BS2"/>
    <mergeCell ref="BT2:CC2"/>
    <mergeCell ref="E5:I5"/>
    <mergeCell ref="O5:S5"/>
    <mergeCell ref="Y5:AC5"/>
    <mergeCell ref="AI5:AM5"/>
    <mergeCell ref="AS5:AW5"/>
    <mergeCell ref="BC5:BG5"/>
    <mergeCell ref="BM5:BQ5"/>
    <mergeCell ref="BW5:CA5"/>
    <mergeCell ref="B2:K2"/>
    <mergeCell ref="L2:T2"/>
    <mergeCell ref="V2:AE2"/>
    <mergeCell ref="AF2:AO2"/>
    <mergeCell ref="AP2:AY2"/>
  </mergeCells>
  <dataValidations count="2">
    <dataValidation type="custom" operator="greaterThanOrEqual" allowBlank="1" showInputMessage="1" showErrorMessage="1" errorTitle="data type error" error="value must be a number" sqref="L139:L141 V143 L143 L150 V139:V141 V150 V107:V110 B139:B141 B143 B150 L92:L97 AF107:AF110 E92:K98 AF143 V92:V97 AF139:AF141 AF150 L26:L32 B92:B97 V26:V32 AP26:AP32 AI92:AO98 AI107:AO111 AF92:AF97 AP107:AP110 AS26:AY33 AS107:AY111 AP143 AP139:AP141 AP150 AP92:AP97 Y107:AE111 AS92:AY98 O26:U33 AP63:AP84 V63:V84 L63:L84 AS63:AY85 BC63:BI85 B63:B84 AZ107:AZ110 AF63:AF84 AZ26:AZ32 BC26:BI33 AZ63:AZ84 BC107:BI111 AZ143 AZ139:AZ141 AZ150 AZ92:AZ97 O107:U111 BC92:BI98 AI26:AO33 AI63:AO85 Y63:AE85 E26:K33 Y92:AE98 O63:U85 O92:U98 BJ107:BJ110 E63:K85 BJ26:BJ32 BJ63:BJ84 BJ143 BJ139:BJ141 BJ150 BJ92:BJ97 BM63:BS85 O36:V53 BM101:BS111 BM92:BS98 BJ116:BJ133 V116:V133 E116:K134 O116:U134 AZ116:AZ133 BC116:BI134 AP116:AP133 AS116:AY134 AF116:AF133 AI116:AO134 L116:L133 Y116:AE134 B116:B133 BC101:BJ106 AS101:AZ106 AI101:AP106 Y101:AF106 L107:L110 O101:V106 E107:K111 E101:L106 B101:B110 AS36:AZ53 E36:L53 BC36:BJ53 Y36:AF53 Y54:AE60 AI36:AP53 AP54:AP59 AF54:AF59 BJ54:BJ59 E54:K60 O54:U60 BC54:BI60 AZ54:AZ59 AI54:AO60 L54:L59 AS54:AY60 V54:V59 B36:B59 BM10:BS33 Y10:AE33 BC10:BJ25 B10:B32 AS10:AZ25 AI10:AP25 O10:V25 E10:L25 AF10:AF32 BN45:BQ45 BS45:BT45 BM116:BS134 BM55:BS60 BN54:BT54 BT143 BT139:BT141 BT150 BT55:BT59 BT92:BT97 BT63:BT84 BT101:BT110 BW36:CC60 BT10:BT32 BW10:CC33 BM36:BT44 BM46:BT53 BW63:CC85 BW92:CC98 BW101:CC111 BW116:CC134 BT116:BT133" xr:uid="{00000000-0002-0000-0000-000001000000}">
      <formula1>ISNUMBER(B10)</formula1>
    </dataValidation>
    <dataValidation type="whole" operator="greaterThanOrEqual" allowBlank="1" showInputMessage="1" showErrorMessage="1" errorTitle="Data Type Error" error="Value must be a number greater than or equal to 0." sqref="L134:N134 L98:N98 L85:N85 L60:N60 L33:N33 B33:D33 V134:X134 V98:X98 V85:X85 V60:X60 V33:X33 L111:N111 B111:D111 B134:D134 B98:D98 B85:D85 B60:D60 V111:X111 W92:X97 M92:N97 C92:D97 AF134:AH134 AF98:AH98 AF85:AH85 AF60:AH60 AF33:AH33 AF111:AH111 AG92:AH97 AP134:AR134 AP98:AR98 AP85:AR85 AP60:AR60 AP33:AR33 AP111:AR111 AQ92:AR97 AQ63:AR84 AG63:AH84 M63:N84 C63:D84 W63:X84 AZ134:BB134 AZ98:BB98 AZ85:BB85 AZ60:BB60 AZ33:BB33 AZ111:BB111 BA92:BB97 BA63:BB84 BJ134:BL134 BJ98:BL98 BJ85:BL85 BJ60:BL60 BJ33:BL33 BJ111:BL111 BK116:BL133 BK63:BL84 BK92:BL97 BK101:BL110 BA36:BB59 W116:X133 BA116:BB133 AQ116:AR133 AG116:AH133 M116:N133 C116:D133 M101:N110 W101:X110 C101:D110 AG101:AH110 AQ101:AR110 BA101:BB110 BK36:BL59 M36:N59 AQ36:AR59 AG36:AH59 C36:D59 W36:X59 BK10:BL32 BA10:BB32 W10:X32 M10:N32 AG10:AH32 AQ10:AR32 C10:D32 BT134:BV134 BT98:BV98 BT85:BV85 BT60:BV60 BT33:BV33 BT111:BV111 BU101:BV110 BU36:BV59 BU63:BV84 BU92:BV97 BU10:BV32 BU116:BV133" xr:uid="{00000000-0002-0000-0000-000000000000}">
      <formula1>0</formula1>
    </dataValidation>
  </dataValidations>
  <pageMargins left="0.25" right="0.25" top="0.75" bottom="0.75" header="0.3" footer="0.3"/>
  <pageSetup paperSize="5" scale="49" fitToHeight="0" orientation="landscape" r:id="rId1"/>
  <headerFooter>
    <oddHeader>&amp;C&amp;"-,Bold"&amp;22University of Nebraska at Omaha
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C2F3-3D0A-4FD1-A5A6-D578B271AC48}">
  <sheetPr>
    <pageSetUpPr fitToPage="1"/>
  </sheetPr>
  <dimension ref="A1:AC48"/>
  <sheetViews>
    <sheetView showGridLines="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P50" sqref="P50"/>
    </sheetView>
  </sheetViews>
  <sheetFormatPr defaultColWidth="8.42578125" defaultRowHeight="12.75" x14ac:dyDescent="0.2"/>
  <cols>
    <col min="1" max="1" width="1.5703125" style="11" customWidth="1"/>
    <col min="2" max="2" width="2.42578125" style="11" customWidth="1"/>
    <col min="3" max="3" width="3.28515625" style="11" customWidth="1"/>
    <col min="4" max="4" width="35.5703125" style="11" customWidth="1"/>
    <col min="5" max="5" width="2.42578125" style="11" hidden="1" customWidth="1"/>
    <col min="6" max="6" width="14.42578125" style="11" hidden="1" customWidth="1"/>
    <col min="7" max="7" width="3.28515625" style="11" customWidth="1"/>
    <col min="8" max="8" width="2.42578125" style="11" customWidth="1"/>
    <col min="9" max="9" width="14.42578125" style="11" customWidth="1"/>
    <col min="10" max="10" width="3.28515625" style="11" customWidth="1"/>
    <col min="11" max="11" width="2.42578125" style="11" customWidth="1"/>
    <col min="12" max="12" width="14.42578125" style="11" customWidth="1"/>
    <col min="13" max="13" width="3.28515625" style="11" customWidth="1"/>
    <col min="14" max="14" width="2.42578125" style="11" customWidth="1"/>
    <col min="15" max="15" width="14.42578125" style="11" customWidth="1"/>
    <col min="16" max="16" width="3.5703125" style="11" bestFit="1" customWidth="1"/>
    <col min="17" max="17" width="14.42578125" style="11" customWidth="1"/>
    <col min="18" max="18" width="3.5703125" style="11" bestFit="1" customWidth="1"/>
    <col min="19" max="19" width="14.42578125" style="11" customWidth="1"/>
    <col min="20" max="20" width="3.5703125" style="11" bestFit="1" customWidth="1"/>
    <col min="21" max="21" width="14.42578125" style="11" customWidth="1"/>
    <col min="22" max="22" width="3.5703125" style="11" bestFit="1" customWidth="1"/>
    <col min="23" max="23" width="14.42578125" style="11" customWidth="1"/>
    <col min="24" max="24" width="3.5703125" style="11" bestFit="1" customWidth="1"/>
    <col min="25" max="25" width="14.42578125" style="11" customWidth="1"/>
    <col min="26" max="26" width="3.5703125" style="11" bestFit="1" customWidth="1"/>
    <col min="27" max="27" width="14.42578125" style="11" customWidth="1"/>
    <col min="28" max="28" width="3.5703125" style="11" bestFit="1" customWidth="1"/>
    <col min="29" max="29" width="14.42578125" style="11" customWidth="1"/>
    <col min="30" max="16384" width="8.42578125" style="11"/>
  </cols>
  <sheetData>
    <row r="1" spans="1:29" ht="22.5" x14ac:dyDescent="0.3">
      <c r="A1" s="484" t="s">
        <v>85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9" ht="20.25" x14ac:dyDescent="0.3">
      <c r="A2" s="485" t="s">
        <v>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9" ht="18.75" x14ac:dyDescent="0.3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customHeight="1" x14ac:dyDescent="0.25">
      <c r="A4" s="34" t="s">
        <v>87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x14ac:dyDescent="0.2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12" customHeight="1" x14ac:dyDescent="0.2">
      <c r="A6" s="12"/>
      <c r="B6" s="12"/>
      <c r="C6" s="12"/>
      <c r="D6" s="12"/>
      <c r="F6" s="31" t="s">
        <v>88</v>
      </c>
      <c r="G6" s="31"/>
      <c r="H6" s="21"/>
      <c r="I6" s="31" t="s">
        <v>88</v>
      </c>
      <c r="J6" s="31"/>
      <c r="K6" s="21"/>
      <c r="L6" s="31" t="s">
        <v>88</v>
      </c>
      <c r="M6" s="31"/>
      <c r="N6" s="21"/>
      <c r="O6" s="31" t="s">
        <v>88</v>
      </c>
      <c r="P6" s="31"/>
      <c r="Q6" s="31" t="s">
        <v>88</v>
      </c>
      <c r="R6" s="21"/>
      <c r="S6" s="31" t="s">
        <v>88</v>
      </c>
      <c r="T6" s="21"/>
      <c r="U6" s="31" t="s">
        <v>88</v>
      </c>
      <c r="V6" s="21"/>
      <c r="W6" s="31" t="s">
        <v>88</v>
      </c>
      <c r="X6" s="21"/>
      <c r="Y6" s="31" t="s">
        <v>88</v>
      </c>
      <c r="Z6" s="21"/>
      <c r="AA6" s="31" t="s">
        <v>89</v>
      </c>
      <c r="AB6" s="21"/>
      <c r="AC6" s="31" t="s">
        <v>89</v>
      </c>
    </row>
    <row r="7" spans="1:29" ht="12" customHeight="1" x14ac:dyDescent="0.2">
      <c r="A7" s="12"/>
      <c r="B7" s="12"/>
      <c r="C7" s="12"/>
      <c r="D7" s="12"/>
      <c r="F7" s="179" t="s">
        <v>90</v>
      </c>
      <c r="G7" s="30"/>
      <c r="H7" s="21"/>
      <c r="I7" s="179" t="s">
        <v>91</v>
      </c>
      <c r="J7" s="30"/>
      <c r="K7" s="21"/>
      <c r="L7" s="179" t="s">
        <v>92</v>
      </c>
      <c r="M7" s="30"/>
      <c r="N7" s="21"/>
      <c r="O7" s="179" t="s">
        <v>93</v>
      </c>
      <c r="P7" s="21"/>
      <c r="Q7" s="179" t="s">
        <v>94</v>
      </c>
      <c r="R7" s="21"/>
      <c r="S7" s="179" t="s">
        <v>95</v>
      </c>
      <c r="T7" s="21"/>
      <c r="U7" s="179" t="s">
        <v>96</v>
      </c>
      <c r="V7" s="21"/>
      <c r="W7" s="179" t="s">
        <v>97</v>
      </c>
      <c r="X7" s="21"/>
      <c r="Y7" s="179" t="s">
        <v>98</v>
      </c>
      <c r="Z7" s="21"/>
      <c r="AA7" s="179" t="s">
        <v>137</v>
      </c>
      <c r="AB7" s="21"/>
      <c r="AC7" s="179" t="s">
        <v>139</v>
      </c>
    </row>
    <row r="8" spans="1:29" x14ac:dyDescent="0.2">
      <c r="A8" s="11" t="s">
        <v>99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x14ac:dyDescent="0.2">
      <c r="B9" s="11" t="s">
        <v>16</v>
      </c>
      <c r="E9" s="26" t="s">
        <v>100</v>
      </c>
      <c r="F9" s="21">
        <v>90310256</v>
      </c>
      <c r="G9" s="24"/>
      <c r="H9" s="25" t="s">
        <v>100</v>
      </c>
      <c r="I9" s="21">
        <v>100636563</v>
      </c>
      <c r="J9" s="24"/>
      <c r="K9" s="25" t="s">
        <v>100</v>
      </c>
      <c r="L9" s="21">
        <v>105530538</v>
      </c>
      <c r="M9" s="24"/>
      <c r="N9" s="25" t="s">
        <v>100</v>
      </c>
      <c r="O9" s="21">
        <v>109032214</v>
      </c>
      <c r="P9" s="25" t="s">
        <v>100</v>
      </c>
      <c r="Q9" s="21">
        <v>112090377</v>
      </c>
      <c r="R9" s="25" t="s">
        <v>100</v>
      </c>
      <c r="S9" s="21">
        <v>115560900</v>
      </c>
      <c r="T9" s="25" t="s">
        <v>100</v>
      </c>
      <c r="U9" s="21">
        <v>117506758</v>
      </c>
      <c r="V9" s="25" t="s">
        <v>100</v>
      </c>
      <c r="W9" s="21">
        <v>114793180</v>
      </c>
      <c r="X9" s="25" t="s">
        <v>100</v>
      </c>
      <c r="Y9" s="21">
        <v>115062650</v>
      </c>
      <c r="Z9" s="25" t="s">
        <v>100</v>
      </c>
      <c r="AA9" s="21">
        <v>119917334</v>
      </c>
      <c r="AB9" s="25" t="s">
        <v>100</v>
      </c>
      <c r="AC9" s="21">
        <v>119917334</v>
      </c>
    </row>
    <row r="10" spans="1:29" x14ac:dyDescent="0.2">
      <c r="C10" s="11" t="s">
        <v>101</v>
      </c>
      <c r="F10" s="21">
        <v>-3339163</v>
      </c>
      <c r="G10" s="23"/>
      <c r="H10" s="22"/>
      <c r="I10" s="21">
        <v>-3581413</v>
      </c>
      <c r="J10" s="23"/>
      <c r="K10" s="22"/>
      <c r="L10" s="21">
        <v>-3551661</v>
      </c>
      <c r="M10" s="23"/>
      <c r="N10" s="22"/>
      <c r="O10" s="21">
        <v>-3719216</v>
      </c>
      <c r="P10" s="22"/>
      <c r="Q10" s="21">
        <v>-3803663</v>
      </c>
      <c r="R10" s="22"/>
      <c r="S10" s="21">
        <v>-3986587</v>
      </c>
      <c r="T10" s="22"/>
      <c r="U10" s="21">
        <v>-4252453</v>
      </c>
      <c r="V10" s="22"/>
      <c r="W10" s="21">
        <v>-3497173</v>
      </c>
      <c r="X10" s="22"/>
      <c r="Y10" s="21">
        <v>-2355402</v>
      </c>
      <c r="Z10" s="22"/>
      <c r="AA10" s="21">
        <v>-2359447</v>
      </c>
      <c r="AB10" s="22"/>
      <c r="AC10" s="21">
        <v>-2359447</v>
      </c>
    </row>
    <row r="11" spans="1:29" x14ac:dyDescent="0.2">
      <c r="C11" s="11" t="s">
        <v>102</v>
      </c>
      <c r="F11" s="21">
        <v>-14464772</v>
      </c>
      <c r="G11" s="23"/>
      <c r="H11" s="22"/>
      <c r="I11" s="21">
        <f>-20320382-I10</f>
        <v>-16738969</v>
      </c>
      <c r="J11" s="23"/>
      <c r="K11" s="22"/>
      <c r="L11" s="21">
        <v>-18004516</v>
      </c>
      <c r="M11" s="23"/>
      <c r="N11" s="22"/>
      <c r="O11" s="21">
        <f>-23288433-O10</f>
        <v>-19569217</v>
      </c>
      <c r="P11" s="22"/>
      <c r="Q11" s="21">
        <v>-20545404</v>
      </c>
      <c r="R11" s="22"/>
      <c r="S11" s="21">
        <f>-25829673+3986587</f>
        <v>-21843086</v>
      </c>
      <c r="T11" s="22"/>
      <c r="U11" s="21">
        <v>-20898878</v>
      </c>
      <c r="V11" s="22"/>
      <c r="W11" s="21">
        <v>-24590058</v>
      </c>
      <c r="X11" s="22"/>
      <c r="Y11" s="21">
        <f>-25881236+2355402</f>
        <v>-23525834</v>
      </c>
      <c r="Z11" s="22"/>
      <c r="AA11" s="21">
        <f>-26216078+2359447</f>
        <v>-23856631</v>
      </c>
      <c r="AB11" s="22"/>
      <c r="AC11" s="21">
        <f>+AA11</f>
        <v>-23856631</v>
      </c>
    </row>
    <row r="12" spans="1:29" x14ac:dyDescent="0.2">
      <c r="C12" s="11" t="s">
        <v>103</v>
      </c>
      <c r="F12" s="21">
        <f>-1710912-481441</f>
        <v>-2192353</v>
      </c>
      <c r="G12" s="23"/>
      <c r="H12" s="22"/>
      <c r="I12" s="21">
        <f>-1321190-517130</f>
        <v>-1838320</v>
      </c>
      <c r="J12" s="23"/>
      <c r="K12" s="22"/>
      <c r="L12" s="21">
        <v>-3039904</v>
      </c>
      <c r="M12" s="23"/>
      <c r="N12" s="22"/>
      <c r="O12" s="21">
        <f>-(2067201+268317)</f>
        <v>-2335518</v>
      </c>
      <c r="P12" s="22"/>
      <c r="Q12" s="21">
        <v>-2903265</v>
      </c>
      <c r="R12" s="22"/>
      <c r="S12" s="21">
        <v>-2034972</v>
      </c>
      <c r="T12" s="22"/>
      <c r="U12" s="21">
        <v>-2350135</v>
      </c>
      <c r="V12" s="22"/>
      <c r="W12" s="21">
        <v>-2619816</v>
      </c>
      <c r="X12" s="22"/>
      <c r="Y12" s="21">
        <v>-2337361</v>
      </c>
      <c r="Z12" s="22"/>
      <c r="AA12" s="21">
        <v>-2788118</v>
      </c>
      <c r="AB12" s="22"/>
      <c r="AC12" s="21">
        <v>-2788118</v>
      </c>
    </row>
    <row r="13" spans="1:29" x14ac:dyDescent="0.2">
      <c r="A13" s="29"/>
      <c r="D13" s="11" t="s">
        <v>104</v>
      </c>
      <c r="E13" s="26" t="s">
        <v>100</v>
      </c>
      <c r="F13" s="28">
        <f>SUM(F9:F12)</f>
        <v>70313968</v>
      </c>
      <c r="G13" s="24"/>
      <c r="H13" s="25" t="s">
        <v>100</v>
      </c>
      <c r="I13" s="28">
        <f>SUM(I9:I12)</f>
        <v>78477861</v>
      </c>
      <c r="J13" s="24"/>
      <c r="K13" s="25" t="s">
        <v>100</v>
      </c>
      <c r="L13" s="28">
        <f>SUM(L9:L12)</f>
        <v>80934457</v>
      </c>
      <c r="M13" s="24"/>
      <c r="N13" s="25" t="s">
        <v>100</v>
      </c>
      <c r="O13" s="28">
        <f>SUM(O9:O12)</f>
        <v>83408263</v>
      </c>
      <c r="P13" s="25" t="s">
        <v>100</v>
      </c>
      <c r="Q13" s="28">
        <f>SUM(Q9:Q12)</f>
        <v>84838045</v>
      </c>
      <c r="R13" s="25" t="s">
        <v>100</v>
      </c>
      <c r="S13" s="28">
        <f>SUM(S9:S12)</f>
        <v>87696255</v>
      </c>
      <c r="T13" s="25" t="s">
        <v>100</v>
      </c>
      <c r="U13" s="28">
        <f>SUM(U9:U12)</f>
        <v>90005292</v>
      </c>
      <c r="V13" s="25" t="s">
        <v>100</v>
      </c>
      <c r="W13" s="28">
        <f>SUM(W9:W12)</f>
        <v>84086133</v>
      </c>
      <c r="X13" s="25" t="s">
        <v>100</v>
      </c>
      <c r="Y13" s="28">
        <f>SUM(Y9:Y12)</f>
        <v>86844053</v>
      </c>
      <c r="Z13" s="25" t="s">
        <v>100</v>
      </c>
      <c r="AA13" s="28">
        <f>SUM(AA9:AA12)</f>
        <v>90913138</v>
      </c>
      <c r="AB13" s="25" t="s">
        <v>100</v>
      </c>
      <c r="AC13" s="28">
        <f>SUM(AC9:AC12)</f>
        <v>90913138</v>
      </c>
    </row>
    <row r="14" spans="1:29" x14ac:dyDescent="0.2">
      <c r="A14" s="11" t="s">
        <v>105</v>
      </c>
      <c r="F14" s="21"/>
      <c r="G14" s="24"/>
      <c r="H14" s="22"/>
      <c r="I14" s="21"/>
      <c r="J14" s="24"/>
      <c r="K14" s="22"/>
      <c r="L14" s="21"/>
      <c r="M14" s="24"/>
      <c r="N14" s="22"/>
      <c r="O14" s="21"/>
      <c r="P14" s="22"/>
      <c r="Q14" s="21"/>
      <c r="R14" s="22"/>
      <c r="S14" s="21"/>
      <c r="T14" s="22"/>
      <c r="U14" s="21"/>
      <c r="V14" s="22"/>
      <c r="W14" s="21"/>
      <c r="X14" s="22"/>
      <c r="Y14" s="21"/>
      <c r="Z14" s="22"/>
      <c r="AA14" s="21"/>
      <c r="AB14" s="22"/>
      <c r="AC14" s="21"/>
    </row>
    <row r="15" spans="1:29" x14ac:dyDescent="0.2">
      <c r="B15" s="11" t="s">
        <v>106</v>
      </c>
      <c r="E15" s="26" t="s">
        <v>100</v>
      </c>
      <c r="F15" s="21">
        <v>380042</v>
      </c>
      <c r="G15" s="23"/>
      <c r="H15" s="22"/>
      <c r="I15" s="21">
        <v>379781</v>
      </c>
      <c r="J15" s="23"/>
      <c r="K15" s="22"/>
      <c r="L15" s="21">
        <v>259231</v>
      </c>
      <c r="M15" s="23"/>
      <c r="N15" s="22"/>
      <c r="O15" s="21">
        <f>296710</f>
        <v>296710</v>
      </c>
      <c r="P15" s="22"/>
      <c r="Q15" s="21">
        <v>292800</v>
      </c>
      <c r="R15" s="22"/>
      <c r="S15" s="21">
        <v>308042</v>
      </c>
      <c r="T15" s="22"/>
      <c r="U15" s="21">
        <v>231063</v>
      </c>
      <c r="V15" s="22"/>
      <c r="W15" s="21">
        <v>189577</v>
      </c>
      <c r="X15" s="22"/>
      <c r="Y15" s="21">
        <v>217554.5</v>
      </c>
      <c r="Z15" s="22"/>
      <c r="AA15" s="21">
        <v>200000</v>
      </c>
      <c r="AB15" s="22"/>
      <c r="AC15" s="21">
        <f>+AA15</f>
        <v>200000</v>
      </c>
    </row>
    <row r="16" spans="1:29" ht="12.95" customHeight="1" x14ac:dyDescent="0.2">
      <c r="B16" s="11" t="s">
        <v>107</v>
      </c>
      <c r="F16" s="21">
        <v>623724</v>
      </c>
      <c r="G16" s="23"/>
      <c r="H16" s="22"/>
      <c r="I16" s="21">
        <v>597306</v>
      </c>
      <c r="J16" s="23"/>
      <c r="K16" s="22"/>
      <c r="L16" s="21">
        <v>608290</v>
      </c>
      <c r="M16" s="23"/>
      <c r="N16" s="22"/>
      <c r="O16" s="21">
        <f>657906+30450</f>
        <v>688356</v>
      </c>
      <c r="P16" s="22"/>
      <c r="Q16" s="21">
        <v>760365</v>
      </c>
      <c r="R16" s="22"/>
      <c r="S16" s="21">
        <v>486095</v>
      </c>
      <c r="T16" s="22"/>
      <c r="U16" s="21">
        <v>1132755</v>
      </c>
      <c r="V16" s="22"/>
      <c r="W16" s="21">
        <v>811875</v>
      </c>
      <c r="X16" s="22"/>
      <c r="Y16" s="21">
        <v>865905</v>
      </c>
      <c r="Z16" s="22"/>
      <c r="AA16" s="21">
        <v>650000</v>
      </c>
      <c r="AB16" s="22"/>
      <c r="AC16" s="21">
        <f>+AA16</f>
        <v>650000</v>
      </c>
    </row>
    <row r="17" spans="1:29" ht="12.95" customHeight="1" x14ac:dyDescent="0.2">
      <c r="B17" s="11" t="s">
        <v>108</v>
      </c>
      <c r="F17" s="21">
        <v>29850</v>
      </c>
      <c r="G17" s="23"/>
      <c r="H17" s="22"/>
      <c r="I17" s="21">
        <v>27085</v>
      </c>
      <c r="J17" s="23"/>
      <c r="K17" s="22"/>
      <c r="L17" s="21">
        <v>27315</v>
      </c>
      <c r="M17" s="23"/>
      <c r="N17" s="22"/>
      <c r="O17" s="21">
        <v>25775</v>
      </c>
      <c r="P17" s="22"/>
      <c r="Q17" s="21">
        <v>25925</v>
      </c>
      <c r="R17" s="22"/>
      <c r="S17" s="21">
        <v>22375</v>
      </c>
      <c r="T17" s="22"/>
      <c r="U17" s="21">
        <v>33275</v>
      </c>
      <c r="V17" s="22"/>
      <c r="W17" s="21">
        <v>28775</v>
      </c>
      <c r="X17" s="22"/>
      <c r="Y17" s="21">
        <v>28575</v>
      </c>
      <c r="Z17" s="22"/>
      <c r="AA17" s="21">
        <v>27000</v>
      </c>
      <c r="AB17" s="22"/>
      <c r="AC17" s="21">
        <f>+AA17</f>
        <v>27000</v>
      </c>
    </row>
    <row r="18" spans="1:29" ht="12.95" customHeight="1" x14ac:dyDescent="0.2">
      <c r="B18" s="11" t="s">
        <v>109</v>
      </c>
      <c r="F18" s="21">
        <v>120373</v>
      </c>
      <c r="G18" s="23"/>
      <c r="H18" s="22"/>
      <c r="I18" s="21">
        <v>123553</v>
      </c>
      <c r="J18" s="23"/>
      <c r="K18" s="22"/>
      <c r="L18" s="21">
        <v>126218</v>
      </c>
      <c r="M18" s="23"/>
      <c r="N18" s="22"/>
      <c r="O18" s="21">
        <f>130794.64</f>
        <v>130794.64</v>
      </c>
      <c r="P18" s="22"/>
      <c r="Q18" s="21">
        <v>121096</v>
      </c>
      <c r="R18" s="22"/>
      <c r="S18" s="21">
        <v>123485</v>
      </c>
      <c r="T18" s="22"/>
      <c r="U18" s="21">
        <v>139838</v>
      </c>
      <c r="V18" s="22"/>
      <c r="W18" s="21">
        <v>138632</v>
      </c>
      <c r="X18" s="22"/>
      <c r="Y18" s="21">
        <v>130150</v>
      </c>
      <c r="Z18" s="22"/>
      <c r="AA18" s="21">
        <v>120000</v>
      </c>
      <c r="AB18" s="22"/>
      <c r="AC18" s="21">
        <f>+AA18</f>
        <v>120000</v>
      </c>
    </row>
    <row r="19" spans="1:29" x14ac:dyDescent="0.2">
      <c r="A19" s="29"/>
      <c r="D19" s="11" t="s">
        <v>110</v>
      </c>
      <c r="E19" s="26" t="s">
        <v>100</v>
      </c>
      <c r="F19" s="28">
        <f>SUM(F15:F18)</f>
        <v>1153989</v>
      </c>
      <c r="G19" s="24"/>
      <c r="H19" s="25" t="s">
        <v>100</v>
      </c>
      <c r="I19" s="28">
        <f>SUM(I15:I18)</f>
        <v>1127725</v>
      </c>
      <c r="J19" s="24"/>
      <c r="K19" s="25" t="s">
        <v>100</v>
      </c>
      <c r="L19" s="28">
        <f>SUM(L15:L18)</f>
        <v>1021054</v>
      </c>
      <c r="M19" s="24"/>
      <c r="N19" s="25" t="s">
        <v>100</v>
      </c>
      <c r="O19" s="28">
        <f>SUM(O15:O18)</f>
        <v>1141635.6399999999</v>
      </c>
      <c r="P19" s="25" t="s">
        <v>100</v>
      </c>
      <c r="Q19" s="28">
        <f>SUM(Q15:Q18)</f>
        <v>1200186</v>
      </c>
      <c r="R19" s="25" t="s">
        <v>100</v>
      </c>
      <c r="S19" s="28">
        <f>SUM(S15:S18)</f>
        <v>939997</v>
      </c>
      <c r="T19" s="25" t="s">
        <v>100</v>
      </c>
      <c r="U19" s="28">
        <f>SUM(U15:U18)</f>
        <v>1536931</v>
      </c>
      <c r="V19" s="25" t="s">
        <v>100</v>
      </c>
      <c r="W19" s="28">
        <f>SUM(W15:W18)</f>
        <v>1168859</v>
      </c>
      <c r="X19" s="25" t="s">
        <v>100</v>
      </c>
      <c r="Y19" s="28">
        <f>SUM(Y15:Y18)</f>
        <v>1242184.5</v>
      </c>
      <c r="Z19" s="25" t="s">
        <v>100</v>
      </c>
      <c r="AA19" s="28">
        <f>SUM(AA15:AA18)</f>
        <v>997000</v>
      </c>
      <c r="AB19" s="25" t="s">
        <v>100</v>
      </c>
      <c r="AC19" s="28">
        <f>SUM(AC15:AC18)</f>
        <v>997000</v>
      </c>
    </row>
    <row r="20" spans="1:29" ht="12.95" customHeight="1" x14ac:dyDescent="0.2">
      <c r="A20" s="11" t="s">
        <v>111</v>
      </c>
      <c r="F20" s="21"/>
      <c r="G20" s="24"/>
      <c r="H20" s="22"/>
      <c r="I20" s="21"/>
      <c r="J20" s="24"/>
      <c r="K20" s="22"/>
      <c r="L20" s="21"/>
      <c r="M20" s="24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</row>
    <row r="21" spans="1:29" ht="12.95" customHeight="1" x14ac:dyDescent="0.2">
      <c r="B21" s="11" t="s">
        <v>112</v>
      </c>
      <c r="F21" s="21"/>
      <c r="G21" s="24"/>
      <c r="H21" s="22"/>
      <c r="I21" s="21"/>
      <c r="J21" s="24"/>
      <c r="K21" s="22"/>
      <c r="L21" s="21"/>
      <c r="M21" s="24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1"/>
    </row>
    <row r="22" spans="1:29" ht="12.95" customHeight="1" x14ac:dyDescent="0.2">
      <c r="C22" s="11" t="s">
        <v>113</v>
      </c>
      <c r="E22" s="26" t="s">
        <v>100</v>
      </c>
      <c r="F22" s="21">
        <v>276241</v>
      </c>
      <c r="G22" s="23"/>
      <c r="H22" s="22"/>
      <c r="I22" s="21">
        <v>277348</v>
      </c>
      <c r="J22" s="23"/>
      <c r="K22" s="22"/>
      <c r="L22" s="21">
        <v>298122</v>
      </c>
      <c r="M22" s="23"/>
      <c r="N22" s="22"/>
      <c r="O22" s="21">
        <v>265524.42</v>
      </c>
      <c r="P22" s="22"/>
      <c r="Q22" s="21">
        <v>247965</v>
      </c>
      <c r="R22" s="22"/>
      <c r="S22" s="21">
        <v>203351</v>
      </c>
      <c r="T22" s="22"/>
      <c r="U22" s="21">
        <v>0</v>
      </c>
      <c r="V22" s="22"/>
      <c r="W22" s="21">
        <v>145230</v>
      </c>
      <c r="X22" s="22"/>
      <c r="Y22" s="21">
        <v>156203</v>
      </c>
      <c r="Z22" s="22"/>
      <c r="AA22" s="21">
        <v>100000</v>
      </c>
      <c r="AB22" s="22"/>
      <c r="AC22" s="21">
        <f>+AA22</f>
        <v>100000</v>
      </c>
    </row>
    <row r="23" spans="1:29" ht="12.95" customHeight="1" x14ac:dyDescent="0.2">
      <c r="B23" s="11" t="s">
        <v>114</v>
      </c>
      <c r="F23" s="21"/>
      <c r="G23" s="23"/>
      <c r="H23" s="22"/>
      <c r="I23" s="21"/>
      <c r="J23" s="23"/>
      <c r="K23" s="22"/>
      <c r="L23" s="21"/>
      <c r="M23" s="23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</row>
    <row r="24" spans="1:29" x14ac:dyDescent="0.2">
      <c r="C24" s="11" t="s">
        <v>115</v>
      </c>
      <c r="F24" s="21">
        <v>1692486</v>
      </c>
      <c r="G24" s="23"/>
      <c r="H24" s="22"/>
      <c r="I24" s="21">
        <v>2183295</v>
      </c>
      <c r="J24" s="23"/>
      <c r="K24" s="22"/>
      <c r="L24" s="21">
        <v>2632114</v>
      </c>
      <c r="M24" s="23"/>
      <c r="N24" s="22"/>
      <c r="O24" s="21">
        <v>2750068.95</v>
      </c>
      <c r="P24" s="22"/>
      <c r="Q24" s="21">
        <v>2997238</v>
      </c>
      <c r="R24" s="22"/>
      <c r="S24" s="21">
        <v>3177903</v>
      </c>
      <c r="T24" s="22"/>
      <c r="U24" s="21">
        <v>3917243</v>
      </c>
      <c r="V24" s="22"/>
      <c r="W24" s="21">
        <f>+U24</f>
        <v>3917243</v>
      </c>
      <c r="X24" s="22"/>
      <c r="Y24" s="21">
        <v>3917243</v>
      </c>
      <c r="Z24" s="22"/>
      <c r="AA24" s="21">
        <v>2700000</v>
      </c>
      <c r="AB24" s="22"/>
      <c r="AC24" s="21">
        <f>+AA24</f>
        <v>2700000</v>
      </c>
    </row>
    <row r="25" spans="1:29" x14ac:dyDescent="0.2">
      <c r="C25" s="11" t="s">
        <v>116</v>
      </c>
      <c r="F25" s="21">
        <v>-1572486</v>
      </c>
      <c r="G25" s="23"/>
      <c r="H25" s="22"/>
      <c r="I25" s="21">
        <v>-2063295</v>
      </c>
      <c r="J25" s="23"/>
      <c r="K25" s="22"/>
      <c r="L25" s="21">
        <v>-2512114</v>
      </c>
      <c r="M25" s="23"/>
      <c r="N25" s="22"/>
      <c r="O25" s="21">
        <v>-2630068.9500000002</v>
      </c>
      <c r="P25" s="22"/>
      <c r="Q25" s="21">
        <v>-2877238</v>
      </c>
      <c r="R25" s="22"/>
      <c r="S25" s="21">
        <v>-3057903</v>
      </c>
      <c r="T25" s="22"/>
      <c r="U25" s="21">
        <v>-3797243</v>
      </c>
      <c r="V25" s="22"/>
      <c r="W25" s="21">
        <f>+U25</f>
        <v>-3797243</v>
      </c>
      <c r="X25" s="22"/>
      <c r="Y25" s="21">
        <v>-3797243</v>
      </c>
      <c r="Z25" s="22"/>
      <c r="AA25" s="21">
        <v>-2580000</v>
      </c>
      <c r="AB25" s="22"/>
      <c r="AC25" s="21">
        <f>+AA25</f>
        <v>-2580000</v>
      </c>
    </row>
    <row r="26" spans="1:29" x14ac:dyDescent="0.2">
      <c r="C26" s="11" t="s">
        <v>117</v>
      </c>
      <c r="F26" s="21"/>
      <c r="G26" s="23"/>
      <c r="H26" s="22"/>
      <c r="I26" s="21"/>
      <c r="J26" s="23"/>
      <c r="K26" s="22"/>
      <c r="L26" s="21"/>
      <c r="M26" s="23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</row>
    <row r="27" spans="1:29" x14ac:dyDescent="0.2">
      <c r="B27" s="11" t="s">
        <v>118</v>
      </c>
      <c r="F27" s="21">
        <v>494933</v>
      </c>
      <c r="G27" s="23"/>
      <c r="H27" s="22"/>
      <c r="I27" s="21">
        <v>520994</v>
      </c>
      <c r="J27" s="23"/>
      <c r="K27" s="22"/>
      <c r="L27" s="21">
        <v>522343</v>
      </c>
      <c r="M27" s="23"/>
      <c r="N27" s="22"/>
      <c r="O27" s="21">
        <v>563049.04</v>
      </c>
      <c r="P27" s="22"/>
      <c r="Q27" s="21">
        <v>892652</v>
      </c>
      <c r="R27" s="22"/>
      <c r="S27" s="21">
        <v>945842</v>
      </c>
      <c r="T27" s="22"/>
      <c r="U27" s="21">
        <v>846274</v>
      </c>
      <c r="V27" s="22"/>
      <c r="W27" s="21">
        <v>560486</v>
      </c>
      <c r="X27" s="22"/>
      <c r="Y27" s="21">
        <v>1007149</v>
      </c>
      <c r="Z27" s="22"/>
      <c r="AA27" s="21">
        <v>650000</v>
      </c>
      <c r="AB27" s="22"/>
      <c r="AC27" s="21">
        <f>+AA27</f>
        <v>650000</v>
      </c>
    </row>
    <row r="28" spans="1:29" x14ac:dyDescent="0.2">
      <c r="B28" s="11" t="s">
        <v>119</v>
      </c>
      <c r="F28" s="21">
        <v>2601354</v>
      </c>
      <c r="G28" s="23"/>
      <c r="H28" s="22"/>
      <c r="I28" s="21">
        <v>2980698</v>
      </c>
      <c r="J28" s="23"/>
      <c r="K28" s="22"/>
      <c r="L28" s="21">
        <v>3273243</v>
      </c>
      <c r="M28" s="23"/>
      <c r="N28" s="22"/>
      <c r="O28" s="21">
        <f>3332188</f>
        <v>3332188</v>
      </c>
      <c r="P28" s="22"/>
      <c r="Q28" s="21">
        <v>3560730</v>
      </c>
      <c r="R28" s="22"/>
      <c r="S28" s="21">
        <v>3869957</v>
      </c>
      <c r="T28" s="22"/>
      <c r="U28" s="21">
        <v>4531753</v>
      </c>
      <c r="V28" s="22"/>
      <c r="W28" s="21">
        <v>5331200</v>
      </c>
      <c r="X28" s="22"/>
      <c r="Y28" s="21">
        <v>5358202</v>
      </c>
      <c r="Z28" s="22"/>
      <c r="AA28" s="21"/>
      <c r="AB28" s="22"/>
      <c r="AC28" s="21"/>
    </row>
    <row r="29" spans="1:29" x14ac:dyDescent="0.2">
      <c r="B29" s="11" t="s">
        <v>120</v>
      </c>
      <c r="F29" s="21">
        <f>-F28</f>
        <v>-2601354</v>
      </c>
      <c r="G29" s="23"/>
      <c r="H29" s="22"/>
      <c r="I29" s="21">
        <f>-I28</f>
        <v>-2980698</v>
      </c>
      <c r="J29" s="23"/>
      <c r="K29" s="22"/>
      <c r="L29" s="21">
        <v>-3273243</v>
      </c>
      <c r="M29" s="23"/>
      <c r="N29" s="22"/>
      <c r="O29" s="21">
        <f>-O28</f>
        <v>-3332188</v>
      </c>
      <c r="P29" s="22"/>
      <c r="Q29" s="21">
        <f>-Q28</f>
        <v>-3560730</v>
      </c>
      <c r="R29" s="22"/>
      <c r="S29" s="21">
        <v>-3869957</v>
      </c>
      <c r="T29" s="22"/>
      <c r="U29" s="21">
        <v>-4531753</v>
      </c>
      <c r="V29" s="22"/>
      <c r="W29" s="21">
        <v>-5331200</v>
      </c>
      <c r="X29" s="22"/>
      <c r="Y29" s="21">
        <v>-5358202</v>
      </c>
      <c r="Z29" s="22"/>
      <c r="AA29" s="21"/>
      <c r="AB29" s="22"/>
      <c r="AC29" s="21"/>
    </row>
    <row r="30" spans="1:29" x14ac:dyDescent="0.2">
      <c r="B30" s="11" t="s">
        <v>34</v>
      </c>
      <c r="F30" s="21">
        <v>21456</v>
      </c>
      <c r="G30" s="23"/>
      <c r="H30" s="22"/>
      <c r="I30" s="21">
        <v>23669</v>
      </c>
      <c r="J30" s="23"/>
      <c r="K30" s="22"/>
      <c r="L30" s="21">
        <v>18584</v>
      </c>
      <c r="M30" s="23"/>
      <c r="N30" s="22"/>
      <c r="O30" s="21">
        <v>40427.79</v>
      </c>
      <c r="P30" s="22"/>
      <c r="Q30" s="21">
        <v>6913</v>
      </c>
      <c r="R30" s="22"/>
      <c r="S30" s="21">
        <v>30133</v>
      </c>
      <c r="T30" s="22"/>
      <c r="U30" s="21">
        <v>17792</v>
      </c>
      <c r="V30" s="22"/>
      <c r="W30" s="21">
        <v>-629</v>
      </c>
      <c r="X30" s="22"/>
      <c r="Y30" s="21">
        <v>21567</v>
      </c>
      <c r="Z30" s="22"/>
      <c r="AA30" s="21">
        <v>20430</v>
      </c>
      <c r="AB30" s="22"/>
      <c r="AC30" s="21">
        <f>+AA30</f>
        <v>20430</v>
      </c>
    </row>
    <row r="31" spans="1:29" x14ac:dyDescent="0.2">
      <c r="A31" s="12"/>
      <c r="B31" s="12"/>
      <c r="C31" s="12"/>
      <c r="D31" s="12" t="s">
        <v>121</v>
      </c>
      <c r="E31" s="26" t="s">
        <v>100</v>
      </c>
      <c r="F31" s="27">
        <f>SUM(F22:F30)</f>
        <v>912630</v>
      </c>
      <c r="G31" s="23"/>
      <c r="H31" s="25" t="s">
        <v>100</v>
      </c>
      <c r="I31" s="27">
        <f>SUM(I22:I30)</f>
        <v>942011</v>
      </c>
      <c r="J31" s="23"/>
      <c r="K31" s="25" t="s">
        <v>100</v>
      </c>
      <c r="L31" s="27">
        <f>SUM(L22:L30)</f>
        <v>959049</v>
      </c>
      <c r="M31" s="23"/>
      <c r="N31" s="25" t="s">
        <v>100</v>
      </c>
      <c r="O31" s="27">
        <f>SUM(O22:O30)</f>
        <v>989001.25</v>
      </c>
      <c r="P31" s="25" t="s">
        <v>100</v>
      </c>
      <c r="Q31" s="27">
        <f>SUM(Q22:Q30)</f>
        <v>1267530</v>
      </c>
      <c r="R31" s="25" t="s">
        <v>100</v>
      </c>
      <c r="S31" s="27">
        <f>SUM(S22:S30)</f>
        <v>1299326</v>
      </c>
      <c r="T31" s="25" t="s">
        <v>100</v>
      </c>
      <c r="U31" s="27">
        <f>SUM(U22:U30)</f>
        <v>984066</v>
      </c>
      <c r="V31" s="25" t="s">
        <v>100</v>
      </c>
      <c r="W31" s="27">
        <f>SUM(W22:W30)</f>
        <v>825087</v>
      </c>
      <c r="X31" s="25" t="s">
        <v>100</v>
      </c>
      <c r="Y31" s="27">
        <f>SUM(Y22:Y30)</f>
        <v>1304919</v>
      </c>
      <c r="Z31" s="25" t="s">
        <v>100</v>
      </c>
      <c r="AA31" s="27">
        <f>SUM(AA22:AA30)</f>
        <v>890430</v>
      </c>
      <c r="AB31" s="25" t="s">
        <v>100</v>
      </c>
      <c r="AC31" s="27">
        <f>SUM(AC22:AC30)</f>
        <v>890430</v>
      </c>
    </row>
    <row r="32" spans="1:29" x14ac:dyDescent="0.2">
      <c r="A32" s="11" t="s">
        <v>122</v>
      </c>
      <c r="E32" s="26" t="s">
        <v>100</v>
      </c>
      <c r="F32" s="178">
        <f>F13+F19+F31</f>
        <v>72380587</v>
      </c>
      <c r="G32" s="23"/>
      <c r="H32" s="25" t="s">
        <v>100</v>
      </c>
      <c r="I32" s="178">
        <f>I13+I19+I31</f>
        <v>80547597</v>
      </c>
      <c r="J32" s="23"/>
      <c r="K32" s="25" t="s">
        <v>100</v>
      </c>
      <c r="L32" s="178">
        <f>L13+L19+L31</f>
        <v>82914560</v>
      </c>
      <c r="M32" s="23"/>
      <c r="N32" s="25" t="s">
        <v>100</v>
      </c>
      <c r="O32" s="178">
        <f>O13+O19+O31</f>
        <v>85538899.890000001</v>
      </c>
      <c r="P32" s="25" t="s">
        <v>100</v>
      </c>
      <c r="Q32" s="178">
        <f>Q13+Q19+Q31</f>
        <v>87305761</v>
      </c>
      <c r="R32" s="25" t="s">
        <v>100</v>
      </c>
      <c r="S32" s="178">
        <f>S13+S19+S31</f>
        <v>89935578</v>
      </c>
      <c r="T32" s="25" t="s">
        <v>100</v>
      </c>
      <c r="U32" s="178">
        <f>U13+U19+U31</f>
        <v>92526289</v>
      </c>
      <c r="V32" s="25" t="s">
        <v>100</v>
      </c>
      <c r="W32" s="178">
        <f>W13+W19+W31</f>
        <v>86080079</v>
      </c>
      <c r="X32" s="25" t="s">
        <v>100</v>
      </c>
      <c r="Y32" s="178">
        <f>Y13+Y19+Y31</f>
        <v>89391156.5</v>
      </c>
      <c r="Z32" s="25" t="s">
        <v>100</v>
      </c>
      <c r="AA32" s="178">
        <f>AA13+AA19+AA31</f>
        <v>92800568</v>
      </c>
      <c r="AB32" s="25" t="s">
        <v>100</v>
      </c>
      <c r="AC32" s="178">
        <f>AC13+AC19+AC31</f>
        <v>92800568</v>
      </c>
    </row>
    <row r="33" spans="1:29" ht="12.95" customHeight="1" x14ac:dyDescent="0.2">
      <c r="A33" s="11" t="s">
        <v>123</v>
      </c>
      <c r="E33" s="26"/>
      <c r="F33" s="21">
        <v>2138611</v>
      </c>
      <c r="G33" s="24"/>
      <c r="H33" s="25"/>
      <c r="I33" s="21">
        <v>-132751</v>
      </c>
      <c r="J33" s="24"/>
      <c r="K33" s="25"/>
      <c r="L33" s="21">
        <v>-179467</v>
      </c>
      <c r="M33" s="24"/>
      <c r="N33" s="25"/>
      <c r="O33" s="21">
        <v>-830323</v>
      </c>
      <c r="P33" s="25"/>
      <c r="Q33" s="21">
        <v>-492342</v>
      </c>
      <c r="R33" s="25"/>
      <c r="S33" s="21">
        <v>470598</v>
      </c>
      <c r="T33" s="25"/>
      <c r="U33" s="21">
        <v>594862</v>
      </c>
      <c r="V33" s="25"/>
      <c r="W33" s="21">
        <v>-298760</v>
      </c>
      <c r="X33" s="25"/>
      <c r="Y33" s="21">
        <v>470201</v>
      </c>
      <c r="Z33" s="25"/>
      <c r="AA33" s="21">
        <f>+Y33</f>
        <v>470201</v>
      </c>
      <c r="AB33" s="25"/>
      <c r="AC33" s="21">
        <f>+AA33</f>
        <v>470201</v>
      </c>
    </row>
    <row r="34" spans="1:29" ht="12.95" customHeight="1" x14ac:dyDescent="0.2">
      <c r="A34" s="11" t="s">
        <v>124</v>
      </c>
      <c r="F34" s="21">
        <f>-F25</f>
        <v>1572486</v>
      </c>
      <c r="G34" s="24"/>
      <c r="H34" s="22"/>
      <c r="I34" s="21">
        <f>-I25</f>
        <v>2063295</v>
      </c>
      <c r="J34" s="24"/>
      <c r="K34" s="22"/>
      <c r="L34" s="21">
        <f>-L25</f>
        <v>2512114</v>
      </c>
      <c r="M34" s="24"/>
      <c r="N34" s="22"/>
      <c r="O34" s="21">
        <f>-O25</f>
        <v>2630068.9500000002</v>
      </c>
      <c r="P34" s="22"/>
      <c r="Q34" s="21">
        <f>-Q25</f>
        <v>2877238</v>
      </c>
      <c r="R34" s="22"/>
      <c r="S34" s="21">
        <v>3057903</v>
      </c>
      <c r="T34" s="22"/>
      <c r="U34" s="21">
        <f>-U25</f>
        <v>3797243</v>
      </c>
      <c r="V34" s="21"/>
      <c r="W34" s="21">
        <f>-W25</f>
        <v>3797243</v>
      </c>
      <c r="X34" s="22"/>
      <c r="Y34" s="21">
        <v>3797243</v>
      </c>
      <c r="Z34" s="22"/>
      <c r="AA34" s="21"/>
      <c r="AB34" s="22"/>
      <c r="AC34" s="21"/>
    </row>
    <row r="35" spans="1:29" hidden="1" x14ac:dyDescent="0.2">
      <c r="A35" s="11" t="s">
        <v>125</v>
      </c>
      <c r="F35" s="21"/>
      <c r="G35" s="24"/>
      <c r="H35" s="22"/>
      <c r="I35" s="21"/>
      <c r="J35" s="24"/>
      <c r="K35" s="22"/>
      <c r="L35" s="21"/>
      <c r="M35" s="24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</row>
    <row r="36" spans="1:29" hidden="1" x14ac:dyDescent="0.2">
      <c r="A36" s="11" t="s">
        <v>126</v>
      </c>
      <c r="F36" s="21"/>
      <c r="G36" s="24"/>
      <c r="H36" s="22"/>
      <c r="I36" s="21"/>
      <c r="J36" s="24"/>
      <c r="K36" s="22"/>
      <c r="L36" s="21"/>
      <c r="M36" s="24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</row>
    <row r="37" spans="1:29" hidden="1" x14ac:dyDescent="0.2">
      <c r="A37" s="11" t="s">
        <v>127</v>
      </c>
      <c r="F37" s="21"/>
      <c r="G37" s="24"/>
      <c r="H37" s="22"/>
      <c r="I37" s="21"/>
      <c r="J37" s="24"/>
      <c r="K37" s="22"/>
      <c r="L37" s="21"/>
      <c r="M37" s="24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</row>
    <row r="38" spans="1:29" hidden="1" x14ac:dyDescent="0.2">
      <c r="A38" s="11" t="s">
        <v>128</v>
      </c>
      <c r="F38" s="21"/>
      <c r="G38" s="24"/>
      <c r="H38" s="22"/>
      <c r="I38" s="21"/>
      <c r="J38" s="24"/>
      <c r="K38" s="22"/>
      <c r="L38" s="21"/>
      <c r="M38" s="24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</row>
    <row r="39" spans="1:29" hidden="1" x14ac:dyDescent="0.2">
      <c r="A39" s="11" t="s">
        <v>129</v>
      </c>
      <c r="F39" s="21"/>
      <c r="G39" s="24"/>
      <c r="H39" s="22"/>
      <c r="I39" s="21"/>
      <c r="J39" s="24"/>
      <c r="K39" s="22"/>
      <c r="L39" s="21"/>
      <c r="M39" s="24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</row>
    <row r="40" spans="1:29" ht="12.95" customHeight="1" x14ac:dyDescent="0.2">
      <c r="A40" s="11" t="s">
        <v>130</v>
      </c>
      <c r="F40" s="21">
        <v>-1072677</v>
      </c>
      <c r="G40" s="24"/>
      <c r="H40" s="22"/>
      <c r="I40" s="21">
        <f>-867318-385000-2222000+76966</f>
        <v>-3397352</v>
      </c>
      <c r="J40" s="24"/>
      <c r="K40" s="22"/>
      <c r="L40" s="21">
        <v>-29226</v>
      </c>
      <c r="M40" s="24"/>
      <c r="N40" s="22"/>
      <c r="O40" s="21">
        <v>1387500</v>
      </c>
      <c r="P40" s="22"/>
      <c r="Q40" s="21">
        <v>150000</v>
      </c>
      <c r="R40" s="22"/>
      <c r="S40" s="21">
        <v>-941664</v>
      </c>
      <c r="T40" s="22"/>
      <c r="U40" s="21">
        <v>205000</v>
      </c>
      <c r="V40" s="22"/>
      <c r="W40" s="21">
        <v>150000</v>
      </c>
      <c r="X40" s="22"/>
      <c r="Y40" s="21">
        <v>185000</v>
      </c>
      <c r="Z40" s="22"/>
      <c r="AA40" s="21"/>
      <c r="AB40" s="22"/>
      <c r="AC40" s="21"/>
    </row>
    <row r="41" spans="1:29" ht="12.95" customHeight="1" x14ac:dyDescent="0.2">
      <c r="A41" s="11" t="s">
        <v>131</v>
      </c>
      <c r="F41" s="21">
        <v>-2650094</v>
      </c>
      <c r="G41" s="24"/>
      <c r="H41" s="22"/>
      <c r="I41" s="21">
        <v>-2650094</v>
      </c>
      <c r="J41" s="24"/>
      <c r="K41" s="22"/>
      <c r="L41" s="21">
        <v>-2650094</v>
      </c>
      <c r="M41" s="24"/>
      <c r="N41" s="22"/>
      <c r="O41" s="21">
        <f>L41</f>
        <v>-2650094</v>
      </c>
      <c r="P41" s="22"/>
      <c r="Q41" s="21">
        <f>O41</f>
        <v>-2650094</v>
      </c>
      <c r="R41" s="22"/>
      <c r="S41" s="21">
        <v>-2650094</v>
      </c>
      <c r="T41" s="22"/>
      <c r="U41" s="21">
        <v>-2650094</v>
      </c>
      <c r="V41" s="22"/>
      <c r="W41" s="21">
        <f>+U41</f>
        <v>-2650094</v>
      </c>
      <c r="X41" s="22"/>
      <c r="Y41" s="21">
        <v>-2650094</v>
      </c>
      <c r="Z41" s="22"/>
      <c r="AA41" s="21">
        <v>-2650094</v>
      </c>
      <c r="AB41" s="22"/>
      <c r="AC41" s="21">
        <f>+AA41</f>
        <v>-2650094</v>
      </c>
    </row>
    <row r="42" spans="1:29" ht="12.95" customHeight="1" x14ac:dyDescent="0.2">
      <c r="A42" s="11" t="s">
        <v>132</v>
      </c>
      <c r="F42" s="21">
        <v>-2041775</v>
      </c>
      <c r="G42" s="23"/>
      <c r="H42" s="22"/>
      <c r="I42" s="21">
        <f>-5837223+2980698</f>
        <v>-2856525</v>
      </c>
      <c r="J42" s="23"/>
      <c r="K42" s="22"/>
      <c r="L42" s="21">
        <v>-4461352</v>
      </c>
      <c r="M42" s="23"/>
      <c r="N42" s="22"/>
      <c r="O42" s="21">
        <f>3332188-36581-3333965.05-110974.25</f>
        <v>-149332.29999999981</v>
      </c>
      <c r="P42" s="22"/>
      <c r="Q42" s="21">
        <v>-1818</v>
      </c>
      <c r="R42" s="22"/>
      <c r="S42" s="21">
        <v>-883739</v>
      </c>
      <c r="T42" s="22"/>
      <c r="U42" s="21">
        <v>-571049</v>
      </c>
      <c r="V42" s="22"/>
      <c r="W42" s="21">
        <v>341316</v>
      </c>
      <c r="X42" s="22"/>
      <c r="Y42" s="21">
        <v>2979574</v>
      </c>
      <c r="Z42" s="22"/>
      <c r="AA42" s="21"/>
      <c r="AB42" s="22"/>
      <c r="AC42" s="21"/>
    </row>
    <row r="43" spans="1:29" ht="12.95" customHeight="1" x14ac:dyDescent="0.2">
      <c r="A43" s="11" t="s">
        <v>34</v>
      </c>
      <c r="F43" s="21">
        <f>99025+269544</f>
        <v>368569</v>
      </c>
      <c r="G43" s="23"/>
      <c r="H43" s="22"/>
      <c r="I43" s="21">
        <f>-1342597+132751+101</f>
        <v>-1209745</v>
      </c>
      <c r="J43" s="23"/>
      <c r="K43" s="22"/>
      <c r="L43" s="21">
        <v>-2658438</v>
      </c>
      <c r="M43" s="23"/>
      <c r="N43" s="22"/>
      <c r="O43" s="21">
        <f>-5091897.38-O33</f>
        <v>-4261574.38</v>
      </c>
      <c r="P43" s="22"/>
      <c r="Q43" s="21">
        <v>-11389835</v>
      </c>
      <c r="R43" s="22"/>
      <c r="S43" s="21">
        <v>-9055659</v>
      </c>
      <c r="T43" s="22"/>
      <c r="U43" s="21">
        <f>-6807665-1144798</f>
        <v>-7952463</v>
      </c>
      <c r="V43" s="22"/>
      <c r="W43" s="21">
        <v>11244953</v>
      </c>
      <c r="X43" s="22"/>
      <c r="Y43" s="21">
        <f>7347191-26200</f>
        <v>7320991</v>
      </c>
      <c r="Z43" s="22"/>
      <c r="AA43" s="21"/>
      <c r="AB43" s="22"/>
      <c r="AC43" s="21"/>
    </row>
    <row r="44" spans="1:29" s="12" customFormat="1" ht="13.5" thickBot="1" x14ac:dyDescent="0.25">
      <c r="A44" s="12" t="s">
        <v>133</v>
      </c>
      <c r="E44" s="20" t="s">
        <v>100</v>
      </c>
      <c r="F44" s="17">
        <f>SUM(F32:F43)</f>
        <v>70695707</v>
      </c>
      <c r="G44" s="19"/>
      <c r="H44" s="18" t="s">
        <v>100</v>
      </c>
      <c r="I44" s="17">
        <f>SUM(I32:I43)</f>
        <v>72364425</v>
      </c>
      <c r="J44" s="19"/>
      <c r="K44" s="18" t="s">
        <v>100</v>
      </c>
      <c r="L44" s="17">
        <f>SUM(L32:L43)</f>
        <v>75448097</v>
      </c>
      <c r="M44" s="19"/>
      <c r="N44" s="18" t="s">
        <v>100</v>
      </c>
      <c r="O44" s="17">
        <f>SUM(O32:O43)</f>
        <v>81665145.160000011</v>
      </c>
      <c r="P44" s="18" t="s">
        <v>100</v>
      </c>
      <c r="Q44" s="17">
        <f>SUM(Q32:Q43)</f>
        <v>75798910</v>
      </c>
      <c r="R44" s="18" t="s">
        <v>100</v>
      </c>
      <c r="S44" s="17">
        <f>SUM(S32:S43)</f>
        <v>79932923</v>
      </c>
      <c r="T44" s="18" t="s">
        <v>100</v>
      </c>
      <c r="U44" s="17">
        <f>SUM(U32:U43)</f>
        <v>85949788</v>
      </c>
      <c r="V44" s="18" t="s">
        <v>100</v>
      </c>
      <c r="W44" s="17">
        <f>SUM(W32:W43)</f>
        <v>98664737</v>
      </c>
      <c r="X44" s="18" t="s">
        <v>100</v>
      </c>
      <c r="Y44" s="17">
        <f>SUM(Y32:Y43)</f>
        <v>101494071.5</v>
      </c>
      <c r="Z44" s="18" t="s">
        <v>100</v>
      </c>
      <c r="AA44" s="17">
        <f>SUM(AA32:AA43)</f>
        <v>90620675</v>
      </c>
      <c r="AB44" s="18" t="s">
        <v>100</v>
      </c>
      <c r="AC44" s="17">
        <f>SUM(AC32:AC43)</f>
        <v>90620675</v>
      </c>
    </row>
    <row r="45" spans="1:29" ht="13.5" thickTop="1" x14ac:dyDescent="0.2"/>
    <row r="46" spans="1:29" hidden="1" x14ac:dyDescent="0.2">
      <c r="A46" s="16" t="s">
        <v>134</v>
      </c>
      <c r="B46" s="15"/>
      <c r="C46" s="15"/>
      <c r="D46" s="15"/>
    </row>
    <row r="47" spans="1:29" hidden="1" x14ac:dyDescent="0.2">
      <c r="A47" s="15"/>
      <c r="B47" s="15" t="s">
        <v>135</v>
      </c>
      <c r="C47" s="15"/>
      <c r="D47" s="15"/>
    </row>
    <row r="48" spans="1:29" x14ac:dyDescent="0.2">
      <c r="A48" s="15"/>
      <c r="B48" s="15"/>
      <c r="C48" s="15"/>
      <c r="D48" s="15"/>
      <c r="I48" s="14"/>
      <c r="L48" s="13"/>
      <c r="M48" s="13"/>
      <c r="N48" s="13"/>
      <c r="O48" s="13"/>
      <c r="Q48" s="12"/>
      <c r="S48" s="12"/>
    </row>
  </sheetData>
  <mergeCells count="2">
    <mergeCell ref="A1:U1"/>
    <mergeCell ref="A2:U2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Enrollment &amp; Tuition Summary </vt:lpstr>
      <vt:lpstr>Student Fee Schedule</vt:lpstr>
      <vt:lpstr>Student Financial Aid</vt:lpstr>
      <vt:lpstr>Cash Fund Revenue Summary</vt:lpstr>
      <vt:lpstr>'Cash Fund Revenue Summary'!Print_Area</vt:lpstr>
      <vt:lpstr>'Student Fee Schedule'!Print_Area</vt:lpstr>
      <vt:lpstr>'Student Financial Aid'!Print_Area</vt:lpstr>
      <vt:lpstr>'Student Financial Aid'!Print_Titles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2021-12-10T18:04:22Z</dcterms:created>
  <dcterms:modified xsi:type="dcterms:W3CDTF">2024-04-17T19:04:59Z</dcterms:modified>
  <cp:category/>
  <cp:contentStatus/>
</cp:coreProperties>
</file>