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094708CE-AD0F-434F-8CCE-6512AAAB53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nrollment &amp; Tuition Summary" sheetId="12" r:id="rId1"/>
    <sheet name="Student Fee Schedule" sheetId="16" r:id="rId2"/>
    <sheet name="Student Financial Aid" sheetId="14" r:id="rId3"/>
    <sheet name="Cash Fund Revenue Summary " sheetId="17" r:id="rId4"/>
  </sheets>
  <definedNames>
    <definedName name="_xlnm.Print_Area" localSheetId="1">'Student Fee Schedule'!$A$4:$AJ$156</definedName>
    <definedName name="_xlnm.Print_Area" localSheetId="2">'Student Financial Aid'!$A$1:$CM$148</definedName>
    <definedName name="_xlnm.Print_Titles" localSheetId="1">'Student Fee Schedule'!$1:$3</definedName>
    <definedName name="_xlnm.Print_Titles" localSheetId="2">'Student Financial Aid'!$A:$A,'Student Financial Aid'!$2:$6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48" i="17" l="1"/>
  <c r="BX44" i="17"/>
  <c r="BX28" i="17"/>
  <c r="BX26" i="17"/>
  <c r="BV26" i="17"/>
  <c r="BX25" i="17"/>
  <c r="BX22" i="17"/>
  <c r="BX17" i="17"/>
  <c r="BX11" i="17"/>
  <c r="BX8" i="17"/>
  <c r="BV7" i="17"/>
  <c r="BX7" i="17" s="1"/>
  <c r="BV6" i="17"/>
  <c r="BX6" i="17" s="1"/>
  <c r="BX5" i="17"/>
  <c r="BT26" i="17"/>
  <c r="W64" i="16" l="1"/>
  <c r="AK50" i="16"/>
  <c r="AK49" i="16"/>
  <c r="AK47" i="16"/>
  <c r="AK43" i="16"/>
  <c r="AK39" i="16"/>
  <c r="AK35" i="16"/>
  <c r="AK31" i="16"/>
  <c r="AK27" i="16"/>
  <c r="AK23" i="16"/>
  <c r="AK51" i="16" l="1"/>
  <c r="BX41" i="17"/>
  <c r="BX36" i="17"/>
  <c r="BX38" i="17" s="1"/>
  <c r="BX18" i="17"/>
  <c r="BX9" i="17"/>
  <c r="BV41" i="17"/>
  <c r="BV36" i="17"/>
  <c r="BV38" i="17" s="1"/>
  <c r="BV18" i="17"/>
  <c r="BV9" i="17"/>
  <c r="CM122" i="14"/>
  <c r="CE122" i="14"/>
  <c r="CF122" i="14" s="1"/>
  <c r="CM121" i="14"/>
  <c r="CF121" i="14"/>
  <c r="CE121" i="14"/>
  <c r="CM120" i="14"/>
  <c r="CF120" i="14"/>
  <c r="CE120" i="14"/>
  <c r="CM119" i="14"/>
  <c r="CE119" i="14"/>
  <c r="CF119" i="14" s="1"/>
  <c r="CM118" i="14"/>
  <c r="CE118" i="14"/>
  <c r="CF118" i="14" s="1"/>
  <c r="CM117" i="14"/>
  <c r="CE117" i="14"/>
  <c r="CF117" i="14" s="1"/>
  <c r="CM116" i="14"/>
  <c r="CE116" i="14"/>
  <c r="CF116" i="14" s="1"/>
  <c r="CM115" i="14"/>
  <c r="CE115" i="14"/>
  <c r="CF115" i="14" s="1"/>
  <c r="CM114" i="14"/>
  <c r="CE114" i="14"/>
  <c r="CF114" i="14" s="1"/>
  <c r="CM113" i="14"/>
  <c r="CE113" i="14"/>
  <c r="CF113" i="14" s="1"/>
  <c r="CM112" i="14"/>
  <c r="CE112" i="14"/>
  <c r="CF112" i="14" s="1"/>
  <c r="CM105" i="14"/>
  <c r="CE105" i="14"/>
  <c r="CF105" i="14" s="1"/>
  <c r="CM104" i="14"/>
  <c r="CE104" i="14"/>
  <c r="CF104" i="14" s="1"/>
  <c r="CM103" i="14"/>
  <c r="CE103" i="14"/>
  <c r="CF103" i="14" s="1"/>
  <c r="CM102" i="14"/>
  <c r="CE102" i="14"/>
  <c r="CF102" i="14" s="1"/>
  <c r="CM101" i="14"/>
  <c r="CE101" i="14"/>
  <c r="CF101" i="14" s="1"/>
  <c r="CM100" i="14"/>
  <c r="CE100" i="14"/>
  <c r="CF100" i="14" s="1"/>
  <c r="CM99" i="14"/>
  <c r="CE99" i="14"/>
  <c r="CF99" i="14" s="1"/>
  <c r="CM98" i="14"/>
  <c r="CE98" i="14"/>
  <c r="CF98" i="14" s="1"/>
  <c r="CM97" i="14"/>
  <c r="CE97" i="14"/>
  <c r="CF97" i="14" s="1"/>
  <c r="CM96" i="14"/>
  <c r="CE96" i="14"/>
  <c r="CF96" i="14" s="1"/>
  <c r="CM91" i="14"/>
  <c r="CE91" i="14"/>
  <c r="CF91" i="14" s="1"/>
  <c r="CM90" i="14"/>
  <c r="CF90" i="14"/>
  <c r="CE90" i="14"/>
  <c r="CM89" i="14"/>
  <c r="CE89" i="14"/>
  <c r="CF89" i="14" s="1"/>
  <c r="CM88" i="14"/>
  <c r="CE88" i="14"/>
  <c r="CF88" i="14" s="1"/>
  <c r="CM87" i="14"/>
  <c r="CE87" i="14"/>
  <c r="CF87" i="14" s="1"/>
  <c r="CM86" i="14"/>
  <c r="CF86" i="14"/>
  <c r="CE86" i="14"/>
  <c r="CM85" i="14"/>
  <c r="CE85" i="14"/>
  <c r="CF85" i="14" s="1"/>
  <c r="CM84" i="14"/>
  <c r="CE84" i="14"/>
  <c r="CF84" i="14" s="1"/>
  <c r="CM83" i="14"/>
  <c r="CE83" i="14"/>
  <c r="CF83" i="14" s="1"/>
  <c r="CM82" i="14"/>
  <c r="CE82" i="14"/>
  <c r="CF82" i="14" s="1"/>
  <c r="CM81" i="14"/>
  <c r="CE81" i="14"/>
  <c r="CF81" i="14" s="1"/>
  <c r="CM80" i="14"/>
  <c r="CE80" i="14"/>
  <c r="CF80" i="14" s="1"/>
  <c r="CM71" i="14"/>
  <c r="CF71" i="14"/>
  <c r="CE71" i="14"/>
  <c r="CM70" i="14"/>
  <c r="CE70" i="14"/>
  <c r="CF70" i="14" s="1"/>
  <c r="CM69" i="14"/>
  <c r="CE69" i="14"/>
  <c r="CF69" i="14" s="1"/>
  <c r="CM68" i="14"/>
  <c r="CE68" i="14"/>
  <c r="CF68" i="14" s="1"/>
  <c r="CM67" i="14"/>
  <c r="CE67" i="14"/>
  <c r="CF67" i="14" s="1"/>
  <c r="CM66" i="14"/>
  <c r="CE66" i="14"/>
  <c r="CF66" i="14" s="1"/>
  <c r="CM65" i="14"/>
  <c r="CE65" i="14"/>
  <c r="CF65" i="14" s="1"/>
  <c r="CM64" i="14"/>
  <c r="CE64" i="14"/>
  <c r="CF64" i="14" s="1"/>
  <c r="CM63" i="14"/>
  <c r="CE63" i="14"/>
  <c r="CF63" i="14" s="1"/>
  <c r="CM62" i="14"/>
  <c r="CE62" i="14"/>
  <c r="CF62" i="14" s="1"/>
  <c r="CM61" i="14"/>
  <c r="CF61" i="14"/>
  <c r="CE61" i="14"/>
  <c r="CM60" i="14"/>
  <c r="CE60" i="14"/>
  <c r="CF60" i="14" s="1"/>
  <c r="CM59" i="14"/>
  <c r="CE59" i="14"/>
  <c r="CF59" i="14" s="1"/>
  <c r="CM58" i="14"/>
  <c r="CE58" i="14"/>
  <c r="CF58" i="14" s="1"/>
  <c r="CM53" i="14"/>
  <c r="CF53" i="14"/>
  <c r="CE53" i="14"/>
  <c r="CM52" i="14"/>
  <c r="CE52" i="14"/>
  <c r="CF52" i="14" s="1"/>
  <c r="CM51" i="14"/>
  <c r="CE51" i="14"/>
  <c r="CF51" i="14" s="1"/>
  <c r="CM50" i="14"/>
  <c r="CE50" i="14"/>
  <c r="CF50" i="14" s="1"/>
  <c r="CM49" i="14"/>
  <c r="CE49" i="14"/>
  <c r="CF49" i="14" s="1"/>
  <c r="CM48" i="14"/>
  <c r="CE48" i="14"/>
  <c r="CF48" i="14" s="1"/>
  <c r="CM47" i="14"/>
  <c r="CE47" i="14"/>
  <c r="CF47" i="14" s="1"/>
  <c r="CM46" i="14"/>
  <c r="CE46" i="14"/>
  <c r="CF46" i="14" s="1"/>
  <c r="CM45" i="14"/>
  <c r="CE45" i="14"/>
  <c r="CF45" i="14" s="1"/>
  <c r="CM44" i="14"/>
  <c r="CE44" i="14"/>
  <c r="CF44" i="14" s="1"/>
  <c r="CM43" i="14"/>
  <c r="CE43" i="14"/>
  <c r="CF43" i="14" s="1"/>
  <c r="CM42" i="14"/>
  <c r="CE42" i="14"/>
  <c r="CF42" i="14" s="1"/>
  <c r="CM41" i="14"/>
  <c r="CE41" i="14"/>
  <c r="CF41" i="14" s="1"/>
  <c r="CM40" i="14"/>
  <c r="CE40" i="14"/>
  <c r="CF40" i="14" s="1"/>
  <c r="CM39" i="14"/>
  <c r="CE39" i="14"/>
  <c r="CF39" i="14" s="1"/>
  <c r="CM38" i="14"/>
  <c r="CE38" i="14"/>
  <c r="CF38" i="14" s="1"/>
  <c r="CM33" i="14"/>
  <c r="CE33" i="14"/>
  <c r="CF33" i="14" s="1"/>
  <c r="CM32" i="14"/>
  <c r="CE32" i="14"/>
  <c r="CF32" i="14" s="1"/>
  <c r="CM31" i="14"/>
  <c r="CE31" i="14"/>
  <c r="CF31" i="14" s="1"/>
  <c r="CM30" i="14"/>
  <c r="CE30" i="14"/>
  <c r="CF30" i="14" s="1"/>
  <c r="CM29" i="14"/>
  <c r="CE29" i="14"/>
  <c r="CF29" i="14" s="1"/>
  <c r="CM28" i="14"/>
  <c r="CE28" i="14"/>
  <c r="CF28" i="14" s="1"/>
  <c r="CM27" i="14"/>
  <c r="CE27" i="14"/>
  <c r="CF27" i="14" s="1"/>
  <c r="CM26" i="14"/>
  <c r="CE26" i="14"/>
  <c r="CF26" i="14" s="1"/>
  <c r="CM25" i="14"/>
  <c r="CF25" i="14"/>
  <c r="CE25" i="14"/>
  <c r="CM24" i="14"/>
  <c r="CE24" i="14"/>
  <c r="CF24" i="14" s="1"/>
  <c r="CM23" i="14"/>
  <c r="CE23" i="14"/>
  <c r="CF23" i="14" s="1"/>
  <c r="CM22" i="14"/>
  <c r="CE22" i="14"/>
  <c r="CF22" i="14" s="1"/>
  <c r="CM21" i="14"/>
  <c r="CE21" i="14"/>
  <c r="CF21" i="14" s="1"/>
  <c r="CM20" i="14"/>
  <c r="CE20" i="14"/>
  <c r="CF20" i="14" s="1"/>
  <c r="CM19" i="14"/>
  <c r="CE19" i="14"/>
  <c r="CF19" i="14" s="1"/>
  <c r="CM18" i="14"/>
  <c r="CE18" i="14"/>
  <c r="CF18" i="14" s="1"/>
  <c r="CM17" i="14"/>
  <c r="CF17" i="14"/>
  <c r="CE17" i="14"/>
  <c r="CM16" i="14"/>
  <c r="CE16" i="14"/>
  <c r="CF16" i="14" s="1"/>
  <c r="CM15" i="14"/>
  <c r="CE15" i="14"/>
  <c r="CF15" i="14" s="1"/>
  <c r="CM14" i="14"/>
  <c r="CE14" i="14"/>
  <c r="CF14" i="14" s="1"/>
  <c r="CM13" i="14"/>
  <c r="CE13" i="14"/>
  <c r="CF13" i="14" s="1"/>
  <c r="CM12" i="14"/>
  <c r="CE12" i="14"/>
  <c r="CF12" i="14" s="1"/>
  <c r="CD134" i="14"/>
  <c r="CD132" i="14"/>
  <c r="CD128" i="14"/>
  <c r="CE128" i="14" s="1"/>
  <c r="CL124" i="14"/>
  <c r="CK124" i="14"/>
  <c r="CJ124" i="14"/>
  <c r="CI124" i="14"/>
  <c r="CH124" i="14"/>
  <c r="CG124" i="14"/>
  <c r="CD124" i="14"/>
  <c r="CL107" i="14"/>
  <c r="CK107" i="14"/>
  <c r="CJ107" i="14"/>
  <c r="CI107" i="14"/>
  <c r="CH107" i="14"/>
  <c r="CG107" i="14"/>
  <c r="CD107" i="14"/>
  <c r="CL93" i="14"/>
  <c r="CK93" i="14"/>
  <c r="CK109" i="14" s="1"/>
  <c r="CJ93" i="14"/>
  <c r="CI93" i="14"/>
  <c r="CH93" i="14"/>
  <c r="CG93" i="14"/>
  <c r="CD93" i="14"/>
  <c r="CL73" i="14"/>
  <c r="CK73" i="14"/>
  <c r="CJ73" i="14"/>
  <c r="CI73" i="14"/>
  <c r="CH73" i="14"/>
  <c r="CG73" i="14"/>
  <c r="CD73" i="14"/>
  <c r="CL55" i="14"/>
  <c r="CK55" i="14"/>
  <c r="CJ55" i="14"/>
  <c r="CI55" i="14"/>
  <c r="CH55" i="14"/>
  <c r="CG55" i="14"/>
  <c r="CD55" i="14"/>
  <c r="CL35" i="14"/>
  <c r="CK35" i="14"/>
  <c r="CJ35" i="14"/>
  <c r="CI35" i="14"/>
  <c r="CH35" i="14"/>
  <c r="CG35" i="14"/>
  <c r="CD35" i="14"/>
  <c r="CM11" i="14"/>
  <c r="CE11" i="14"/>
  <c r="Y155" i="16"/>
  <c r="W155" i="16"/>
  <c r="AB18" i="16"/>
  <c r="AB23" i="16"/>
  <c r="AB27" i="16"/>
  <c r="AB31" i="16"/>
  <c r="AB35" i="16"/>
  <c r="AB39" i="16"/>
  <c r="AB43" i="16"/>
  <c r="AB49" i="16"/>
  <c r="AB50" i="16"/>
  <c r="AT191" i="12"/>
  <c r="AU189" i="12"/>
  <c r="AT189" i="12"/>
  <c r="AS189" i="12"/>
  <c r="AR189" i="12"/>
  <c r="AU188" i="12"/>
  <c r="AS188" i="12"/>
  <c r="AS190" i="12" s="1"/>
  <c r="AR188" i="12"/>
  <c r="AR190" i="12" s="1"/>
  <c r="AU186" i="12"/>
  <c r="AT186" i="12"/>
  <c r="AS186" i="12"/>
  <c r="AR186" i="12"/>
  <c r="AT185" i="12"/>
  <c r="AT184" i="12"/>
  <c r="AU182" i="12"/>
  <c r="AS182" i="12"/>
  <c r="AR182" i="12"/>
  <c r="AT181" i="12"/>
  <c r="AT180" i="12"/>
  <c r="AT182" i="12" s="1"/>
  <c r="AU178" i="12"/>
  <c r="AS178" i="12"/>
  <c r="AR178" i="12"/>
  <c r="AT177" i="12"/>
  <c r="AT176" i="12"/>
  <c r="AT188" i="12" s="1"/>
  <c r="AT162" i="12"/>
  <c r="AU160" i="12"/>
  <c r="AS160" i="12"/>
  <c r="AR160" i="12"/>
  <c r="AU159" i="12"/>
  <c r="AU161" i="12" s="1"/>
  <c r="AU166" i="12" s="1"/>
  <c r="AS159" i="12"/>
  <c r="AR159" i="12"/>
  <c r="AU157" i="12"/>
  <c r="AS157" i="12"/>
  <c r="AR157" i="12"/>
  <c r="AT156" i="12"/>
  <c r="AT155" i="12"/>
  <c r="AU153" i="12"/>
  <c r="AS153" i="12"/>
  <c r="AR153" i="12"/>
  <c r="AT152" i="12"/>
  <c r="AT151" i="12"/>
  <c r="AT153" i="12" s="1"/>
  <c r="AU149" i="12"/>
  <c r="AS149" i="12"/>
  <c r="AR149" i="12"/>
  <c r="AT148" i="12"/>
  <c r="AT147" i="12"/>
  <c r="AT134" i="12"/>
  <c r="AU132" i="12"/>
  <c r="AS132" i="12"/>
  <c r="AR132" i="12"/>
  <c r="AU131" i="12"/>
  <c r="AS131" i="12"/>
  <c r="AR131" i="12"/>
  <c r="AU129" i="12"/>
  <c r="AS129" i="12"/>
  <c r="AR129" i="12"/>
  <c r="AT128" i="12"/>
  <c r="AT127" i="12"/>
  <c r="AU125" i="12"/>
  <c r="AS125" i="12"/>
  <c r="AR125" i="12"/>
  <c r="AT124" i="12"/>
  <c r="AT123" i="12"/>
  <c r="AT125" i="12" s="1"/>
  <c r="AU121" i="12"/>
  <c r="AS121" i="12"/>
  <c r="AR121" i="12"/>
  <c r="AT120" i="12"/>
  <c r="AT119" i="12"/>
  <c r="AT106" i="12"/>
  <c r="AU104" i="12"/>
  <c r="AS104" i="12"/>
  <c r="AR104" i="12"/>
  <c r="AU103" i="12"/>
  <c r="AS103" i="12"/>
  <c r="AR103" i="12"/>
  <c r="AU101" i="12"/>
  <c r="AT101" i="12"/>
  <c r="AS101" i="12"/>
  <c r="AR101" i="12"/>
  <c r="AT100" i="12"/>
  <c r="AT99" i="12"/>
  <c r="AU97" i="12"/>
  <c r="AS97" i="12"/>
  <c r="AR97" i="12"/>
  <c r="AT96" i="12"/>
  <c r="AT95" i="12"/>
  <c r="AT97" i="12" s="1"/>
  <c r="AU93" i="12"/>
  <c r="AS93" i="12"/>
  <c r="AR93" i="12"/>
  <c r="AT92" i="12"/>
  <c r="AT104" i="12" s="1"/>
  <c r="AT91" i="12"/>
  <c r="AT78" i="12"/>
  <c r="AU76" i="12"/>
  <c r="AS76" i="12"/>
  <c r="AR76" i="12"/>
  <c r="AU75" i="12"/>
  <c r="AU77" i="12" s="1"/>
  <c r="AU82" i="12" s="1"/>
  <c r="AS75" i="12"/>
  <c r="AR75" i="12"/>
  <c r="AU73" i="12"/>
  <c r="AS73" i="12"/>
  <c r="AR73" i="12"/>
  <c r="AT72" i="12"/>
  <c r="AT71" i="12"/>
  <c r="AU69" i="12"/>
  <c r="AS69" i="12"/>
  <c r="AR69" i="12"/>
  <c r="AT68" i="12"/>
  <c r="AT67" i="12"/>
  <c r="AU65" i="12"/>
  <c r="AS65" i="12"/>
  <c r="AR65" i="12"/>
  <c r="AT64" i="12"/>
  <c r="AT63" i="12"/>
  <c r="AT49" i="12"/>
  <c r="AU47" i="12"/>
  <c r="AS47" i="12"/>
  <c r="AR47" i="12"/>
  <c r="AU46" i="12"/>
  <c r="AS46" i="12"/>
  <c r="AR46" i="12"/>
  <c r="AU44" i="12"/>
  <c r="AS44" i="12"/>
  <c r="AR44" i="12"/>
  <c r="AT43" i="12"/>
  <c r="AT42" i="12"/>
  <c r="AU40" i="12"/>
  <c r="AS40" i="12"/>
  <c r="AR40" i="12"/>
  <c r="AT39" i="12"/>
  <c r="AT38" i="12"/>
  <c r="AU36" i="12"/>
  <c r="AS36" i="12"/>
  <c r="AR36" i="12"/>
  <c r="AT35" i="12"/>
  <c r="AT34" i="12"/>
  <c r="AT36" i="12" s="1"/>
  <c r="AP124" i="12"/>
  <c r="AJ50" i="16"/>
  <c r="AJ49" i="16"/>
  <c r="AJ47" i="16"/>
  <c r="AI47" i="16"/>
  <c r="AH47" i="16"/>
  <c r="AO219" i="12"/>
  <c r="AU190" i="12" l="1"/>
  <c r="AU195" i="12" s="1"/>
  <c r="AT159" i="12"/>
  <c r="AT73" i="12"/>
  <c r="AT40" i="12"/>
  <c r="BV39" i="17"/>
  <c r="BV51" i="17" s="1"/>
  <c r="AR161" i="12"/>
  <c r="AR133" i="12"/>
  <c r="AR105" i="12"/>
  <c r="AR77" i="12"/>
  <c r="AR48" i="12"/>
  <c r="CM73" i="14"/>
  <c r="CH75" i="14"/>
  <c r="AT76" i="12"/>
  <c r="AT75" i="12"/>
  <c r="AS77" i="12"/>
  <c r="AT69" i="12"/>
  <c r="AT47" i="12"/>
  <c r="AS48" i="12"/>
  <c r="AT46" i="12"/>
  <c r="AT103" i="12"/>
  <c r="AT160" i="12"/>
  <c r="AT157" i="12"/>
  <c r="AS161" i="12"/>
  <c r="AS105" i="12"/>
  <c r="AU105" i="12"/>
  <c r="AU110" i="12" s="1"/>
  <c r="AU48" i="12"/>
  <c r="AU53" i="12" s="1"/>
  <c r="AU133" i="12"/>
  <c r="AU138" i="12" s="1"/>
  <c r="AT131" i="12"/>
  <c r="AT129" i="12"/>
  <c r="AS133" i="12"/>
  <c r="AT132" i="12"/>
  <c r="BX39" i="17"/>
  <c r="BX51" i="17" s="1"/>
  <c r="CI75" i="14"/>
  <c r="CK75" i="14"/>
  <c r="CK127" i="14" s="1"/>
  <c r="CL109" i="14"/>
  <c r="CJ75" i="14"/>
  <c r="CE124" i="14"/>
  <c r="CD109" i="14"/>
  <c r="CE35" i="14"/>
  <c r="CF35" i="14" s="1"/>
  <c r="CL75" i="14"/>
  <c r="CM107" i="14"/>
  <c r="CM109" i="14" s="1"/>
  <c r="CG109" i="14"/>
  <c r="CM124" i="14"/>
  <c r="CF11" i="14"/>
  <c r="CE107" i="14"/>
  <c r="CF107" i="14" s="1"/>
  <c r="CH109" i="14"/>
  <c r="CM35" i="14"/>
  <c r="CE93" i="14"/>
  <c r="CF93" i="14" s="1"/>
  <c r="CI109" i="14"/>
  <c r="CD75" i="14"/>
  <c r="CM55" i="14"/>
  <c r="CG75" i="14"/>
  <c r="CE73" i="14"/>
  <c r="CF73" i="14" s="1"/>
  <c r="CM93" i="14"/>
  <c r="CJ109" i="14"/>
  <c r="CF124" i="14"/>
  <c r="CE55" i="14"/>
  <c r="CF55" i="14" s="1"/>
  <c r="AB51" i="16"/>
  <c r="AT178" i="12"/>
  <c r="AT190" i="12" s="1"/>
  <c r="AT149" i="12"/>
  <c r="AT121" i="12"/>
  <c r="AT93" i="12"/>
  <c r="AT105" i="12" s="1"/>
  <c r="AT77" i="12"/>
  <c r="AT65" i="12"/>
  <c r="AT44" i="12"/>
  <c r="AT48" i="12" s="1"/>
  <c r="AP119" i="12"/>
  <c r="AP185" i="12"/>
  <c r="AP184" i="12"/>
  <c r="AP181" i="12"/>
  <c r="AP180" i="12"/>
  <c r="AP156" i="12"/>
  <c r="AP155" i="12"/>
  <c r="AP152" i="12"/>
  <c r="AP151" i="12"/>
  <c r="AP128" i="12"/>
  <c r="AP127" i="12"/>
  <c r="AP123" i="12"/>
  <c r="AP100" i="12"/>
  <c r="AP99" i="12"/>
  <c r="AP96" i="12"/>
  <c r="AP95" i="12"/>
  <c r="AP72" i="12"/>
  <c r="AP71" i="12"/>
  <c r="AP68" i="12"/>
  <c r="AP67" i="12"/>
  <c r="AP43" i="12"/>
  <c r="AP42" i="12"/>
  <c r="AP39" i="12"/>
  <c r="AP38" i="12"/>
  <c r="AP15" i="12"/>
  <c r="AP14" i="12"/>
  <c r="AP11" i="12"/>
  <c r="AP10" i="12"/>
  <c r="CH127" i="14" l="1"/>
  <c r="CM75" i="14"/>
  <c r="CM127" i="14" s="1"/>
  <c r="CD137" i="14" s="1"/>
  <c r="AT161" i="12"/>
  <c r="AT133" i="12"/>
  <c r="CD127" i="14"/>
  <c r="CL127" i="14"/>
  <c r="CD136" i="14" s="1"/>
  <c r="CI127" i="14"/>
  <c r="CG127" i="14"/>
  <c r="CD141" i="14" s="1"/>
  <c r="CJ127" i="14"/>
  <c r="CE109" i="14"/>
  <c r="CF109" i="14" s="1"/>
  <c r="CE75" i="14"/>
  <c r="AQ194" i="12"/>
  <c r="CD138" i="14" l="1"/>
  <c r="CF75" i="14"/>
  <c r="CE127" i="14"/>
  <c r="CC101" i="14"/>
  <c r="CC100" i="14"/>
  <c r="CC99" i="14"/>
  <c r="CC98" i="14"/>
  <c r="CC97" i="14"/>
  <c r="CC96" i="14"/>
  <c r="CC64" i="14"/>
  <c r="CC63" i="14"/>
  <c r="CC62" i="14"/>
  <c r="CC61" i="14"/>
  <c r="CC60" i="14"/>
  <c r="CC59" i="14"/>
  <c r="CC58" i="14"/>
  <c r="CC47" i="14"/>
  <c r="CC46" i="14"/>
  <c r="CC45" i="14"/>
  <c r="CC44" i="14"/>
  <c r="CC43" i="14"/>
  <c r="CC42" i="14"/>
  <c r="CC41" i="14"/>
  <c r="CC39" i="14"/>
  <c r="CC38" i="14"/>
  <c r="X50" i="17"/>
  <c r="U50" i="17"/>
  <c r="AS48" i="17"/>
  <c r="AV48" i="17" s="1"/>
  <c r="BN42" i="17"/>
  <c r="BT41" i="17"/>
  <c r="AY41" i="17"/>
  <c r="AV41" i="17"/>
  <c r="AM41" i="17"/>
  <c r="AA41" i="17"/>
  <c r="X41" i="17"/>
  <c r="U41" i="17"/>
  <c r="AS40" i="17"/>
  <c r="AP40" i="17"/>
  <c r="AJ40" i="17"/>
  <c r="AG40" i="17"/>
  <c r="AD40" i="17"/>
  <c r="AA40" i="17"/>
  <c r="X40" i="17"/>
  <c r="U40" i="17"/>
  <c r="AJ39" i="17"/>
  <c r="AJ51" i="17" s="1"/>
  <c r="BK38" i="17"/>
  <c r="BH38" i="17"/>
  <c r="BE38" i="17"/>
  <c r="BE39" i="17" s="1"/>
  <c r="AM38" i="17"/>
  <c r="AJ38" i="17"/>
  <c r="AG38" i="17"/>
  <c r="AG39" i="17" s="1"/>
  <c r="AD38" i="17"/>
  <c r="O38" i="17"/>
  <c r="L38" i="17"/>
  <c r="L39" i="17" s="1"/>
  <c r="L51" i="17" s="1"/>
  <c r="I38" i="17"/>
  <c r="I39" i="17" s="1"/>
  <c r="I51" i="17" s="1"/>
  <c r="F38" i="17"/>
  <c r="AD37" i="17"/>
  <c r="AA37" i="17"/>
  <c r="BT36" i="17"/>
  <c r="BB35" i="17"/>
  <c r="BB38" i="17" s="1"/>
  <c r="AY35" i="17"/>
  <c r="AV35" i="17"/>
  <c r="AP35" i="17"/>
  <c r="AM35" i="17"/>
  <c r="X35" i="17"/>
  <c r="U35" i="17"/>
  <c r="BT38" i="17"/>
  <c r="BQ26" i="17"/>
  <c r="BQ41" i="17" s="1"/>
  <c r="BN26" i="17"/>
  <c r="BN41" i="17" s="1"/>
  <c r="BK26" i="17"/>
  <c r="BK41" i="17" s="1"/>
  <c r="BH26" i="17"/>
  <c r="BH41" i="17" s="1"/>
  <c r="BE26" i="17"/>
  <c r="BE41" i="17" s="1"/>
  <c r="BB26" i="17"/>
  <c r="BB41" i="17" s="1"/>
  <c r="AY26" i="17"/>
  <c r="AV26" i="17"/>
  <c r="AS26" i="17"/>
  <c r="AS41" i="17" s="1"/>
  <c r="AP26" i="17"/>
  <c r="AP41" i="17" s="1"/>
  <c r="AJ26" i="17"/>
  <c r="AJ41" i="17" s="1"/>
  <c r="AG26" i="17"/>
  <c r="AG41" i="17" s="1"/>
  <c r="AD26" i="17"/>
  <c r="AD41" i="17" s="1"/>
  <c r="AA26" i="17"/>
  <c r="AA38" i="17" s="1"/>
  <c r="X26" i="17"/>
  <c r="X38" i="17" s="1"/>
  <c r="U26" i="17"/>
  <c r="U38" i="17" s="1"/>
  <c r="R26" i="17"/>
  <c r="R41" i="17" s="1"/>
  <c r="AS22" i="17"/>
  <c r="AV22" i="17" s="1"/>
  <c r="BT18" i="17"/>
  <c r="BQ18" i="17"/>
  <c r="BN18" i="17"/>
  <c r="BK18" i="17"/>
  <c r="BK39" i="17" s="1"/>
  <c r="BK51" i="17" s="1"/>
  <c r="BH18" i="17"/>
  <c r="BE18" i="17"/>
  <c r="AY18" i="17"/>
  <c r="AV18" i="17"/>
  <c r="AS18" i="17"/>
  <c r="AP18" i="17"/>
  <c r="AM18" i="17"/>
  <c r="AM39" i="17" s="1"/>
  <c r="AM51" i="17" s="1"/>
  <c r="AJ18" i="17"/>
  <c r="AG18" i="17"/>
  <c r="AD18" i="17"/>
  <c r="AA18" i="17"/>
  <c r="X18" i="17"/>
  <c r="U18" i="17"/>
  <c r="R18" i="17"/>
  <c r="O18" i="17"/>
  <c r="O39" i="17" s="1"/>
  <c r="O51" i="17" s="1"/>
  <c r="L18" i="17"/>
  <c r="I18" i="17"/>
  <c r="F18" i="17"/>
  <c r="BB17" i="17"/>
  <c r="BB18" i="17" s="1"/>
  <c r="BQ9" i="17"/>
  <c r="BN9" i="17"/>
  <c r="BK9" i="17"/>
  <c r="BE9" i="17"/>
  <c r="AY9" i="17"/>
  <c r="AV9" i="17"/>
  <c r="AP9" i="17"/>
  <c r="AM9" i="17"/>
  <c r="AJ9" i="17"/>
  <c r="AG9" i="17"/>
  <c r="AD9" i="17"/>
  <c r="AD39" i="17" s="1"/>
  <c r="AA9" i="17"/>
  <c r="AA39" i="17" s="1"/>
  <c r="AA51" i="17" s="1"/>
  <c r="X9" i="17"/>
  <c r="X39" i="17" s="1"/>
  <c r="X51" i="17" s="1"/>
  <c r="O9" i="17"/>
  <c r="L9" i="17"/>
  <c r="I9" i="17"/>
  <c r="F9" i="17"/>
  <c r="F39" i="17" s="1"/>
  <c r="F51" i="17" s="1"/>
  <c r="AS8" i="17"/>
  <c r="AS9" i="17" s="1"/>
  <c r="R8" i="17"/>
  <c r="R9" i="17" s="1"/>
  <c r="BH7" i="17"/>
  <c r="BH9" i="17" s="1"/>
  <c r="BH39" i="17" s="1"/>
  <c r="BB7" i="17"/>
  <c r="BT9" i="17"/>
  <c r="BT39" i="17" s="1"/>
  <c r="BT51" i="17" s="1"/>
  <c r="BB6" i="17"/>
  <c r="BB9" i="17" s="1"/>
  <c r="BB39" i="17" s="1"/>
  <c r="BB51" i="17" s="1"/>
  <c r="BB5" i="17"/>
  <c r="AS5" i="17"/>
  <c r="AA5" i="17"/>
  <c r="X5" i="17"/>
  <c r="U5" i="17"/>
  <c r="U9" i="17" s="1"/>
  <c r="U39" i="17" s="1"/>
  <c r="U51" i="17" s="1"/>
  <c r="CC122" i="14"/>
  <c r="BU122" i="14"/>
  <c r="BV122" i="14" s="1"/>
  <c r="CC121" i="14"/>
  <c r="BU121" i="14"/>
  <c r="BV121" i="14" s="1"/>
  <c r="CC120" i="14"/>
  <c r="BU120" i="14"/>
  <c r="BV120" i="14" s="1"/>
  <c r="CC119" i="14"/>
  <c r="BU119" i="14"/>
  <c r="BV119" i="14" s="1"/>
  <c r="CC118" i="14"/>
  <c r="BU118" i="14"/>
  <c r="BV118" i="14" s="1"/>
  <c r="CC117" i="14"/>
  <c r="BU117" i="14"/>
  <c r="BV117" i="14" s="1"/>
  <c r="CC116" i="14"/>
  <c r="BU116" i="14"/>
  <c r="BV116" i="14" s="1"/>
  <c r="CC115" i="14"/>
  <c r="BU115" i="14"/>
  <c r="BV115" i="14" s="1"/>
  <c r="CC114" i="14"/>
  <c r="BU114" i="14"/>
  <c r="BV114" i="14" s="1"/>
  <c r="CC113" i="14"/>
  <c r="BU113" i="14"/>
  <c r="BV113" i="14" s="1"/>
  <c r="CC112" i="14"/>
  <c r="BU112" i="14"/>
  <c r="BV112" i="14" s="1"/>
  <c r="CC105" i="14"/>
  <c r="BU105" i="14"/>
  <c r="BV105" i="14" s="1"/>
  <c r="CC104" i="14"/>
  <c r="BU104" i="14"/>
  <c r="BV104" i="14" s="1"/>
  <c r="CC103" i="14"/>
  <c r="BU103" i="14"/>
  <c r="BV103" i="14" s="1"/>
  <c r="CC102" i="14"/>
  <c r="BU102" i="14"/>
  <c r="BV102" i="14" s="1"/>
  <c r="BU101" i="14"/>
  <c r="BV101" i="14" s="1"/>
  <c r="BU100" i="14"/>
  <c r="BV100" i="14" s="1"/>
  <c r="BU99" i="14"/>
  <c r="BV99" i="14" s="1"/>
  <c r="BU98" i="14"/>
  <c r="BU97" i="14"/>
  <c r="BV97" i="14" s="1"/>
  <c r="BU96" i="14"/>
  <c r="BV96" i="14" s="1"/>
  <c r="CC91" i="14"/>
  <c r="BU91" i="14"/>
  <c r="BV91" i="14" s="1"/>
  <c r="CC90" i="14"/>
  <c r="BV90" i="14"/>
  <c r="BU90" i="14"/>
  <c r="CC89" i="14"/>
  <c r="BU89" i="14"/>
  <c r="BV89" i="14" s="1"/>
  <c r="CC88" i="14"/>
  <c r="BU88" i="14"/>
  <c r="BV88" i="14" s="1"/>
  <c r="CC87" i="14"/>
  <c r="BU87" i="14"/>
  <c r="BV87" i="14" s="1"/>
  <c r="CC86" i="14"/>
  <c r="BU86" i="14"/>
  <c r="BV86" i="14" s="1"/>
  <c r="CC85" i="14"/>
  <c r="BU85" i="14"/>
  <c r="BV85" i="14" s="1"/>
  <c r="CC84" i="14"/>
  <c r="BU84" i="14"/>
  <c r="BV84" i="14" s="1"/>
  <c r="CC83" i="14"/>
  <c r="BU83" i="14"/>
  <c r="BV83" i="14" s="1"/>
  <c r="CC82" i="14"/>
  <c r="BU82" i="14"/>
  <c r="BV82" i="14" s="1"/>
  <c r="CC81" i="14"/>
  <c r="BU81" i="14"/>
  <c r="BV81" i="14" s="1"/>
  <c r="CC80" i="14"/>
  <c r="BU80" i="14"/>
  <c r="BV80" i="14" s="1"/>
  <c r="CC71" i="14"/>
  <c r="BU71" i="14"/>
  <c r="BV71" i="14" s="1"/>
  <c r="CC70" i="14"/>
  <c r="BU70" i="14"/>
  <c r="BV70" i="14" s="1"/>
  <c r="CC69" i="14"/>
  <c r="BU69" i="14"/>
  <c r="BV69" i="14" s="1"/>
  <c r="CC68" i="14"/>
  <c r="BU68" i="14"/>
  <c r="BV68" i="14" s="1"/>
  <c r="CC67" i="14"/>
  <c r="BV67" i="14"/>
  <c r="BU67" i="14"/>
  <c r="CC66" i="14"/>
  <c r="BU66" i="14"/>
  <c r="BV66" i="14" s="1"/>
  <c r="BU65" i="14"/>
  <c r="BV65" i="14" s="1"/>
  <c r="BU64" i="14"/>
  <c r="BV64" i="14" s="1"/>
  <c r="BU63" i="14"/>
  <c r="BV63" i="14" s="1"/>
  <c r="BU62" i="14"/>
  <c r="BV62" i="14" s="1"/>
  <c r="BU61" i="14"/>
  <c r="BV61" i="14" s="1"/>
  <c r="BU60" i="14"/>
  <c r="BV60" i="14" s="1"/>
  <c r="BU59" i="14"/>
  <c r="BV59" i="14" s="1"/>
  <c r="BU58" i="14"/>
  <c r="BV58" i="14" s="1"/>
  <c r="CC53" i="14"/>
  <c r="BU53" i="14"/>
  <c r="BV53" i="14" s="1"/>
  <c r="CC52" i="14"/>
  <c r="BU52" i="14"/>
  <c r="BV52" i="14" s="1"/>
  <c r="CC51" i="14"/>
  <c r="BU51" i="14"/>
  <c r="BV51" i="14" s="1"/>
  <c r="CC50" i="14"/>
  <c r="BU50" i="14"/>
  <c r="BV50" i="14" s="1"/>
  <c r="CC49" i="14"/>
  <c r="BU49" i="14"/>
  <c r="BV49" i="14" s="1"/>
  <c r="BU48" i="14"/>
  <c r="BV48" i="14" s="1"/>
  <c r="BU47" i="14"/>
  <c r="BV47" i="14" s="1"/>
  <c r="BU46" i="14"/>
  <c r="BV46" i="14" s="1"/>
  <c r="BU45" i="14"/>
  <c r="BV45" i="14" s="1"/>
  <c r="BU44" i="14"/>
  <c r="BV44" i="14" s="1"/>
  <c r="BU43" i="14"/>
  <c r="BV43" i="14" s="1"/>
  <c r="BU42" i="14"/>
  <c r="BV42" i="14" s="1"/>
  <c r="BU41" i="14"/>
  <c r="BV41" i="14" s="1"/>
  <c r="BU40" i="14"/>
  <c r="BV40" i="14" s="1"/>
  <c r="BU39" i="14"/>
  <c r="BV39" i="14" s="1"/>
  <c r="BU38" i="14"/>
  <c r="CC33" i="14"/>
  <c r="BU33" i="14"/>
  <c r="BV33" i="14" s="1"/>
  <c r="CC32" i="14"/>
  <c r="BU32" i="14"/>
  <c r="BV32" i="14" s="1"/>
  <c r="CC31" i="14"/>
  <c r="BU31" i="14"/>
  <c r="BV31" i="14" s="1"/>
  <c r="CC30" i="14"/>
  <c r="BU30" i="14"/>
  <c r="BV30" i="14" s="1"/>
  <c r="CC27" i="14"/>
  <c r="BU27" i="14"/>
  <c r="BV27" i="14" s="1"/>
  <c r="CC26" i="14"/>
  <c r="BU26" i="14"/>
  <c r="BV26" i="14" s="1"/>
  <c r="CC25" i="14"/>
  <c r="BU25" i="14"/>
  <c r="BV25" i="14" s="1"/>
  <c r="CC24" i="14"/>
  <c r="BU24" i="14"/>
  <c r="BV24" i="14" s="1"/>
  <c r="CC23" i="14"/>
  <c r="BU23" i="14"/>
  <c r="BV23" i="14" s="1"/>
  <c r="CC22" i="14"/>
  <c r="BU22" i="14"/>
  <c r="BV22" i="14" s="1"/>
  <c r="CC21" i="14"/>
  <c r="BU21" i="14"/>
  <c r="BV21" i="14" s="1"/>
  <c r="CC20" i="14"/>
  <c r="BU20" i="14"/>
  <c r="BV20" i="14" s="1"/>
  <c r="CC19" i="14"/>
  <c r="BU19" i="14"/>
  <c r="BV19" i="14" s="1"/>
  <c r="CC18" i="14"/>
  <c r="BU18" i="14"/>
  <c r="BV18" i="14" s="1"/>
  <c r="CC17" i="14"/>
  <c r="BU17" i="14"/>
  <c r="BV17" i="14" s="1"/>
  <c r="CC16" i="14"/>
  <c r="BU16" i="14"/>
  <c r="BV16" i="14" s="1"/>
  <c r="CC15" i="14"/>
  <c r="BU15" i="14"/>
  <c r="BV15" i="14" s="1"/>
  <c r="CC14" i="14"/>
  <c r="BU14" i="14"/>
  <c r="BV14" i="14" s="1"/>
  <c r="CC13" i="14"/>
  <c r="BU13" i="14"/>
  <c r="BV13" i="14" s="1"/>
  <c r="CC12" i="14"/>
  <c r="BU12" i="14"/>
  <c r="BV12" i="14" s="1"/>
  <c r="BT134" i="14"/>
  <c r="BT132" i="14"/>
  <c r="BT128" i="14"/>
  <c r="BU128" i="14" s="1"/>
  <c r="CB124" i="14"/>
  <c r="CA124" i="14"/>
  <c r="BZ124" i="14"/>
  <c r="BY124" i="14"/>
  <c r="BX124" i="14"/>
  <c r="BW124" i="14"/>
  <c r="BT124" i="14"/>
  <c r="CB107" i="14"/>
  <c r="CA107" i="14"/>
  <c r="CA109" i="14" s="1"/>
  <c r="BZ107" i="14"/>
  <c r="BY107" i="14"/>
  <c r="BX107" i="14"/>
  <c r="BW107" i="14"/>
  <c r="BT107" i="14"/>
  <c r="CB93" i="14"/>
  <c r="CA93" i="14"/>
  <c r="BZ93" i="14"/>
  <c r="BY93" i="14"/>
  <c r="BX93" i="14"/>
  <c r="BW93" i="14"/>
  <c r="BT93" i="14"/>
  <c r="CB73" i="14"/>
  <c r="CA73" i="14"/>
  <c r="BZ73" i="14"/>
  <c r="BY73" i="14"/>
  <c r="BX73" i="14"/>
  <c r="BW73" i="14"/>
  <c r="BT73" i="14"/>
  <c r="CB55" i="14"/>
  <c r="CA55" i="14"/>
  <c r="BZ55" i="14"/>
  <c r="BY55" i="14"/>
  <c r="BX55" i="14"/>
  <c r="BW55" i="14"/>
  <c r="BT55" i="14"/>
  <c r="CA35" i="14"/>
  <c r="BZ35" i="14"/>
  <c r="BX35" i="14"/>
  <c r="BW35" i="14"/>
  <c r="BT35" i="14"/>
  <c r="BY35" i="14"/>
  <c r="CC11" i="14"/>
  <c r="BU11" i="14"/>
  <c r="AP177" i="12"/>
  <c r="AP176" i="12"/>
  <c r="AP148" i="12"/>
  <c r="AP147" i="12"/>
  <c r="AP120" i="12"/>
  <c r="AP92" i="12"/>
  <c r="AP91" i="12"/>
  <c r="AP64" i="12"/>
  <c r="AP63" i="12"/>
  <c r="AP35" i="12"/>
  <c r="AP34" i="12"/>
  <c r="U155" i="16"/>
  <c r="S155" i="16"/>
  <c r="Q155" i="16"/>
  <c r="O155" i="16"/>
  <c r="M155" i="16"/>
  <c r="K155" i="16"/>
  <c r="I155" i="16"/>
  <c r="G155" i="16"/>
  <c r="E155" i="16"/>
  <c r="AG103" i="16"/>
  <c r="AF88" i="16"/>
  <c r="AH84" i="16"/>
  <c r="AH83" i="16"/>
  <c r="U65" i="16"/>
  <c r="S65" i="16"/>
  <c r="Q65" i="16"/>
  <c r="U64" i="16"/>
  <c r="S64" i="16"/>
  <c r="Q64" i="16"/>
  <c r="AH55" i="16"/>
  <c r="AG55" i="16"/>
  <c r="A55" i="16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I50" i="16"/>
  <c r="AH50" i="16"/>
  <c r="AG50" i="16"/>
  <c r="AF50" i="16"/>
  <c r="AE50" i="16"/>
  <c r="AD50" i="16"/>
  <c r="AC50" i="16"/>
  <c r="AH49" i="16"/>
  <c r="AH51" i="16" s="1"/>
  <c r="AG49" i="16"/>
  <c r="AF49" i="16"/>
  <c r="AE49" i="16"/>
  <c r="AD49" i="16"/>
  <c r="AC49" i="16"/>
  <c r="AJ43" i="16"/>
  <c r="AI43" i="16"/>
  <c r="AH43" i="16"/>
  <c r="AG43" i="16"/>
  <c r="AF43" i="16"/>
  <c r="AE43" i="16"/>
  <c r="AD43" i="16"/>
  <c r="AC43" i="16"/>
  <c r="AJ39" i="16"/>
  <c r="AI39" i="16"/>
  <c r="AH39" i="16"/>
  <c r="AG39" i="16"/>
  <c r="AF39" i="16"/>
  <c r="AE39" i="16"/>
  <c r="AD39" i="16"/>
  <c r="AC39" i="16"/>
  <c r="AJ35" i="16"/>
  <c r="AI35" i="16"/>
  <c r="AH35" i="16"/>
  <c r="AG35" i="16"/>
  <c r="AF35" i="16"/>
  <c r="AE35" i="16"/>
  <c r="AD35" i="16"/>
  <c r="AC35" i="16"/>
  <c r="AJ31" i="16"/>
  <c r="AI31" i="16"/>
  <c r="AH31" i="16"/>
  <c r="AG31" i="16"/>
  <c r="AF31" i="16"/>
  <c r="AE31" i="16"/>
  <c r="AD31" i="16"/>
  <c r="AC31" i="16"/>
  <c r="AJ27" i="16"/>
  <c r="AI27" i="16"/>
  <c r="AH27" i="16"/>
  <c r="AG27" i="16"/>
  <c r="AF27" i="16"/>
  <c r="AE27" i="16"/>
  <c r="AD27" i="16"/>
  <c r="AC27" i="16"/>
  <c r="AJ23" i="16"/>
  <c r="AH23" i="16"/>
  <c r="AG23" i="16"/>
  <c r="AF23" i="16"/>
  <c r="AE23" i="16"/>
  <c r="AD23" i="16"/>
  <c r="AC23" i="16"/>
  <c r="AI21" i="16"/>
  <c r="AI23" i="16" s="1"/>
  <c r="AK18" i="16"/>
  <c r="AJ18" i="16"/>
  <c r="AH18" i="16"/>
  <c r="AG18" i="16"/>
  <c r="AE18" i="16"/>
  <c r="AD18" i="16"/>
  <c r="AC18" i="16"/>
  <c r="AI8" i="16"/>
  <c r="U8" i="16"/>
  <c r="S8" i="16"/>
  <c r="AI7" i="16"/>
  <c r="AF7" i="16"/>
  <c r="AF18" i="16" s="1"/>
  <c r="AI6" i="16"/>
  <c r="AI5" i="16"/>
  <c r="AA221" i="12"/>
  <c r="CC124" i="14" l="1"/>
  <c r="CB109" i="14"/>
  <c r="CC55" i="14"/>
  <c r="BY109" i="14"/>
  <c r="AD51" i="16"/>
  <c r="CC73" i="14"/>
  <c r="BX75" i="14"/>
  <c r="CC93" i="14"/>
  <c r="BU107" i="14"/>
  <c r="BV107" i="14" s="1"/>
  <c r="BU93" i="14"/>
  <c r="BV93" i="14" s="1"/>
  <c r="BW109" i="14"/>
  <c r="CC107" i="14"/>
  <c r="BX109" i="14"/>
  <c r="BX127" i="14" s="1"/>
  <c r="CF127" i="14"/>
  <c r="CD135" i="14"/>
  <c r="CD142" i="14"/>
  <c r="AC51" i="16"/>
  <c r="AF51" i="16"/>
  <c r="AI49" i="16"/>
  <c r="AI51" i="16" s="1"/>
  <c r="AJ51" i="16"/>
  <c r="BT109" i="14"/>
  <c r="BZ109" i="14"/>
  <c r="BW75" i="14"/>
  <c r="BW127" i="14" s="1"/>
  <c r="BU55" i="14"/>
  <c r="BV55" i="14" s="1"/>
  <c r="CC35" i="14"/>
  <c r="CC75" i="14" s="1"/>
  <c r="BQ39" i="17"/>
  <c r="BQ51" i="17" s="1"/>
  <c r="BE51" i="17"/>
  <c r="BH51" i="17"/>
  <c r="AY22" i="17"/>
  <c r="AY38" i="17" s="1"/>
  <c r="AV38" i="17"/>
  <c r="AV39" i="17"/>
  <c r="AV51" i="17" s="1"/>
  <c r="AY39" i="17"/>
  <c r="AY51" i="17" s="1"/>
  <c r="AG51" i="17"/>
  <c r="AD51" i="17"/>
  <c r="BN39" i="17"/>
  <c r="BN51" i="17" s="1"/>
  <c r="R38" i="17"/>
  <c r="R39" i="17" s="1"/>
  <c r="R51" i="17" s="1"/>
  <c r="AP38" i="17"/>
  <c r="AP39" i="17" s="1"/>
  <c r="AP51" i="17" s="1"/>
  <c r="BN38" i="17"/>
  <c r="AS38" i="17"/>
  <c r="AS39" i="17" s="1"/>
  <c r="AS51" i="17" s="1"/>
  <c r="BQ38" i="17"/>
  <c r="BV98" i="14"/>
  <c r="BZ75" i="14"/>
  <c r="CA75" i="14"/>
  <c r="BV38" i="14"/>
  <c r="BT75" i="14"/>
  <c r="BY75" i="14"/>
  <c r="BU35" i="14"/>
  <c r="BV35" i="14" s="1"/>
  <c r="BV11" i="14"/>
  <c r="BY127" i="14"/>
  <c r="CA127" i="14"/>
  <c r="BU124" i="14"/>
  <c r="CB35" i="14"/>
  <c r="CB75" i="14" s="1"/>
  <c r="CB127" i="14" s="1"/>
  <c r="BT136" i="14" s="1"/>
  <c r="BU73" i="14"/>
  <c r="BV73" i="14" s="1"/>
  <c r="AG51" i="16"/>
  <c r="AI18" i="16"/>
  <c r="AE51" i="16"/>
  <c r="AI63" i="12"/>
  <c r="AI71" i="12"/>
  <c r="AM63" i="12"/>
  <c r="AM71" i="12"/>
  <c r="AA195" i="12"/>
  <c r="AM186" i="12"/>
  <c r="AN186" i="12"/>
  <c r="AO186" i="12"/>
  <c r="BJ140" i="14"/>
  <c r="CC109" i="14" l="1"/>
  <c r="CC127" i="14" s="1"/>
  <c r="BT137" i="14" s="1"/>
  <c r="BT138" i="14" s="1"/>
  <c r="BT127" i="14"/>
  <c r="BU109" i="14"/>
  <c r="CD147" i="14"/>
  <c r="CD146" i="14"/>
  <c r="CD145" i="14"/>
  <c r="CD148" i="14"/>
  <c r="CD144" i="14"/>
  <c r="CD139" i="14"/>
  <c r="CD143" i="14"/>
  <c r="BZ127" i="14"/>
  <c r="BU75" i="14"/>
  <c r="BV75" i="14" s="1"/>
  <c r="BV109" i="14"/>
  <c r="BV124" i="14"/>
  <c r="AK128" i="12"/>
  <c r="AK127" i="12"/>
  <c r="AL42" i="12"/>
  <c r="BU127" i="14" l="1"/>
  <c r="BV127" i="14" s="1"/>
  <c r="AM213" i="12"/>
  <c r="AM212" i="12"/>
  <c r="AM209" i="12"/>
  <c r="AM208" i="12"/>
  <c r="AM205" i="12"/>
  <c r="BT142" i="14" l="1"/>
  <c r="BT135" i="14"/>
  <c r="BT139" i="14" s="1"/>
  <c r="BR26" i="14"/>
  <c r="BR35" i="14" s="1"/>
  <c r="BO26" i="14"/>
  <c r="BT144" i="14" l="1"/>
  <c r="BT143" i="14"/>
  <c r="BT148" i="14"/>
  <c r="BT146" i="14"/>
  <c r="BT145" i="14"/>
  <c r="BT147" i="14"/>
  <c r="AE157" i="12"/>
  <c r="AF149" i="12"/>
  <c r="AA101" i="12"/>
  <c r="AA93" i="12"/>
  <c r="AA104" i="12"/>
  <c r="AA103" i="12"/>
  <c r="AE165" i="12"/>
  <c r="AP162" i="12"/>
  <c r="AL162" i="12"/>
  <c r="AH162" i="12"/>
  <c r="AD162" i="12"/>
  <c r="Z162" i="12"/>
  <c r="V162" i="12"/>
  <c r="R162" i="12"/>
  <c r="N162" i="12"/>
  <c r="J162" i="12"/>
  <c r="F162" i="12"/>
  <c r="AB161" i="12"/>
  <c r="AQ160" i="12"/>
  <c r="AO160" i="12"/>
  <c r="AN160" i="12"/>
  <c r="AM160" i="12"/>
  <c r="AK160" i="12"/>
  <c r="AJ160" i="12"/>
  <c r="AI160" i="12"/>
  <c r="AF160" i="12"/>
  <c r="AB160" i="12"/>
  <c r="AA160" i="12"/>
  <c r="Y160" i="12"/>
  <c r="X160" i="12"/>
  <c r="U160" i="12"/>
  <c r="T160" i="12"/>
  <c r="S160" i="12"/>
  <c r="Q160" i="12"/>
  <c r="P160" i="12"/>
  <c r="O160" i="12"/>
  <c r="M160" i="12"/>
  <c r="L160" i="12"/>
  <c r="K160" i="12"/>
  <c r="I160" i="12"/>
  <c r="H160" i="12"/>
  <c r="G160" i="12"/>
  <c r="E160" i="12"/>
  <c r="D160" i="12"/>
  <c r="AQ159" i="12"/>
  <c r="AO159" i="12"/>
  <c r="AN159" i="12"/>
  <c r="AM159" i="12"/>
  <c r="AM161" i="12" s="1"/>
  <c r="AK159" i="12"/>
  <c r="AK161" i="12" s="1"/>
  <c r="AJ159" i="12"/>
  <c r="AI159" i="12"/>
  <c r="AI161" i="12" s="1"/>
  <c r="AB159" i="12"/>
  <c r="AA159" i="12"/>
  <c r="AA161" i="12" s="1"/>
  <c r="Y159" i="12"/>
  <c r="Y161" i="12" s="1"/>
  <c r="X159" i="12"/>
  <c r="X161" i="12" s="1"/>
  <c r="W159" i="12"/>
  <c r="U159" i="12"/>
  <c r="U161" i="12" s="1"/>
  <c r="T159" i="12"/>
  <c r="T161" i="12" s="1"/>
  <c r="S159" i="12"/>
  <c r="S161" i="12" s="1"/>
  <c r="Q159" i="12"/>
  <c r="Q161" i="12" s="1"/>
  <c r="P159" i="12"/>
  <c r="P161" i="12" s="1"/>
  <c r="O159" i="12"/>
  <c r="O161" i="12" s="1"/>
  <c r="M159" i="12"/>
  <c r="M161" i="12" s="1"/>
  <c r="L159" i="12"/>
  <c r="L161" i="12" s="1"/>
  <c r="K159" i="12"/>
  <c r="K161" i="12" s="1"/>
  <c r="I159" i="12"/>
  <c r="I161" i="12" s="1"/>
  <c r="H159" i="12"/>
  <c r="H161" i="12" s="1"/>
  <c r="G159" i="12"/>
  <c r="G161" i="12" s="1"/>
  <c r="E159" i="12"/>
  <c r="E161" i="12" s="1"/>
  <c r="D159" i="12"/>
  <c r="D161" i="12" s="1"/>
  <c r="AQ157" i="12"/>
  <c r="AO157" i="12"/>
  <c r="AN157" i="12"/>
  <c r="AM157" i="12"/>
  <c r="AK157" i="12"/>
  <c r="AJ157" i="12"/>
  <c r="AI157" i="12"/>
  <c r="AG157" i="12"/>
  <c r="AF157" i="12"/>
  <c r="AB157" i="12"/>
  <c r="AA157" i="12"/>
  <c r="Y157" i="12"/>
  <c r="X157" i="12"/>
  <c r="W157" i="12"/>
  <c r="U157" i="12"/>
  <c r="T157" i="12"/>
  <c r="S157" i="12"/>
  <c r="Q157" i="12"/>
  <c r="P157" i="12"/>
  <c r="O157" i="12"/>
  <c r="M157" i="12"/>
  <c r="L157" i="12"/>
  <c r="K157" i="12"/>
  <c r="I157" i="12"/>
  <c r="H157" i="12"/>
  <c r="G157" i="12"/>
  <c r="E157" i="12"/>
  <c r="D157" i="12"/>
  <c r="AL156" i="12"/>
  <c r="AH156" i="12"/>
  <c r="AC156" i="12"/>
  <c r="AD156" i="12" s="1"/>
  <c r="Z156" i="12"/>
  <c r="V156" i="12"/>
  <c r="R156" i="12"/>
  <c r="N156" i="12"/>
  <c r="J156" i="12"/>
  <c r="F156" i="12"/>
  <c r="AP157" i="12"/>
  <c r="AL155" i="12"/>
  <c r="AH155" i="12"/>
  <c r="AH157" i="12" s="1"/>
  <c r="AC155" i="12"/>
  <c r="AD155" i="12" s="1"/>
  <c r="AD157" i="12" s="1"/>
  <c r="Z155" i="12"/>
  <c r="Z157" i="12" s="1"/>
  <c r="V155" i="12"/>
  <c r="V157" i="12" s="1"/>
  <c r="R155" i="12"/>
  <c r="R157" i="12" s="1"/>
  <c r="N155" i="12"/>
  <c r="N157" i="12" s="1"/>
  <c r="J155" i="12"/>
  <c r="J157" i="12" s="1"/>
  <c r="F155" i="12"/>
  <c r="F157" i="12" s="1"/>
  <c r="AQ153" i="12"/>
  <c r="AO153" i="12"/>
  <c r="AN153" i="12"/>
  <c r="AM153" i="12"/>
  <c r="AK153" i="12"/>
  <c r="AJ153" i="12"/>
  <c r="AI153" i="12"/>
  <c r="AH153" i="12"/>
  <c r="AG153" i="12"/>
  <c r="AF153" i="12"/>
  <c r="AC153" i="12"/>
  <c r="AB153" i="12"/>
  <c r="AA153" i="12"/>
  <c r="Y153" i="12"/>
  <c r="X153" i="12"/>
  <c r="U153" i="12"/>
  <c r="T153" i="12"/>
  <c r="S153" i="12"/>
  <c r="Q153" i="12"/>
  <c r="P153" i="12"/>
  <c r="O153" i="12"/>
  <c r="M153" i="12"/>
  <c r="L153" i="12"/>
  <c r="K153" i="12"/>
  <c r="I153" i="12"/>
  <c r="H153" i="12"/>
  <c r="G153" i="12"/>
  <c r="E153" i="12"/>
  <c r="D153" i="12"/>
  <c r="AL152" i="12"/>
  <c r="AH152" i="12"/>
  <c r="AD152" i="12"/>
  <c r="Z152" i="12"/>
  <c r="Z153" i="12" s="1"/>
  <c r="W152" i="12"/>
  <c r="W160" i="12" s="1"/>
  <c r="V152" i="12"/>
  <c r="R152" i="12"/>
  <c r="R153" i="12" s="1"/>
  <c r="N152" i="12"/>
  <c r="J152" i="12"/>
  <c r="F152" i="12"/>
  <c r="AP153" i="12"/>
  <c r="AL151" i="12"/>
  <c r="AL153" i="12" s="1"/>
  <c r="AH151" i="12"/>
  <c r="AE159" i="12"/>
  <c r="AD151" i="12"/>
  <c r="AD153" i="12" s="1"/>
  <c r="Z151" i="12"/>
  <c r="V151" i="12"/>
  <c r="V153" i="12" s="1"/>
  <c r="R151" i="12"/>
  <c r="N151" i="12"/>
  <c r="N153" i="12" s="1"/>
  <c r="J151" i="12"/>
  <c r="J153" i="12" s="1"/>
  <c r="F151" i="12"/>
  <c r="F153" i="12" s="1"/>
  <c r="AQ149" i="12"/>
  <c r="AO149" i="12"/>
  <c r="AN149" i="12"/>
  <c r="AM149" i="12"/>
  <c r="AK149" i="12"/>
  <c r="AJ149" i="12"/>
  <c r="AI149" i="12"/>
  <c r="AE149" i="12"/>
  <c r="AC149" i="12"/>
  <c r="AB149" i="12"/>
  <c r="AA149" i="12"/>
  <c r="Z149" i="12"/>
  <c r="Y149" i="12"/>
  <c r="X149" i="12"/>
  <c r="W149" i="12"/>
  <c r="U149" i="12"/>
  <c r="T149" i="12"/>
  <c r="S149" i="12"/>
  <c r="Q149" i="12"/>
  <c r="P149" i="12"/>
  <c r="O149" i="12"/>
  <c r="M149" i="12"/>
  <c r="L149" i="12"/>
  <c r="K149" i="12"/>
  <c r="J149" i="12"/>
  <c r="I149" i="12"/>
  <c r="H149" i="12"/>
  <c r="G149" i="12"/>
  <c r="E149" i="12"/>
  <c r="D149" i="12"/>
  <c r="AP149" i="12"/>
  <c r="AL148" i="12"/>
  <c r="AG148" i="12"/>
  <c r="AH148" i="12" s="1"/>
  <c r="AH160" i="12" s="1"/>
  <c r="AF148" i="12"/>
  <c r="AD148" i="12"/>
  <c r="AD160" i="12" s="1"/>
  <c r="Z148" i="12"/>
  <c r="Z160" i="12" s="1"/>
  <c r="V148" i="12"/>
  <c r="V160" i="12" s="1"/>
  <c r="R148" i="12"/>
  <c r="R149" i="12" s="1"/>
  <c r="N148" i="12"/>
  <c r="N160" i="12" s="1"/>
  <c r="J148" i="12"/>
  <c r="J160" i="12" s="1"/>
  <c r="F148" i="12"/>
  <c r="F160" i="12" s="1"/>
  <c r="AP159" i="12"/>
  <c r="AL147" i="12"/>
  <c r="AG147" i="12"/>
  <c r="AG149" i="12" s="1"/>
  <c r="AF147" i="12"/>
  <c r="AD147" i="12"/>
  <c r="AD159" i="12" s="1"/>
  <c r="AD161" i="12" s="1"/>
  <c r="Z147" i="12"/>
  <c r="Z159" i="12" s="1"/>
  <c r="V147" i="12"/>
  <c r="V149" i="12" s="1"/>
  <c r="R147" i="12"/>
  <c r="R159" i="12" s="1"/>
  <c r="N147" i="12"/>
  <c r="N149" i="12" s="1"/>
  <c r="J147" i="12"/>
  <c r="J159" i="12" s="1"/>
  <c r="J161" i="12" s="1"/>
  <c r="F147" i="12"/>
  <c r="F149" i="12" s="1"/>
  <c r="F119" i="12"/>
  <c r="J119" i="12"/>
  <c r="N119" i="12"/>
  <c r="R119" i="12"/>
  <c r="V119" i="12"/>
  <c r="Z119" i="12"/>
  <c r="Z121" i="12" s="1"/>
  <c r="AA121" i="12"/>
  <c r="AC119" i="12"/>
  <c r="AD119" i="12" s="1"/>
  <c r="AE131" i="12"/>
  <c r="AH119" i="12"/>
  <c r="AL119" i="12"/>
  <c r="F120" i="12"/>
  <c r="F121" i="12" s="1"/>
  <c r="J120" i="12"/>
  <c r="J121" i="12" s="1"/>
  <c r="N120" i="12"/>
  <c r="R120" i="12"/>
  <c r="V120" i="12"/>
  <c r="Z120" i="12"/>
  <c r="AC120" i="12"/>
  <c r="AD120" i="12"/>
  <c r="AE132" i="12"/>
  <c r="AH120" i="12"/>
  <c r="AH121" i="12" s="1"/>
  <c r="AL120" i="12"/>
  <c r="D121" i="12"/>
  <c r="E121" i="12"/>
  <c r="G121" i="12"/>
  <c r="H121" i="12"/>
  <c r="I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AB121" i="12"/>
  <c r="AE121" i="12"/>
  <c r="AF121" i="12"/>
  <c r="AG121" i="12"/>
  <c r="AI121" i="12"/>
  <c r="AJ121" i="12"/>
  <c r="AK121" i="12"/>
  <c r="AM121" i="12"/>
  <c r="AN121" i="12"/>
  <c r="AO121" i="12"/>
  <c r="AP121" i="12"/>
  <c r="AQ121" i="12"/>
  <c r="F123" i="12"/>
  <c r="F125" i="12" s="1"/>
  <c r="J123" i="12"/>
  <c r="N123" i="12"/>
  <c r="R123" i="12"/>
  <c r="V123" i="12"/>
  <c r="W123" i="12"/>
  <c r="Z123" i="12"/>
  <c r="Z131" i="12" s="1"/>
  <c r="Z133" i="12" s="1"/>
  <c r="AD123" i="12"/>
  <c r="AD125" i="12" s="1"/>
  <c r="AH123" i="12"/>
  <c r="AH131" i="12" s="1"/>
  <c r="AH133" i="12" s="1"/>
  <c r="AL123" i="12"/>
  <c r="F124" i="12"/>
  <c r="J124" i="12"/>
  <c r="N124" i="12"/>
  <c r="N125" i="12" s="1"/>
  <c r="R124" i="12"/>
  <c r="R125" i="12" s="1"/>
  <c r="V124" i="12"/>
  <c r="V125" i="12" s="1"/>
  <c r="W124" i="12"/>
  <c r="Z124" i="12"/>
  <c r="AD124" i="12"/>
  <c r="AH124" i="12"/>
  <c r="AL124" i="12"/>
  <c r="AL125" i="12" s="1"/>
  <c r="D125" i="12"/>
  <c r="E125" i="12"/>
  <c r="G125" i="12"/>
  <c r="H125" i="12"/>
  <c r="I125" i="12"/>
  <c r="J125" i="12"/>
  <c r="K125" i="12"/>
  <c r="L125" i="12"/>
  <c r="M125" i="12"/>
  <c r="O125" i="12"/>
  <c r="P125" i="12"/>
  <c r="Q125" i="12"/>
  <c r="S125" i="12"/>
  <c r="T125" i="12"/>
  <c r="U125" i="12"/>
  <c r="W125" i="12"/>
  <c r="X125" i="12"/>
  <c r="Y125" i="12"/>
  <c r="AA125" i="12"/>
  <c r="AB125" i="12"/>
  <c r="AC125" i="12"/>
  <c r="AE125" i="12"/>
  <c r="AF125" i="12"/>
  <c r="AG125" i="12"/>
  <c r="AI125" i="12"/>
  <c r="AJ125" i="12"/>
  <c r="AK125" i="12"/>
  <c r="AM125" i="12"/>
  <c r="AN125" i="12"/>
  <c r="AO125" i="12"/>
  <c r="AP125" i="12" s="1"/>
  <c r="AQ125" i="12"/>
  <c r="F127" i="12"/>
  <c r="J127" i="12"/>
  <c r="N127" i="12"/>
  <c r="N129" i="12" s="1"/>
  <c r="R127" i="12"/>
  <c r="R131" i="12" s="1"/>
  <c r="R133" i="12" s="1"/>
  <c r="V127" i="12"/>
  <c r="V129" i="12" s="1"/>
  <c r="Z127" i="12"/>
  <c r="AC127" i="12"/>
  <c r="AD127" i="12" s="1"/>
  <c r="AD129" i="12" s="1"/>
  <c r="AH127" i="12"/>
  <c r="AI127" i="12"/>
  <c r="AL127" i="12"/>
  <c r="AM131" i="12"/>
  <c r="AP131" i="12"/>
  <c r="F128" i="12"/>
  <c r="F129" i="12" s="1"/>
  <c r="J128" i="12"/>
  <c r="N128" i="12"/>
  <c r="R128" i="12"/>
  <c r="V128" i="12"/>
  <c r="Z128" i="12"/>
  <c r="AA129" i="12"/>
  <c r="AC128" i="12"/>
  <c r="AD128" i="12"/>
  <c r="AH128" i="12"/>
  <c r="AI128" i="12"/>
  <c r="AL128" i="12"/>
  <c r="AM132" i="12"/>
  <c r="D129" i="12"/>
  <c r="E129" i="12"/>
  <c r="G129" i="12"/>
  <c r="H129" i="12"/>
  <c r="I129" i="12"/>
  <c r="J129" i="12"/>
  <c r="K129" i="12"/>
  <c r="L129" i="12"/>
  <c r="M129" i="12"/>
  <c r="O129" i="12"/>
  <c r="P129" i="12"/>
  <c r="Q129" i="12"/>
  <c r="R129" i="12"/>
  <c r="S129" i="12"/>
  <c r="T129" i="12"/>
  <c r="U129" i="12"/>
  <c r="W129" i="12"/>
  <c r="X129" i="12"/>
  <c r="Y129" i="12"/>
  <c r="Z129" i="12"/>
  <c r="AB129" i="12"/>
  <c r="AC129" i="12"/>
  <c r="AE129" i="12"/>
  <c r="AF129" i="12"/>
  <c r="AG129" i="12"/>
  <c r="AH129" i="12"/>
  <c r="AI129" i="12"/>
  <c r="AJ129" i="12"/>
  <c r="AK129" i="12"/>
  <c r="AN129" i="12"/>
  <c r="AO129" i="12"/>
  <c r="AP129" i="12"/>
  <c r="AQ129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S131" i="12"/>
  <c r="T131" i="12"/>
  <c r="U131" i="12"/>
  <c r="V131" i="12"/>
  <c r="W131" i="12"/>
  <c r="X131" i="12"/>
  <c r="Y131" i="12"/>
  <c r="AA131" i="12"/>
  <c r="AB131" i="12"/>
  <c r="AF131" i="12"/>
  <c r="AG131" i="12"/>
  <c r="AI131" i="12"/>
  <c r="AJ131" i="12"/>
  <c r="AK131" i="12"/>
  <c r="AN131" i="12"/>
  <c r="AO131" i="12"/>
  <c r="AQ131" i="12"/>
  <c r="D132" i="12"/>
  <c r="E132" i="12"/>
  <c r="F132" i="12"/>
  <c r="G132" i="12"/>
  <c r="H132" i="12"/>
  <c r="H133" i="12" s="1"/>
  <c r="I132" i="12"/>
  <c r="I133" i="12" s="1"/>
  <c r="J132" i="12"/>
  <c r="J133" i="12" s="1"/>
  <c r="K132" i="12"/>
  <c r="L132" i="12"/>
  <c r="M132" i="12"/>
  <c r="N132" i="12"/>
  <c r="O132" i="12"/>
  <c r="P132" i="12"/>
  <c r="P133" i="12" s="1"/>
  <c r="Q132" i="12"/>
  <c r="Q133" i="12" s="1"/>
  <c r="R132" i="12"/>
  <c r="S132" i="12"/>
  <c r="T132" i="12"/>
  <c r="U132" i="12"/>
  <c r="W132" i="12"/>
  <c r="X132" i="12"/>
  <c r="X133" i="12" s="1"/>
  <c r="Y132" i="12"/>
  <c r="Y133" i="12" s="1"/>
  <c r="Z132" i="12"/>
  <c r="AB132" i="12"/>
  <c r="AC132" i="12"/>
  <c r="AD132" i="12"/>
  <c r="AF132" i="12"/>
  <c r="AF133" i="12" s="1"/>
  <c r="AG132" i="12"/>
  <c r="AG133" i="12" s="1"/>
  <c r="AH132" i="12"/>
  <c r="AI132" i="12"/>
  <c r="AJ132" i="12"/>
  <c r="AK132" i="12"/>
  <c r="AN132" i="12"/>
  <c r="AO132" i="12"/>
  <c r="AP132" i="12"/>
  <c r="AQ132" i="12"/>
  <c r="D133" i="12"/>
  <c r="E133" i="12"/>
  <c r="F133" i="12"/>
  <c r="G133" i="12"/>
  <c r="K133" i="12"/>
  <c r="L133" i="12"/>
  <c r="M133" i="12"/>
  <c r="N133" i="12"/>
  <c r="O133" i="12"/>
  <c r="S133" i="12"/>
  <c r="T133" i="12"/>
  <c r="U133" i="12"/>
  <c r="W133" i="12"/>
  <c r="AB133" i="12"/>
  <c r="AI133" i="12"/>
  <c r="F134" i="12"/>
  <c r="J134" i="12"/>
  <c r="N134" i="12"/>
  <c r="R134" i="12"/>
  <c r="V134" i="12"/>
  <c r="Z134" i="12"/>
  <c r="AD134" i="12"/>
  <c r="AH134" i="12"/>
  <c r="AL134" i="12"/>
  <c r="AP134" i="12"/>
  <c r="AA137" i="12"/>
  <c r="AE137" i="12"/>
  <c r="AP106" i="12"/>
  <c r="AL106" i="12"/>
  <c r="AH106" i="12"/>
  <c r="AD106" i="12"/>
  <c r="Z106" i="12"/>
  <c r="V106" i="12"/>
  <c r="R106" i="12"/>
  <c r="N106" i="12"/>
  <c r="J106" i="12"/>
  <c r="F106" i="12"/>
  <c r="AQ104" i="12"/>
  <c r="AO104" i="12"/>
  <c r="AN104" i="12"/>
  <c r="AM104" i="12"/>
  <c r="AK104" i="12"/>
  <c r="AJ104" i="12"/>
  <c r="AI104" i="12"/>
  <c r="AG104" i="12"/>
  <c r="AF104" i="12"/>
  <c r="AE104" i="12"/>
  <c r="AB104" i="12"/>
  <c r="Y104" i="12"/>
  <c r="X104" i="12"/>
  <c r="W104" i="12"/>
  <c r="U104" i="12"/>
  <c r="T104" i="12"/>
  <c r="S104" i="12"/>
  <c r="R104" i="12"/>
  <c r="Q104" i="12"/>
  <c r="P104" i="12"/>
  <c r="O104" i="12"/>
  <c r="M104" i="12"/>
  <c r="L104" i="12"/>
  <c r="K104" i="12"/>
  <c r="I104" i="12"/>
  <c r="H104" i="12"/>
  <c r="G104" i="12"/>
  <c r="E104" i="12"/>
  <c r="D104" i="12"/>
  <c r="AQ103" i="12"/>
  <c r="AQ105" i="12" s="1"/>
  <c r="AO103" i="12"/>
  <c r="AN103" i="12"/>
  <c r="AM103" i="12"/>
  <c r="AM105" i="12" s="1"/>
  <c r="AK103" i="12"/>
  <c r="AK105" i="12" s="1"/>
  <c r="AJ103" i="12"/>
  <c r="AI103" i="12"/>
  <c r="AI105" i="12" s="1"/>
  <c r="AG103" i="12"/>
  <c r="AG105" i="12" s="1"/>
  <c r="AF103" i="12"/>
  <c r="AF105" i="12" s="1"/>
  <c r="AE103" i="12"/>
  <c r="AE105" i="12" s="1"/>
  <c r="AC103" i="12"/>
  <c r="AB103" i="12"/>
  <c r="AB105" i="12" s="1"/>
  <c r="Y103" i="12"/>
  <c r="Y105" i="12" s="1"/>
  <c r="X103" i="12"/>
  <c r="X105" i="12" s="1"/>
  <c r="U103" i="12"/>
  <c r="U105" i="12" s="1"/>
  <c r="T103" i="12"/>
  <c r="T105" i="12" s="1"/>
  <c r="S103" i="12"/>
  <c r="S105" i="12" s="1"/>
  <c r="Q103" i="12"/>
  <c r="Q105" i="12" s="1"/>
  <c r="P103" i="12"/>
  <c r="P105" i="12" s="1"/>
  <c r="O103" i="12"/>
  <c r="O105" i="12" s="1"/>
  <c r="M103" i="12"/>
  <c r="M105" i="12" s="1"/>
  <c r="L103" i="12"/>
  <c r="L105" i="12" s="1"/>
  <c r="K103" i="12"/>
  <c r="K105" i="12" s="1"/>
  <c r="I103" i="12"/>
  <c r="I105" i="12" s="1"/>
  <c r="H103" i="12"/>
  <c r="H105" i="12" s="1"/>
  <c r="G103" i="12"/>
  <c r="G105" i="12" s="1"/>
  <c r="E103" i="12"/>
  <c r="E105" i="12" s="1"/>
  <c r="D103" i="12"/>
  <c r="D105" i="12" s="1"/>
  <c r="AQ101" i="12"/>
  <c r="AO101" i="12"/>
  <c r="AN101" i="12"/>
  <c r="AM101" i="12"/>
  <c r="AK101" i="12"/>
  <c r="AJ101" i="12"/>
  <c r="AI101" i="12"/>
  <c r="AH101" i="12"/>
  <c r="AG101" i="12"/>
  <c r="AF101" i="12"/>
  <c r="AE101" i="12"/>
  <c r="AC101" i="12"/>
  <c r="AB101" i="12"/>
  <c r="Y101" i="12"/>
  <c r="X101" i="12"/>
  <c r="W101" i="12"/>
  <c r="V101" i="12"/>
  <c r="U101" i="12"/>
  <c r="T101" i="12"/>
  <c r="S101" i="12"/>
  <c r="Q101" i="12"/>
  <c r="P101" i="12"/>
  <c r="O101" i="12"/>
  <c r="M101" i="12"/>
  <c r="L101" i="12"/>
  <c r="K101" i="12"/>
  <c r="I101" i="12"/>
  <c r="H101" i="12"/>
  <c r="G101" i="12"/>
  <c r="F101" i="12"/>
  <c r="E101" i="12"/>
  <c r="D101" i="12"/>
  <c r="AL100" i="12"/>
  <c r="AH100" i="12"/>
  <c r="AD100" i="12"/>
  <c r="AC100" i="12"/>
  <c r="Z100" i="12"/>
  <c r="V100" i="12"/>
  <c r="R100" i="12"/>
  <c r="N100" i="12"/>
  <c r="J100" i="12"/>
  <c r="F100" i="12"/>
  <c r="AP101" i="12"/>
  <c r="AL99" i="12"/>
  <c r="AH99" i="12"/>
  <c r="AC99" i="12"/>
  <c r="AD99" i="12" s="1"/>
  <c r="AD101" i="12" s="1"/>
  <c r="Z99" i="12"/>
  <c r="Z101" i="12" s="1"/>
  <c r="V99" i="12"/>
  <c r="R99" i="12"/>
  <c r="R103" i="12" s="1"/>
  <c r="R105" i="12" s="1"/>
  <c r="N99" i="12"/>
  <c r="N101" i="12" s="1"/>
  <c r="J99" i="12"/>
  <c r="J101" i="12" s="1"/>
  <c r="F99" i="12"/>
  <c r="AQ97" i="12"/>
  <c r="AO97" i="12"/>
  <c r="AN97" i="12"/>
  <c r="AM97" i="12"/>
  <c r="AK97" i="12"/>
  <c r="AJ97" i="12"/>
  <c r="AI97" i="12"/>
  <c r="AG97" i="12"/>
  <c r="AF97" i="12"/>
  <c r="AE97" i="12"/>
  <c r="AD97" i="12"/>
  <c r="AC97" i="12"/>
  <c r="AB97" i="12"/>
  <c r="Y97" i="12"/>
  <c r="X97" i="12"/>
  <c r="U97" i="12"/>
  <c r="T97" i="12"/>
  <c r="S97" i="12"/>
  <c r="R97" i="12"/>
  <c r="Q97" i="12"/>
  <c r="P97" i="12"/>
  <c r="O97" i="12"/>
  <c r="M97" i="12"/>
  <c r="L97" i="12"/>
  <c r="K97" i="12"/>
  <c r="I97" i="12"/>
  <c r="H97" i="12"/>
  <c r="G97" i="12"/>
  <c r="E97" i="12"/>
  <c r="D97" i="12"/>
  <c r="AP97" i="12"/>
  <c r="AL96" i="12"/>
  <c r="AH96" i="12"/>
  <c r="AD96" i="12"/>
  <c r="Z96" i="12"/>
  <c r="V96" i="12"/>
  <c r="R96" i="12"/>
  <c r="N96" i="12"/>
  <c r="N97" i="12" s="1"/>
  <c r="J96" i="12"/>
  <c r="F96" i="12"/>
  <c r="AL95" i="12"/>
  <c r="AL97" i="12" s="1"/>
  <c r="AH95" i="12"/>
  <c r="AH97" i="12" s="1"/>
  <c r="AD95" i="12"/>
  <c r="Z95" i="12"/>
  <c r="Z97" i="12" s="1"/>
  <c r="W95" i="12"/>
  <c r="W103" i="12" s="1"/>
  <c r="W105" i="12" s="1"/>
  <c r="V95" i="12"/>
  <c r="V97" i="12" s="1"/>
  <c r="R95" i="12"/>
  <c r="N95" i="12"/>
  <c r="J95" i="12"/>
  <c r="J97" i="12" s="1"/>
  <c r="F95" i="12"/>
  <c r="F97" i="12" s="1"/>
  <c r="AQ93" i="12"/>
  <c r="AO93" i="12"/>
  <c r="AN93" i="12"/>
  <c r="AM93" i="12"/>
  <c r="AK93" i="12"/>
  <c r="AJ93" i="12"/>
  <c r="AI93" i="12"/>
  <c r="AG93" i="12"/>
  <c r="AF93" i="12"/>
  <c r="AE93" i="12"/>
  <c r="AB93" i="12"/>
  <c r="Y93" i="12"/>
  <c r="X93" i="12"/>
  <c r="W93" i="12"/>
  <c r="V93" i="12"/>
  <c r="U93" i="12"/>
  <c r="T93" i="12"/>
  <c r="S93" i="12"/>
  <c r="R93" i="12"/>
  <c r="Q93" i="12"/>
  <c r="P93" i="12"/>
  <c r="O93" i="12"/>
  <c r="M93" i="12"/>
  <c r="L93" i="12"/>
  <c r="K93" i="12"/>
  <c r="I93" i="12"/>
  <c r="H93" i="12"/>
  <c r="G93" i="12"/>
  <c r="F93" i="12"/>
  <c r="E93" i="12"/>
  <c r="D93" i="12"/>
  <c r="AP104" i="12"/>
  <c r="AL92" i="12"/>
  <c r="AH92" i="12"/>
  <c r="AH104" i="12" s="1"/>
  <c r="AC92" i="12"/>
  <c r="AC93" i="12" s="1"/>
  <c r="Z92" i="12"/>
  <c r="Z104" i="12" s="1"/>
  <c r="V92" i="12"/>
  <c r="V104" i="12" s="1"/>
  <c r="R92" i="12"/>
  <c r="N92" i="12"/>
  <c r="N104" i="12" s="1"/>
  <c r="J92" i="12"/>
  <c r="J104" i="12" s="1"/>
  <c r="F92" i="12"/>
  <c r="F104" i="12" s="1"/>
  <c r="AP103" i="12"/>
  <c r="AL91" i="12"/>
  <c r="AH91" i="12"/>
  <c r="AH103" i="12" s="1"/>
  <c r="AC91" i="12"/>
  <c r="AD91" i="12" s="1"/>
  <c r="Z91" i="12"/>
  <c r="Z103" i="12" s="1"/>
  <c r="Z105" i="12" s="1"/>
  <c r="V91" i="12"/>
  <c r="V103" i="12" s="1"/>
  <c r="V105" i="12" s="1"/>
  <c r="R91" i="12"/>
  <c r="N91" i="12"/>
  <c r="N103" i="12" s="1"/>
  <c r="J91" i="12"/>
  <c r="J103" i="12" s="1"/>
  <c r="F91" i="12"/>
  <c r="F103" i="12" s="1"/>
  <c r="AE81" i="12"/>
  <c r="AP78" i="12"/>
  <c r="AL78" i="12"/>
  <c r="AH78" i="12"/>
  <c r="AD78" i="12"/>
  <c r="Z78" i="12"/>
  <c r="V78" i="12"/>
  <c r="R78" i="12"/>
  <c r="N78" i="12"/>
  <c r="J78" i="12"/>
  <c r="F78" i="12"/>
  <c r="X77" i="12"/>
  <c r="Q77" i="12"/>
  <c r="P77" i="12"/>
  <c r="AQ76" i="12"/>
  <c r="AO76" i="12"/>
  <c r="AN76" i="12"/>
  <c r="AM76" i="12"/>
  <c r="AK76" i="12"/>
  <c r="AJ76" i="12"/>
  <c r="AI76" i="12"/>
  <c r="AG76" i="12"/>
  <c r="AF76" i="12"/>
  <c r="AB76" i="12"/>
  <c r="AA76" i="12"/>
  <c r="Y76" i="12"/>
  <c r="X76" i="12"/>
  <c r="W76" i="12"/>
  <c r="U76" i="12"/>
  <c r="T76" i="12"/>
  <c r="S76" i="12"/>
  <c r="Q76" i="12"/>
  <c r="P76" i="12"/>
  <c r="O76" i="12"/>
  <c r="N76" i="12"/>
  <c r="M76" i="12"/>
  <c r="L76" i="12"/>
  <c r="K76" i="12"/>
  <c r="I76" i="12"/>
  <c r="H76" i="12"/>
  <c r="G76" i="12"/>
  <c r="F76" i="12"/>
  <c r="E76" i="12"/>
  <c r="D76" i="12"/>
  <c r="AQ75" i="12"/>
  <c r="AO75" i="12"/>
  <c r="AN75" i="12"/>
  <c r="AM75" i="12"/>
  <c r="AM77" i="12" s="1"/>
  <c r="AK75" i="12"/>
  <c r="AJ75" i="12"/>
  <c r="AI75" i="12"/>
  <c r="AI77" i="12" s="1"/>
  <c r="AG75" i="12"/>
  <c r="AG77" i="12" s="1"/>
  <c r="AF75" i="12"/>
  <c r="AF77" i="12" s="1"/>
  <c r="AE75" i="12"/>
  <c r="AB75" i="12"/>
  <c r="AB77" i="12" s="1"/>
  <c r="Y75" i="12"/>
  <c r="Y77" i="12" s="1"/>
  <c r="X75" i="12"/>
  <c r="W75" i="12"/>
  <c r="W77" i="12" s="1"/>
  <c r="U75" i="12"/>
  <c r="U77" i="12" s="1"/>
  <c r="T75" i="12"/>
  <c r="T77" i="12" s="1"/>
  <c r="S75" i="12"/>
  <c r="S77" i="12" s="1"/>
  <c r="Q75" i="12"/>
  <c r="P75" i="12"/>
  <c r="O75" i="12"/>
  <c r="O77" i="12" s="1"/>
  <c r="M75" i="12"/>
  <c r="M77" i="12" s="1"/>
  <c r="L75" i="12"/>
  <c r="L77" i="12" s="1"/>
  <c r="K75" i="12"/>
  <c r="K77" i="12" s="1"/>
  <c r="I75" i="12"/>
  <c r="I77" i="12" s="1"/>
  <c r="H75" i="12"/>
  <c r="H77" i="12" s="1"/>
  <c r="G75" i="12"/>
  <c r="G77" i="12" s="1"/>
  <c r="E75" i="12"/>
  <c r="E77" i="12" s="1"/>
  <c r="D75" i="12"/>
  <c r="D77" i="12" s="1"/>
  <c r="AQ73" i="12"/>
  <c r="AO73" i="12"/>
  <c r="AN73" i="12"/>
  <c r="AM73" i="12"/>
  <c r="AK73" i="12"/>
  <c r="AJ73" i="12"/>
  <c r="AI73" i="12"/>
  <c r="AG73" i="12"/>
  <c r="AF73" i="12"/>
  <c r="AB73" i="12"/>
  <c r="Y73" i="12"/>
  <c r="X73" i="12"/>
  <c r="W73" i="12"/>
  <c r="U73" i="12"/>
  <c r="T73" i="12"/>
  <c r="S73" i="12"/>
  <c r="Q73" i="12"/>
  <c r="P73" i="12"/>
  <c r="O73" i="12"/>
  <c r="N73" i="12"/>
  <c r="M73" i="12"/>
  <c r="L73" i="12"/>
  <c r="K73" i="12"/>
  <c r="I73" i="12"/>
  <c r="H73" i="12"/>
  <c r="G73" i="12"/>
  <c r="F73" i="12"/>
  <c r="E73" i="12"/>
  <c r="D73" i="12"/>
  <c r="AL72" i="12"/>
  <c r="AH72" i="12"/>
  <c r="AE76" i="12"/>
  <c r="AC72" i="12"/>
  <c r="AC76" i="12" s="1"/>
  <c r="Z72" i="12"/>
  <c r="V72" i="12"/>
  <c r="R72" i="12"/>
  <c r="N72" i="12"/>
  <c r="J72" i="12"/>
  <c r="F72" i="12"/>
  <c r="AP73" i="12"/>
  <c r="AL71" i="12"/>
  <c r="AH71" i="12"/>
  <c r="AH73" i="12" s="1"/>
  <c r="AC71" i="12"/>
  <c r="AC75" i="12" s="1"/>
  <c r="AA73" i="12"/>
  <c r="Z71" i="12"/>
  <c r="Z75" i="12" s="1"/>
  <c r="V71" i="12"/>
  <c r="V73" i="12" s="1"/>
  <c r="R71" i="12"/>
  <c r="R73" i="12" s="1"/>
  <c r="N71" i="12"/>
  <c r="J71" i="12"/>
  <c r="J73" i="12" s="1"/>
  <c r="F71" i="12"/>
  <c r="AQ69" i="12"/>
  <c r="AO69" i="12"/>
  <c r="AN69" i="12"/>
  <c r="AM69" i="12"/>
  <c r="AK69" i="12"/>
  <c r="AJ69" i="12"/>
  <c r="AI69" i="12"/>
  <c r="AG69" i="12"/>
  <c r="AF69" i="12"/>
  <c r="AC69" i="12"/>
  <c r="AB69" i="12"/>
  <c r="AA69" i="12"/>
  <c r="Y69" i="12"/>
  <c r="X69" i="12"/>
  <c r="W69" i="12"/>
  <c r="U69" i="12"/>
  <c r="T69" i="12"/>
  <c r="S69" i="12"/>
  <c r="Q69" i="12"/>
  <c r="P69" i="12"/>
  <c r="O69" i="12"/>
  <c r="N69" i="12"/>
  <c r="M69" i="12"/>
  <c r="L69" i="12"/>
  <c r="K69" i="12"/>
  <c r="I69" i="12"/>
  <c r="H69" i="12"/>
  <c r="G69" i="12"/>
  <c r="E69" i="12"/>
  <c r="D69" i="12"/>
  <c r="AL68" i="12"/>
  <c r="AH68" i="12"/>
  <c r="AE68" i="12"/>
  <c r="AE69" i="12" s="1"/>
  <c r="AD68" i="12"/>
  <c r="Z68" i="12"/>
  <c r="V68" i="12"/>
  <c r="V69" i="12" s="1"/>
  <c r="R68" i="12"/>
  <c r="R69" i="12" s="1"/>
  <c r="N68" i="12"/>
  <c r="J68" i="12"/>
  <c r="F68" i="12"/>
  <c r="AP69" i="12"/>
  <c r="AL67" i="12"/>
  <c r="AL69" i="12" s="1"/>
  <c r="AH67" i="12"/>
  <c r="AH69" i="12" s="1"/>
  <c r="AD67" i="12"/>
  <c r="AD69" i="12" s="1"/>
  <c r="Z67" i="12"/>
  <c r="Z69" i="12" s="1"/>
  <c r="V67" i="12"/>
  <c r="R67" i="12"/>
  <c r="N67" i="12"/>
  <c r="J67" i="12"/>
  <c r="J69" i="12" s="1"/>
  <c r="F67" i="12"/>
  <c r="F69" i="12" s="1"/>
  <c r="AQ65" i="12"/>
  <c r="AO65" i="12"/>
  <c r="AN65" i="12"/>
  <c r="AM65" i="12"/>
  <c r="AL65" i="12"/>
  <c r="AK65" i="12"/>
  <c r="AJ65" i="12"/>
  <c r="AI65" i="12"/>
  <c r="AG65" i="12"/>
  <c r="AF65" i="12"/>
  <c r="AE65" i="12"/>
  <c r="AD65" i="12"/>
  <c r="AC65" i="12"/>
  <c r="AB65" i="12"/>
  <c r="AA65" i="12"/>
  <c r="Y65" i="12"/>
  <c r="X65" i="12"/>
  <c r="W65" i="12"/>
  <c r="V65" i="12"/>
  <c r="U65" i="12"/>
  <c r="T65" i="12"/>
  <c r="S65" i="12"/>
  <c r="Q65" i="12"/>
  <c r="P65" i="12"/>
  <c r="O65" i="12"/>
  <c r="N65" i="12"/>
  <c r="M65" i="12"/>
  <c r="L65" i="12"/>
  <c r="K65" i="12"/>
  <c r="I65" i="12"/>
  <c r="H65" i="12"/>
  <c r="E65" i="12"/>
  <c r="D65" i="12"/>
  <c r="AP76" i="12"/>
  <c r="AL64" i="12"/>
  <c r="AH64" i="12"/>
  <c r="AH76" i="12" s="1"/>
  <c r="AD64" i="12"/>
  <c r="Z64" i="12"/>
  <c r="Z76" i="12" s="1"/>
  <c r="V64" i="12"/>
  <c r="V76" i="12" s="1"/>
  <c r="R64" i="12"/>
  <c r="R76" i="12" s="1"/>
  <c r="N64" i="12"/>
  <c r="J64" i="12"/>
  <c r="J76" i="12" s="1"/>
  <c r="F64" i="12"/>
  <c r="AP75" i="12"/>
  <c r="AL63" i="12"/>
  <c r="AH63" i="12"/>
  <c r="AH75" i="12" s="1"/>
  <c r="AH77" i="12" s="1"/>
  <c r="AD63" i="12"/>
  <c r="Z63" i="12"/>
  <c r="V63" i="12"/>
  <c r="V75" i="12" s="1"/>
  <c r="V77" i="12" s="1"/>
  <c r="R63" i="12"/>
  <c r="R65" i="12" s="1"/>
  <c r="N63" i="12"/>
  <c r="N75" i="12" s="1"/>
  <c r="N77" i="12" s="1"/>
  <c r="J63" i="12"/>
  <c r="J75" i="12" s="1"/>
  <c r="F63" i="12"/>
  <c r="F75" i="12" s="1"/>
  <c r="F77" i="12" s="1"/>
  <c r="AN105" i="12" l="1"/>
  <c r="AN161" i="12"/>
  <c r="AQ133" i="12"/>
  <c r="AO161" i="12"/>
  <c r="AQ161" i="12"/>
  <c r="AO133" i="12"/>
  <c r="AN133" i="12"/>
  <c r="AP133" i="12"/>
  <c r="AO105" i="12"/>
  <c r="AN77" i="12"/>
  <c r="AO77" i="12"/>
  <c r="AQ77" i="12"/>
  <c r="AL101" i="12"/>
  <c r="AL104" i="12"/>
  <c r="AL103" i="12"/>
  <c r="Z125" i="12"/>
  <c r="AJ77" i="12"/>
  <c r="AL73" i="12"/>
  <c r="AL76" i="12"/>
  <c r="AK77" i="12"/>
  <c r="AL75" i="12"/>
  <c r="AL77" i="12" s="1"/>
  <c r="AL93" i="12"/>
  <c r="AJ105" i="12"/>
  <c r="AL149" i="12"/>
  <c r="AL157" i="12"/>
  <c r="AL160" i="12"/>
  <c r="AJ161" i="12"/>
  <c r="AL129" i="12"/>
  <c r="AK133" i="12"/>
  <c r="AL132" i="12"/>
  <c r="AL131" i="12"/>
  <c r="AL121" i="12"/>
  <c r="AJ133" i="12"/>
  <c r="AE77" i="12"/>
  <c r="AE133" i="12"/>
  <c r="AA97" i="12"/>
  <c r="AA105" i="12"/>
  <c r="Z161" i="12"/>
  <c r="W161" i="12"/>
  <c r="AH147" i="12"/>
  <c r="AC159" i="12"/>
  <c r="AG160" i="12"/>
  <c r="AE160" i="12"/>
  <c r="AE161" i="12" s="1"/>
  <c r="W153" i="12"/>
  <c r="F159" i="12"/>
  <c r="F161" i="12" s="1"/>
  <c r="N159" i="12"/>
  <c r="N161" i="12" s="1"/>
  <c r="V159" i="12"/>
  <c r="V161" i="12" s="1"/>
  <c r="AL159" i="12"/>
  <c r="R160" i="12"/>
  <c r="R161" i="12" s="1"/>
  <c r="AP160" i="12"/>
  <c r="AP161" i="12" s="1"/>
  <c r="AD149" i="12"/>
  <c r="AF159" i="12"/>
  <c r="AF161" i="12" s="1"/>
  <c r="AC157" i="12"/>
  <c r="AG159" i="12"/>
  <c r="AC160" i="12"/>
  <c r="AD131" i="12"/>
  <c r="AD133" i="12" s="1"/>
  <c r="AD121" i="12"/>
  <c r="AM133" i="12"/>
  <c r="AC131" i="12"/>
  <c r="AC133" i="12" s="1"/>
  <c r="AH125" i="12"/>
  <c r="AM129" i="12"/>
  <c r="AC121" i="12"/>
  <c r="V132" i="12"/>
  <c r="V133" i="12" s="1"/>
  <c r="AA132" i="12"/>
  <c r="AA133" i="12" s="1"/>
  <c r="AD103" i="12"/>
  <c r="AD105" i="12" s="1"/>
  <c r="AH105" i="12"/>
  <c r="F105" i="12"/>
  <c r="J105" i="12"/>
  <c r="AP105" i="12"/>
  <c r="AC105" i="12"/>
  <c r="N105" i="12"/>
  <c r="N93" i="12"/>
  <c r="AD92" i="12"/>
  <c r="AD104" i="12" s="1"/>
  <c r="R101" i="12"/>
  <c r="J93" i="12"/>
  <c r="Z93" i="12"/>
  <c r="AH93" i="12"/>
  <c r="AP93" i="12"/>
  <c r="W97" i="12"/>
  <c r="AC104" i="12"/>
  <c r="Z77" i="12"/>
  <c r="J77" i="12"/>
  <c r="AP77" i="12"/>
  <c r="AC77" i="12"/>
  <c r="AD72" i="12"/>
  <c r="AD76" i="12" s="1"/>
  <c r="AA75" i="12"/>
  <c r="AA77" i="12" s="1"/>
  <c r="J65" i="12"/>
  <c r="Z65" i="12"/>
  <c r="AH65" i="12"/>
  <c r="AP65" i="12"/>
  <c r="F65" i="12"/>
  <c r="R75" i="12"/>
  <c r="R77" i="12" s="1"/>
  <c r="AE73" i="12"/>
  <c r="AD71" i="12"/>
  <c r="Z73" i="12"/>
  <c r="AC73" i="12"/>
  <c r="AL105" i="12" l="1"/>
  <c r="AL161" i="12"/>
  <c r="AL133" i="12"/>
  <c r="AE153" i="12"/>
  <c r="AC161" i="12"/>
  <c r="AG161" i="12"/>
  <c r="AH159" i="12"/>
  <c r="AH161" i="12" s="1"/>
  <c r="AH149" i="12"/>
  <c r="AD93" i="12"/>
  <c r="AD73" i="12"/>
  <c r="AD75" i="12"/>
  <c r="AD77" i="12" s="1"/>
  <c r="AK213" i="12" l="1"/>
  <c r="AJ213" i="12"/>
  <c r="AK212" i="12"/>
  <c r="AJ212" i="12"/>
  <c r="AK209" i="12"/>
  <c r="AJ209" i="12"/>
  <c r="AK208" i="12"/>
  <c r="AJ208" i="12"/>
  <c r="AK205" i="12"/>
  <c r="AJ205" i="12"/>
  <c r="AK204" i="12"/>
  <c r="AJ204" i="12"/>
  <c r="AM204" i="12"/>
  <c r="BS26" i="14" l="1"/>
  <c r="BK116" i="14"/>
  <c r="BL116" i="14" s="1"/>
  <c r="BK115" i="14"/>
  <c r="BL115" i="14" s="1"/>
  <c r="BK114" i="14"/>
  <c r="BL114" i="14" s="1"/>
  <c r="BK113" i="14"/>
  <c r="BL113" i="14" s="1"/>
  <c r="BK112" i="14"/>
  <c r="BL112" i="14" s="1"/>
  <c r="BK99" i="14"/>
  <c r="BL99" i="14" s="1"/>
  <c r="BK98" i="14"/>
  <c r="BL98" i="14" s="1"/>
  <c r="BK97" i="14"/>
  <c r="BL97" i="14" s="1"/>
  <c r="BK96" i="14"/>
  <c r="BK85" i="14"/>
  <c r="BL85" i="14" s="1"/>
  <c r="BK84" i="14"/>
  <c r="BL84" i="14" s="1"/>
  <c r="BK83" i="14"/>
  <c r="BL83" i="14" s="1"/>
  <c r="BK82" i="14"/>
  <c r="BL82" i="14" s="1"/>
  <c r="BK81" i="14"/>
  <c r="BL81" i="14" s="1"/>
  <c r="BK80" i="14"/>
  <c r="BL80" i="14" s="1"/>
  <c r="BK65" i="14"/>
  <c r="BL65" i="14" s="1"/>
  <c r="BK64" i="14"/>
  <c r="BL64" i="14" s="1"/>
  <c r="BK63" i="14"/>
  <c r="BL63" i="14" s="1"/>
  <c r="BK62" i="14"/>
  <c r="BL62" i="14" s="1"/>
  <c r="BK61" i="14"/>
  <c r="BL61" i="14" s="1"/>
  <c r="BK60" i="14"/>
  <c r="BK59" i="14"/>
  <c r="BL59" i="14" s="1"/>
  <c r="BL58" i="14"/>
  <c r="BK58" i="14"/>
  <c r="BK48" i="14"/>
  <c r="BL48" i="14" s="1"/>
  <c r="BK47" i="14"/>
  <c r="BL47" i="14" s="1"/>
  <c r="BK46" i="14"/>
  <c r="BL46" i="14" s="1"/>
  <c r="BK45" i="14"/>
  <c r="BL45" i="14" s="1"/>
  <c r="BK44" i="14"/>
  <c r="BL44" i="14" s="1"/>
  <c r="BK43" i="14"/>
  <c r="BL43" i="14" s="1"/>
  <c r="BK42" i="14"/>
  <c r="BL42" i="14" s="1"/>
  <c r="BK41" i="14"/>
  <c r="BL41" i="14" s="1"/>
  <c r="BK40" i="14"/>
  <c r="BL40" i="14" s="1"/>
  <c r="BK39" i="14"/>
  <c r="BL39" i="14" s="1"/>
  <c r="BK38" i="14"/>
  <c r="BL38" i="14" s="1"/>
  <c r="BL26" i="14"/>
  <c r="BK25" i="14"/>
  <c r="BL25" i="14" s="1"/>
  <c r="BK24" i="14"/>
  <c r="BL24" i="14" s="1"/>
  <c r="BK23" i="14"/>
  <c r="BL23" i="14" s="1"/>
  <c r="BK22" i="14"/>
  <c r="BL22" i="14" s="1"/>
  <c r="BK21" i="14"/>
  <c r="BL21" i="14" s="1"/>
  <c r="BK20" i="14"/>
  <c r="BL20" i="14" s="1"/>
  <c r="BK19" i="14"/>
  <c r="BL19" i="14" s="1"/>
  <c r="BK18" i="14"/>
  <c r="BL18" i="14" s="1"/>
  <c r="BK17" i="14"/>
  <c r="BL17" i="14" s="1"/>
  <c r="BK16" i="14"/>
  <c r="BL16" i="14" s="1"/>
  <c r="BL15" i="14"/>
  <c r="BK15" i="14"/>
  <c r="BK14" i="14"/>
  <c r="BL14" i="14" s="1"/>
  <c r="BK13" i="14"/>
  <c r="BL13" i="14" s="1"/>
  <c r="BK12" i="14"/>
  <c r="BL12" i="14" s="1"/>
  <c r="BK11" i="14"/>
  <c r="BL11" i="14" s="1"/>
  <c r="BA116" i="14"/>
  <c r="BB116" i="14" s="1"/>
  <c r="BA115" i="14"/>
  <c r="BB115" i="14" s="1"/>
  <c r="BA114" i="14"/>
  <c r="BB114" i="14" s="1"/>
  <c r="BA113" i="14"/>
  <c r="BB113" i="14" s="1"/>
  <c r="BA112" i="14"/>
  <c r="BB112" i="14" s="1"/>
  <c r="BA104" i="14"/>
  <c r="BB104" i="14" s="1"/>
  <c r="BA103" i="14"/>
  <c r="BB103" i="14" s="1"/>
  <c r="BA102" i="14"/>
  <c r="BB102" i="14" s="1"/>
  <c r="BA101" i="14"/>
  <c r="BB101" i="14" s="1"/>
  <c r="BA100" i="14"/>
  <c r="BB100" i="14" s="1"/>
  <c r="BA99" i="14"/>
  <c r="BB99" i="14" s="1"/>
  <c r="BA98" i="14"/>
  <c r="BB98" i="14" s="1"/>
  <c r="BA97" i="14"/>
  <c r="BB97" i="14" s="1"/>
  <c r="BA96" i="14"/>
  <c r="BB96" i="14" s="1"/>
  <c r="BA85" i="14"/>
  <c r="BB85" i="14" s="1"/>
  <c r="BA84" i="14"/>
  <c r="BB84" i="14" s="1"/>
  <c r="BA83" i="14"/>
  <c r="BB83" i="14" s="1"/>
  <c r="BA82" i="14"/>
  <c r="BA81" i="14"/>
  <c r="BB81" i="14" s="1"/>
  <c r="BA80" i="14"/>
  <c r="BB80" i="14" s="1"/>
  <c r="BA65" i="14"/>
  <c r="BB65" i="14" s="1"/>
  <c r="BA64" i="14"/>
  <c r="BB64" i="14" s="1"/>
  <c r="BA63" i="14"/>
  <c r="BB63" i="14" s="1"/>
  <c r="BA62" i="14"/>
  <c r="BB62" i="14" s="1"/>
  <c r="BA61" i="14"/>
  <c r="BB61" i="14" s="1"/>
  <c r="BA60" i="14"/>
  <c r="BB60" i="14" s="1"/>
  <c r="BA59" i="14"/>
  <c r="BB59" i="14" s="1"/>
  <c r="BA58" i="14"/>
  <c r="BB58" i="14" s="1"/>
  <c r="BA49" i="14"/>
  <c r="BB49" i="14" s="1"/>
  <c r="BA48" i="14"/>
  <c r="BB48" i="14" s="1"/>
  <c r="BA47" i="14"/>
  <c r="BB47" i="14" s="1"/>
  <c r="BA46" i="14"/>
  <c r="BB46" i="14" s="1"/>
  <c r="BA45" i="14"/>
  <c r="BB45" i="14" s="1"/>
  <c r="BA44" i="14"/>
  <c r="BB44" i="14" s="1"/>
  <c r="BA43" i="14"/>
  <c r="BB43" i="14" s="1"/>
  <c r="BA42" i="14"/>
  <c r="BB42" i="14" s="1"/>
  <c r="BA41" i="14"/>
  <c r="BB41" i="14" s="1"/>
  <c r="BA40" i="14"/>
  <c r="BB40" i="14" s="1"/>
  <c r="BA39" i="14"/>
  <c r="BB39" i="14" s="1"/>
  <c r="BA38" i="14"/>
  <c r="BA26" i="14"/>
  <c r="BB26" i="14" s="1"/>
  <c r="BA25" i="14"/>
  <c r="BB25" i="14" s="1"/>
  <c r="BA24" i="14"/>
  <c r="BB24" i="14" s="1"/>
  <c r="BA23" i="14"/>
  <c r="BB23" i="14" s="1"/>
  <c r="BA22" i="14"/>
  <c r="BB22" i="14" s="1"/>
  <c r="BA21" i="14"/>
  <c r="BB21" i="14" s="1"/>
  <c r="BA20" i="14"/>
  <c r="BB20" i="14" s="1"/>
  <c r="BA19" i="14"/>
  <c r="BB19" i="14" s="1"/>
  <c r="BA18" i="14"/>
  <c r="BB18" i="14" s="1"/>
  <c r="BA17" i="14"/>
  <c r="BB17" i="14" s="1"/>
  <c r="BA16" i="14"/>
  <c r="BB16" i="14" s="1"/>
  <c r="BA15" i="14"/>
  <c r="BB15" i="14" s="1"/>
  <c r="BA14" i="14"/>
  <c r="BB14" i="14" s="1"/>
  <c r="BA13" i="14"/>
  <c r="BB13" i="14" s="1"/>
  <c r="BA12" i="14"/>
  <c r="BA11" i="14"/>
  <c r="BB11" i="14" s="1"/>
  <c r="AZ140" i="14"/>
  <c r="AZ134" i="14"/>
  <c r="AZ132" i="14"/>
  <c r="BS122" i="14"/>
  <c r="BI122" i="14"/>
  <c r="BA122" i="14"/>
  <c r="BB122" i="14" s="1"/>
  <c r="BS121" i="14"/>
  <c r="BI121" i="14"/>
  <c r="BA121" i="14"/>
  <c r="BB121" i="14" s="1"/>
  <c r="BS120" i="14"/>
  <c r="BI120" i="14"/>
  <c r="BA120" i="14"/>
  <c r="BB120" i="14" s="1"/>
  <c r="BS119" i="14"/>
  <c r="BI119" i="14"/>
  <c r="BA119" i="14"/>
  <c r="BB119" i="14" s="1"/>
  <c r="BS118" i="14"/>
  <c r="BI118" i="14"/>
  <c r="BA118" i="14"/>
  <c r="BB118" i="14" s="1"/>
  <c r="BS117" i="14"/>
  <c r="BI117" i="14"/>
  <c r="BA117" i="14"/>
  <c r="BB117" i="14" s="1"/>
  <c r="BI116" i="14"/>
  <c r="BS115" i="14"/>
  <c r="BI115" i="14"/>
  <c r="BS114" i="14"/>
  <c r="BI114" i="14"/>
  <c r="BS113" i="14"/>
  <c r="BI113" i="14"/>
  <c r="BS112" i="14"/>
  <c r="BI112" i="14"/>
  <c r="BR107" i="14"/>
  <c r="BQ107" i="14"/>
  <c r="BP107" i="14"/>
  <c r="BO107" i="14"/>
  <c r="BN107" i="14"/>
  <c r="BM107" i="14"/>
  <c r="BJ107" i="14"/>
  <c r="BH107" i="14"/>
  <c r="BG107" i="14"/>
  <c r="BF107" i="14"/>
  <c r="BE107" i="14"/>
  <c r="BD107" i="14"/>
  <c r="BC107" i="14"/>
  <c r="AZ107" i="14"/>
  <c r="BS105" i="14"/>
  <c r="BI105" i="14"/>
  <c r="BA105" i="14"/>
  <c r="BB105" i="14" s="1"/>
  <c r="BS104" i="14"/>
  <c r="BI104" i="14"/>
  <c r="BS103" i="14"/>
  <c r="BI103" i="14"/>
  <c r="BS102" i="14"/>
  <c r="BI102" i="14"/>
  <c r="BS101" i="14"/>
  <c r="BI101" i="14"/>
  <c r="BS100" i="14"/>
  <c r="BI100" i="14"/>
  <c r="BI99" i="14"/>
  <c r="BI98" i="14"/>
  <c r="BI97" i="14"/>
  <c r="BS96" i="14"/>
  <c r="BI96" i="14"/>
  <c r="BR93" i="14"/>
  <c r="BR109" i="14" s="1"/>
  <c r="BQ93" i="14"/>
  <c r="BP93" i="14"/>
  <c r="BP109" i="14" s="1"/>
  <c r="BO93" i="14"/>
  <c r="BN93" i="14"/>
  <c r="BM93" i="14"/>
  <c r="BM109" i="14" s="1"/>
  <c r="BJ93" i="14"/>
  <c r="BH93" i="14"/>
  <c r="BG93" i="14"/>
  <c r="BF93" i="14"/>
  <c r="BE93" i="14"/>
  <c r="BE109" i="14" s="1"/>
  <c r="BD93" i="14"/>
  <c r="BC93" i="14"/>
  <c r="AZ93" i="14"/>
  <c r="AZ109" i="14" s="1"/>
  <c r="BS91" i="14"/>
  <c r="BI91" i="14"/>
  <c r="BA91" i="14"/>
  <c r="BB91" i="14" s="1"/>
  <c r="BS90" i="14"/>
  <c r="BI90" i="14"/>
  <c r="BA90" i="14"/>
  <c r="BB90" i="14" s="1"/>
  <c r="BS89" i="14"/>
  <c r="BI89" i="14"/>
  <c r="BA89" i="14"/>
  <c r="BB89" i="14" s="1"/>
  <c r="BS88" i="14"/>
  <c r="BI88" i="14"/>
  <c r="BA88" i="14"/>
  <c r="BB88" i="14" s="1"/>
  <c r="BS87" i="14"/>
  <c r="BI87" i="14"/>
  <c r="BA87" i="14"/>
  <c r="BB87" i="14" s="1"/>
  <c r="BS86" i="14"/>
  <c r="BI86" i="14"/>
  <c r="BA86" i="14"/>
  <c r="BB86" i="14" s="1"/>
  <c r="BS85" i="14"/>
  <c r="BI85" i="14"/>
  <c r="BS84" i="14"/>
  <c r="BI84" i="14"/>
  <c r="BS83" i="14"/>
  <c r="BI83" i="14"/>
  <c r="BS82" i="14"/>
  <c r="BI82" i="14"/>
  <c r="BS81" i="14"/>
  <c r="BI81" i="14"/>
  <c r="BS80" i="14"/>
  <c r="BI80" i="14"/>
  <c r="BR73" i="14"/>
  <c r="BQ73" i="14"/>
  <c r="BP73" i="14"/>
  <c r="BO73" i="14"/>
  <c r="BN73" i="14"/>
  <c r="BM73" i="14"/>
  <c r="BJ73" i="14"/>
  <c r="BH73" i="14"/>
  <c r="BG73" i="14"/>
  <c r="BF73" i="14"/>
  <c r="BE73" i="14"/>
  <c r="BD73" i="14"/>
  <c r="BC73" i="14"/>
  <c r="AZ73" i="14"/>
  <c r="BS71" i="14"/>
  <c r="BI71" i="14"/>
  <c r="BA71" i="14"/>
  <c r="BB71" i="14" s="1"/>
  <c r="BS70" i="14"/>
  <c r="BI70" i="14"/>
  <c r="BA70" i="14"/>
  <c r="BB70" i="14" s="1"/>
  <c r="BS69" i="14"/>
  <c r="BI69" i="14"/>
  <c r="BA69" i="14"/>
  <c r="BB69" i="14" s="1"/>
  <c r="BS68" i="14"/>
  <c r="BI68" i="14"/>
  <c r="BA68" i="14"/>
  <c r="BB68" i="14" s="1"/>
  <c r="BS67" i="14"/>
  <c r="BI67" i="14"/>
  <c r="BA67" i="14"/>
  <c r="BB67" i="14" s="1"/>
  <c r="BS66" i="14"/>
  <c r="BI66" i="14"/>
  <c r="BB66" i="14"/>
  <c r="BI65" i="14"/>
  <c r="BI64" i="14"/>
  <c r="BI63" i="14"/>
  <c r="BS62" i="14"/>
  <c r="BI62" i="14"/>
  <c r="BS61" i="14"/>
  <c r="BI61" i="14"/>
  <c r="BS60" i="14"/>
  <c r="BI60" i="14"/>
  <c r="BI59" i="14"/>
  <c r="BS58" i="14"/>
  <c r="BI58" i="14"/>
  <c r="BR55" i="14"/>
  <c r="BQ55" i="14"/>
  <c r="BP55" i="14"/>
  <c r="BO55" i="14"/>
  <c r="BN55" i="14"/>
  <c r="BM55" i="14"/>
  <c r="BJ55" i="14"/>
  <c r="BH55" i="14"/>
  <c r="BG55" i="14"/>
  <c r="BF55" i="14"/>
  <c r="BE55" i="14"/>
  <c r="BD55" i="14"/>
  <c r="BC55" i="14"/>
  <c r="AZ55" i="14"/>
  <c r="BS53" i="14"/>
  <c r="BI53" i="14"/>
  <c r="BA53" i="14"/>
  <c r="BB53" i="14" s="1"/>
  <c r="BS52" i="14"/>
  <c r="BI52" i="14"/>
  <c r="BA52" i="14"/>
  <c r="BB52" i="14" s="1"/>
  <c r="BS51" i="14"/>
  <c r="BI51" i="14"/>
  <c r="BA51" i="14"/>
  <c r="BB51" i="14" s="1"/>
  <c r="BS50" i="14"/>
  <c r="BI50" i="14"/>
  <c r="BA50" i="14"/>
  <c r="BB50" i="14" s="1"/>
  <c r="BS49" i="14"/>
  <c r="BI49" i="14"/>
  <c r="BI48" i="14"/>
  <c r="BS47" i="14"/>
  <c r="BI47" i="14"/>
  <c r="BS46" i="14"/>
  <c r="BI46" i="14"/>
  <c r="BI45" i="14"/>
  <c r="BS44" i="14"/>
  <c r="BI44" i="14"/>
  <c r="BI43" i="14"/>
  <c r="BS42" i="14"/>
  <c r="BI42" i="14"/>
  <c r="BS41" i="14"/>
  <c r="BI41" i="14"/>
  <c r="BI40" i="14"/>
  <c r="BS39" i="14"/>
  <c r="BI39" i="14"/>
  <c r="BS38" i="14"/>
  <c r="BI38" i="14"/>
  <c r="BQ35" i="14"/>
  <c r="BP35" i="14"/>
  <c r="BO35" i="14"/>
  <c r="BN35" i="14"/>
  <c r="BM35" i="14"/>
  <c r="BM75" i="14" s="1"/>
  <c r="BJ35" i="14"/>
  <c r="BH35" i="14"/>
  <c r="BG35" i="14"/>
  <c r="BF35" i="14"/>
  <c r="BE35" i="14"/>
  <c r="BD35" i="14"/>
  <c r="BC35" i="14"/>
  <c r="AZ35" i="14"/>
  <c r="BS33" i="14"/>
  <c r="BI33" i="14"/>
  <c r="BA33" i="14"/>
  <c r="BB33" i="14" s="1"/>
  <c r="BS32" i="14"/>
  <c r="BI32" i="14"/>
  <c r="BA32" i="14"/>
  <c r="BB32" i="14" s="1"/>
  <c r="BS31" i="14"/>
  <c r="BI31" i="14"/>
  <c r="BA31" i="14"/>
  <c r="BB31" i="14" s="1"/>
  <c r="BS30" i="14"/>
  <c r="BI30" i="14"/>
  <c r="BA30" i="14"/>
  <c r="BB30" i="14" s="1"/>
  <c r="BS27" i="14"/>
  <c r="BI27" i="14"/>
  <c r="BA27" i="14"/>
  <c r="BB27" i="14" s="1"/>
  <c r="BI26" i="14"/>
  <c r="BS25" i="14"/>
  <c r="BI25" i="14"/>
  <c r="BS24" i="14"/>
  <c r="BI24" i="14"/>
  <c r="BS23" i="14"/>
  <c r="BI23" i="14"/>
  <c r="BS22" i="14"/>
  <c r="BI22" i="14"/>
  <c r="BI21" i="14"/>
  <c r="BS20" i="14"/>
  <c r="BI20" i="14"/>
  <c r="BS19" i="14"/>
  <c r="BI19" i="14"/>
  <c r="BS18" i="14"/>
  <c r="BI18" i="14"/>
  <c r="BS17" i="14"/>
  <c r="BI17" i="14"/>
  <c r="BS16" i="14"/>
  <c r="BI16" i="14"/>
  <c r="BS15" i="14"/>
  <c r="BI15" i="14"/>
  <c r="BS14" i="14"/>
  <c r="BI14" i="14"/>
  <c r="BS13" i="14"/>
  <c r="BI13" i="14"/>
  <c r="BS12" i="14"/>
  <c r="BI12" i="14"/>
  <c r="BS11" i="14"/>
  <c r="BI11" i="14"/>
  <c r="BE75" i="14" l="1"/>
  <c r="BP75" i="14"/>
  <c r="BJ75" i="14"/>
  <c r="BJ109" i="14"/>
  <c r="BN109" i="14"/>
  <c r="BK107" i="14"/>
  <c r="BS93" i="14"/>
  <c r="BN75" i="14"/>
  <c r="AZ75" i="14"/>
  <c r="BA107" i="14"/>
  <c r="BB107" i="14" s="1"/>
  <c r="BO75" i="14"/>
  <c r="BD109" i="14"/>
  <c r="BO109" i="14"/>
  <c r="BS55" i="14"/>
  <c r="BI73" i="14"/>
  <c r="BD75" i="14"/>
  <c r="BF75" i="14"/>
  <c r="BS73" i="14"/>
  <c r="BQ109" i="14"/>
  <c r="BQ75" i="14"/>
  <c r="BK73" i="14"/>
  <c r="BL73" i="14" s="1"/>
  <c r="BH75" i="14"/>
  <c r="BS107" i="14"/>
  <c r="BS109" i="14" s="1"/>
  <c r="BR75" i="14"/>
  <c r="BG75" i="14"/>
  <c r="BI93" i="14"/>
  <c r="BC109" i="14"/>
  <c r="BI55" i="14"/>
  <c r="BA93" i="14"/>
  <c r="BB93" i="14" s="1"/>
  <c r="BB82" i="14"/>
  <c r="BF109" i="14"/>
  <c r="BC75" i="14"/>
  <c r="BH109" i="14"/>
  <c r="BI107" i="14"/>
  <c r="BI109" i="14" s="1"/>
  <c r="BG109" i="14"/>
  <c r="BI35" i="14"/>
  <c r="BA35" i="14"/>
  <c r="BB35" i="14" s="1"/>
  <c r="BA55" i="14"/>
  <c r="BB55" i="14" s="1"/>
  <c r="BS35" i="14"/>
  <c r="BL96" i="14"/>
  <c r="BL107" i="14"/>
  <c r="BK93" i="14"/>
  <c r="BL93" i="14" s="1"/>
  <c r="BL60" i="14"/>
  <c r="BA73" i="14"/>
  <c r="BB73" i="14" s="1"/>
  <c r="BB38" i="14"/>
  <c r="BB12" i="14"/>
  <c r="BK55" i="14"/>
  <c r="BL55" i="14" s="1"/>
  <c r="BK35" i="14"/>
  <c r="BI75" i="14" l="1"/>
  <c r="BS75" i="14"/>
  <c r="BA109" i="14"/>
  <c r="BB109" i="14" s="1"/>
  <c r="BK109" i="14"/>
  <c r="BL109" i="14" s="1"/>
  <c r="BA75" i="14"/>
  <c r="BB75" i="14" s="1"/>
  <c r="BL35" i="14"/>
  <c r="BK75" i="14"/>
  <c r="BL75" i="14" s="1"/>
  <c r="AY26" i="14" l="1"/>
  <c r="AQ26" i="14"/>
  <c r="AR26" i="14" s="1"/>
  <c r="AO26" i="14"/>
  <c r="AG26" i="14"/>
  <c r="AH26" i="14" s="1"/>
  <c r="AE26" i="14"/>
  <c r="W26" i="14"/>
  <c r="X26" i="14" s="1"/>
  <c r="U26" i="14"/>
  <c r="M26" i="14"/>
  <c r="N26" i="14" s="1"/>
  <c r="K26" i="14"/>
  <c r="C26" i="14"/>
  <c r="D26" i="14" s="1"/>
  <c r="AY51" i="14"/>
  <c r="AQ51" i="14"/>
  <c r="AR51" i="14" s="1"/>
  <c r="AO51" i="14"/>
  <c r="AG51" i="14"/>
  <c r="AH51" i="14" s="1"/>
  <c r="AE51" i="14"/>
  <c r="W51" i="14"/>
  <c r="X51" i="14" s="1"/>
  <c r="U51" i="14"/>
  <c r="M51" i="14"/>
  <c r="N51" i="14" s="1"/>
  <c r="K51" i="14"/>
  <c r="C51" i="14"/>
  <c r="D51" i="14" s="1"/>
  <c r="AY30" i="14"/>
  <c r="AQ30" i="14"/>
  <c r="AR30" i="14" s="1"/>
  <c r="AO30" i="14"/>
  <c r="AG30" i="14"/>
  <c r="AH30" i="14" s="1"/>
  <c r="AE30" i="14"/>
  <c r="W30" i="14"/>
  <c r="X30" i="14" s="1"/>
  <c r="U30" i="14"/>
  <c r="M30" i="14"/>
  <c r="N30" i="14" s="1"/>
  <c r="K30" i="14"/>
  <c r="C30" i="14"/>
  <c r="D30" i="14" s="1"/>
  <c r="AY27" i="14"/>
  <c r="AQ27" i="14"/>
  <c r="AR27" i="14" s="1"/>
  <c r="AO27" i="14"/>
  <c r="AG27" i="14"/>
  <c r="AH27" i="14" s="1"/>
  <c r="AE27" i="14"/>
  <c r="W27" i="14"/>
  <c r="X27" i="14" s="1"/>
  <c r="U27" i="14"/>
  <c r="M27" i="14"/>
  <c r="N27" i="14" s="1"/>
  <c r="K27" i="14"/>
  <c r="C27" i="14"/>
  <c r="D27" i="14" s="1"/>
  <c r="C31" i="14"/>
  <c r="D31" i="14" s="1"/>
  <c r="K31" i="14"/>
  <c r="M31" i="14"/>
  <c r="N31" i="14" s="1"/>
  <c r="U31" i="14"/>
  <c r="W31" i="14"/>
  <c r="X31" i="14" s="1"/>
  <c r="AE31" i="14"/>
  <c r="AG31" i="14"/>
  <c r="AH31" i="14" s="1"/>
  <c r="AO31" i="14"/>
  <c r="AQ31" i="14"/>
  <c r="AR31" i="14" s="1"/>
  <c r="AY31" i="14"/>
  <c r="C32" i="14"/>
  <c r="D32" i="14" s="1"/>
  <c r="K32" i="14"/>
  <c r="M32" i="14"/>
  <c r="N32" i="14" s="1"/>
  <c r="U32" i="14"/>
  <c r="W32" i="14"/>
  <c r="X32" i="14" s="1"/>
  <c r="AE32" i="14"/>
  <c r="AG32" i="14"/>
  <c r="AH32" i="14" s="1"/>
  <c r="AO32" i="14"/>
  <c r="AQ32" i="14"/>
  <c r="AR32" i="14" s="1"/>
  <c r="AY32" i="14"/>
  <c r="C33" i="14"/>
  <c r="D33" i="14" s="1"/>
  <c r="K33" i="14"/>
  <c r="M33" i="14"/>
  <c r="N33" i="14" s="1"/>
  <c r="U33" i="14"/>
  <c r="W33" i="14"/>
  <c r="X33" i="14" s="1"/>
  <c r="AE33" i="14"/>
  <c r="AG33" i="14"/>
  <c r="AH33" i="14" s="1"/>
  <c r="AO33" i="14"/>
  <c r="AQ33" i="14"/>
  <c r="AR33" i="14" s="1"/>
  <c r="AY33" i="14"/>
  <c r="AY50" i="14"/>
  <c r="AQ50" i="14"/>
  <c r="AR50" i="14" s="1"/>
  <c r="AO50" i="14"/>
  <c r="AG50" i="14"/>
  <c r="AH50" i="14" s="1"/>
  <c r="AE50" i="14"/>
  <c r="W50" i="14"/>
  <c r="X50" i="14" s="1"/>
  <c r="U50" i="14"/>
  <c r="M50" i="14"/>
  <c r="N50" i="14" s="1"/>
  <c r="K50" i="14"/>
  <c r="C50" i="14"/>
  <c r="D50" i="14" s="1"/>
  <c r="AY49" i="14"/>
  <c r="AQ49" i="14"/>
  <c r="AR49" i="14" s="1"/>
  <c r="AO49" i="14"/>
  <c r="AG49" i="14"/>
  <c r="AH49" i="14" s="1"/>
  <c r="AE49" i="14"/>
  <c r="W49" i="14"/>
  <c r="X49" i="14" s="1"/>
  <c r="U49" i="14"/>
  <c r="M49" i="14"/>
  <c r="N49" i="14" s="1"/>
  <c r="K49" i="14"/>
  <c r="C49" i="14"/>
  <c r="D49" i="14" s="1"/>
  <c r="AY68" i="14"/>
  <c r="AQ68" i="14"/>
  <c r="AR68" i="14" s="1"/>
  <c r="AO68" i="14"/>
  <c r="AG68" i="14"/>
  <c r="AH68" i="14" s="1"/>
  <c r="AE68" i="14"/>
  <c r="W68" i="14"/>
  <c r="X68" i="14" s="1"/>
  <c r="U68" i="14"/>
  <c r="M68" i="14"/>
  <c r="N68" i="14" s="1"/>
  <c r="K68" i="14"/>
  <c r="C68" i="14"/>
  <c r="D68" i="14" s="1"/>
  <c r="AY67" i="14"/>
  <c r="AQ67" i="14"/>
  <c r="AR67" i="14" s="1"/>
  <c r="AO67" i="14"/>
  <c r="AG67" i="14"/>
  <c r="AH67" i="14" s="1"/>
  <c r="AE67" i="14"/>
  <c r="W67" i="14"/>
  <c r="X67" i="14" s="1"/>
  <c r="U67" i="14"/>
  <c r="M67" i="14"/>
  <c r="N67" i="14" s="1"/>
  <c r="K67" i="14"/>
  <c r="C67" i="14"/>
  <c r="D67" i="14" s="1"/>
  <c r="AY66" i="14"/>
  <c r="AQ66" i="14"/>
  <c r="AR66" i="14" s="1"/>
  <c r="AO66" i="14"/>
  <c r="AG66" i="14"/>
  <c r="AH66" i="14" s="1"/>
  <c r="AE66" i="14"/>
  <c r="W66" i="14"/>
  <c r="X66" i="14" s="1"/>
  <c r="U66" i="14"/>
  <c r="M66" i="14"/>
  <c r="N66" i="14" s="1"/>
  <c r="K66" i="14"/>
  <c r="C66" i="14"/>
  <c r="D66" i="14" s="1"/>
  <c r="AY88" i="14"/>
  <c r="AQ88" i="14"/>
  <c r="AR88" i="14" s="1"/>
  <c r="AO88" i="14"/>
  <c r="AG88" i="14"/>
  <c r="AH88" i="14" s="1"/>
  <c r="AE88" i="14"/>
  <c r="W88" i="14"/>
  <c r="X88" i="14" s="1"/>
  <c r="U88" i="14"/>
  <c r="M88" i="14"/>
  <c r="N88" i="14" s="1"/>
  <c r="K88" i="14"/>
  <c r="C88" i="14"/>
  <c r="D88" i="14" s="1"/>
  <c r="AY87" i="14"/>
  <c r="AQ87" i="14"/>
  <c r="AR87" i="14" s="1"/>
  <c r="AO87" i="14"/>
  <c r="AG87" i="14"/>
  <c r="AH87" i="14" s="1"/>
  <c r="AE87" i="14"/>
  <c r="W87" i="14"/>
  <c r="X87" i="14" s="1"/>
  <c r="U87" i="14"/>
  <c r="M87" i="14"/>
  <c r="N87" i="14" s="1"/>
  <c r="K87" i="14"/>
  <c r="C87" i="14"/>
  <c r="D87" i="14" s="1"/>
  <c r="AY86" i="14"/>
  <c r="AQ86" i="14"/>
  <c r="AR86" i="14" s="1"/>
  <c r="AO86" i="14"/>
  <c r="AG86" i="14"/>
  <c r="AH86" i="14" s="1"/>
  <c r="AE86" i="14"/>
  <c r="W86" i="14"/>
  <c r="X86" i="14" s="1"/>
  <c r="U86" i="14"/>
  <c r="M86" i="14"/>
  <c r="N86" i="14" s="1"/>
  <c r="K86" i="14"/>
  <c r="C86" i="14"/>
  <c r="D86" i="14" s="1"/>
  <c r="AY103" i="14"/>
  <c r="AQ103" i="14"/>
  <c r="AR103" i="14" s="1"/>
  <c r="AO103" i="14"/>
  <c r="AG103" i="14"/>
  <c r="AH103" i="14" s="1"/>
  <c r="AE103" i="14"/>
  <c r="W103" i="14"/>
  <c r="X103" i="14" s="1"/>
  <c r="U103" i="14"/>
  <c r="M103" i="14"/>
  <c r="N103" i="14" s="1"/>
  <c r="K103" i="14"/>
  <c r="C103" i="14"/>
  <c r="D103" i="14" s="1"/>
  <c r="AY102" i="14"/>
  <c r="AQ102" i="14"/>
  <c r="AR102" i="14" s="1"/>
  <c r="AO102" i="14"/>
  <c r="AG102" i="14"/>
  <c r="AH102" i="14" s="1"/>
  <c r="AE102" i="14"/>
  <c r="W102" i="14"/>
  <c r="X102" i="14" s="1"/>
  <c r="U102" i="14"/>
  <c r="M102" i="14"/>
  <c r="N102" i="14" s="1"/>
  <c r="K102" i="14"/>
  <c r="C102" i="14"/>
  <c r="D102" i="14" s="1"/>
  <c r="AY101" i="14"/>
  <c r="AQ101" i="14"/>
  <c r="AR101" i="14" s="1"/>
  <c r="AO101" i="14"/>
  <c r="AG101" i="14"/>
  <c r="AH101" i="14" s="1"/>
  <c r="AE101" i="14"/>
  <c r="W101" i="14"/>
  <c r="X101" i="14" s="1"/>
  <c r="U101" i="14"/>
  <c r="M101" i="14"/>
  <c r="N101" i="14" s="1"/>
  <c r="K101" i="14"/>
  <c r="C101" i="14"/>
  <c r="D101" i="14" s="1"/>
  <c r="AY100" i="14"/>
  <c r="AQ100" i="14"/>
  <c r="AR100" i="14" s="1"/>
  <c r="AO100" i="14"/>
  <c r="AG100" i="14"/>
  <c r="AH100" i="14" s="1"/>
  <c r="AE100" i="14"/>
  <c r="W100" i="14"/>
  <c r="X100" i="14" s="1"/>
  <c r="U100" i="14"/>
  <c r="M100" i="14"/>
  <c r="N100" i="14" s="1"/>
  <c r="K100" i="14"/>
  <c r="C100" i="14"/>
  <c r="D100" i="14" s="1"/>
  <c r="AY119" i="14"/>
  <c r="AQ119" i="14"/>
  <c r="AR119" i="14" s="1"/>
  <c r="AO119" i="14"/>
  <c r="AG119" i="14"/>
  <c r="AH119" i="14" s="1"/>
  <c r="AE119" i="14"/>
  <c r="W119" i="14"/>
  <c r="X119" i="14" s="1"/>
  <c r="U119" i="14"/>
  <c r="M119" i="14"/>
  <c r="N119" i="14" s="1"/>
  <c r="K119" i="14"/>
  <c r="C119" i="14"/>
  <c r="D119" i="14" s="1"/>
  <c r="AY118" i="14"/>
  <c r="AQ118" i="14"/>
  <c r="AR118" i="14" s="1"/>
  <c r="AO118" i="14"/>
  <c r="AG118" i="14"/>
  <c r="AH118" i="14" s="1"/>
  <c r="AE118" i="14"/>
  <c r="W118" i="14"/>
  <c r="X118" i="14" s="1"/>
  <c r="U118" i="14"/>
  <c r="M118" i="14"/>
  <c r="N118" i="14" s="1"/>
  <c r="K118" i="14"/>
  <c r="C118" i="14"/>
  <c r="D118" i="14" s="1"/>
  <c r="AY117" i="14"/>
  <c r="AQ117" i="14"/>
  <c r="AR117" i="14" s="1"/>
  <c r="AO117" i="14"/>
  <c r="AG117" i="14"/>
  <c r="AH117" i="14" s="1"/>
  <c r="AE117" i="14"/>
  <c r="W117" i="14"/>
  <c r="X117" i="14" s="1"/>
  <c r="U117" i="14"/>
  <c r="M117" i="14"/>
  <c r="N117" i="14" s="1"/>
  <c r="K117" i="14"/>
  <c r="C117" i="14"/>
  <c r="D117" i="14" s="1"/>
  <c r="AF140" i="14" l="1"/>
  <c r="BJ134" i="14" l="1"/>
  <c r="BJ132" i="14"/>
  <c r="BJ128" i="14"/>
  <c r="BK128" i="14" s="1"/>
  <c r="BR124" i="14"/>
  <c r="BQ124" i="14"/>
  <c r="BP124" i="14"/>
  <c r="BO124" i="14"/>
  <c r="BN124" i="14"/>
  <c r="BM124" i="14"/>
  <c r="BJ124" i="14"/>
  <c r="AY122" i="14"/>
  <c r="AY121" i="14"/>
  <c r="AY120" i="14"/>
  <c r="AY116" i="14"/>
  <c r="AY115" i="14"/>
  <c r="AY114" i="14"/>
  <c r="AY113" i="14"/>
  <c r="AY112" i="14"/>
  <c r="AY105" i="14"/>
  <c r="AY104" i="14"/>
  <c r="AY99" i="14"/>
  <c r="AY98" i="14"/>
  <c r="AY97" i="14"/>
  <c r="AY96" i="14"/>
  <c r="AY91" i="14"/>
  <c r="AY90" i="14"/>
  <c r="AY89" i="14"/>
  <c r="AY85" i="14"/>
  <c r="AY84" i="14"/>
  <c r="AY83" i="14"/>
  <c r="AY82" i="14"/>
  <c r="AY81" i="14"/>
  <c r="AY80" i="14"/>
  <c r="AY71" i="14"/>
  <c r="AY70" i="14"/>
  <c r="AY69" i="14"/>
  <c r="AY65" i="14"/>
  <c r="AY64" i="14"/>
  <c r="AY63" i="14"/>
  <c r="AY62" i="14"/>
  <c r="AY61" i="14"/>
  <c r="AY60" i="14"/>
  <c r="AY59" i="14"/>
  <c r="AY58" i="14"/>
  <c r="AY53" i="14"/>
  <c r="AY52" i="14"/>
  <c r="AY48" i="14"/>
  <c r="AY47" i="14"/>
  <c r="AY46" i="14"/>
  <c r="AY45" i="14"/>
  <c r="AY44" i="14"/>
  <c r="AY43" i="14"/>
  <c r="AY42" i="14"/>
  <c r="AY41" i="14"/>
  <c r="AY40" i="14"/>
  <c r="AY39" i="14"/>
  <c r="AY38" i="14"/>
  <c r="AY25" i="14"/>
  <c r="AY24" i="14"/>
  <c r="AY23" i="14"/>
  <c r="AY22" i="14"/>
  <c r="AY21" i="14"/>
  <c r="AY20" i="14"/>
  <c r="AY19" i="14"/>
  <c r="AY18" i="14"/>
  <c r="AY17" i="14"/>
  <c r="AY16" i="14"/>
  <c r="AY15" i="14"/>
  <c r="AY14" i="14"/>
  <c r="AY13" i="14"/>
  <c r="AY12" i="14"/>
  <c r="AY11" i="14"/>
  <c r="AO122" i="14"/>
  <c r="AO121" i="14"/>
  <c r="AO120" i="14"/>
  <c r="AO116" i="14"/>
  <c r="AO115" i="14"/>
  <c r="AO114" i="14"/>
  <c r="AO113" i="14"/>
  <c r="AO112" i="14"/>
  <c r="AO105" i="14"/>
  <c r="AO104" i="14"/>
  <c r="AO99" i="14"/>
  <c r="AO98" i="14"/>
  <c r="AO97" i="14"/>
  <c r="AO96" i="14"/>
  <c r="AO91" i="14"/>
  <c r="AO90" i="14"/>
  <c r="AO89" i="14"/>
  <c r="AO85" i="14"/>
  <c r="AO84" i="14"/>
  <c r="AO83" i="14"/>
  <c r="AO82" i="14"/>
  <c r="AO81" i="14"/>
  <c r="AO80" i="14"/>
  <c r="AO71" i="14"/>
  <c r="AO70" i="14"/>
  <c r="AO69" i="14"/>
  <c r="AO65" i="14"/>
  <c r="AO64" i="14"/>
  <c r="AO63" i="14"/>
  <c r="AO62" i="14"/>
  <c r="AO61" i="14"/>
  <c r="AO60" i="14"/>
  <c r="AO59" i="14"/>
  <c r="AO58" i="14"/>
  <c r="AO53" i="14"/>
  <c r="AO52" i="14"/>
  <c r="AO48" i="14"/>
  <c r="AO47" i="14"/>
  <c r="AO46" i="14"/>
  <c r="AO45" i="14"/>
  <c r="AO44" i="14"/>
  <c r="AO43" i="14"/>
  <c r="AO42" i="14"/>
  <c r="AO41" i="14"/>
  <c r="AO40" i="14"/>
  <c r="AO39" i="14"/>
  <c r="AO38" i="14"/>
  <c r="AO25" i="14"/>
  <c r="AO24" i="14"/>
  <c r="AO23" i="14"/>
  <c r="AO22" i="14"/>
  <c r="AO21" i="14"/>
  <c r="AO20" i="14"/>
  <c r="AO19" i="14"/>
  <c r="AO18" i="14"/>
  <c r="AO17" i="14"/>
  <c r="AO16" i="14"/>
  <c r="AO15" i="14"/>
  <c r="AO14" i="14"/>
  <c r="AO13" i="14"/>
  <c r="AO12" i="14"/>
  <c r="AO11" i="14"/>
  <c r="AE122" i="14"/>
  <c r="AE121" i="14"/>
  <c r="AE120" i="14"/>
  <c r="AE116" i="14"/>
  <c r="AE115" i="14"/>
  <c r="AE114" i="14"/>
  <c r="AE113" i="14"/>
  <c r="AE112" i="14"/>
  <c r="AE105" i="14"/>
  <c r="AE104" i="14"/>
  <c r="AE99" i="14"/>
  <c r="AE98" i="14"/>
  <c r="AE97" i="14"/>
  <c r="AE96" i="14"/>
  <c r="AE91" i="14"/>
  <c r="AE90" i="14"/>
  <c r="AE89" i="14"/>
  <c r="AE85" i="14"/>
  <c r="AE84" i="14"/>
  <c r="AE83" i="14"/>
  <c r="AE82" i="14"/>
  <c r="AE81" i="14"/>
  <c r="AE80" i="14"/>
  <c r="AE71" i="14"/>
  <c r="AE70" i="14"/>
  <c r="AE69" i="14"/>
  <c r="AE65" i="14"/>
  <c r="AE64" i="14"/>
  <c r="AE63" i="14"/>
  <c r="AE62" i="14"/>
  <c r="AE61" i="14"/>
  <c r="AE60" i="14"/>
  <c r="AE59" i="14"/>
  <c r="AE58" i="14"/>
  <c r="AE53" i="14"/>
  <c r="AE52" i="14"/>
  <c r="AE48" i="14"/>
  <c r="AE47" i="14"/>
  <c r="AE46" i="14"/>
  <c r="AE45" i="14"/>
  <c r="AE44" i="14"/>
  <c r="AE43" i="14"/>
  <c r="AE42" i="14"/>
  <c r="AE41" i="14"/>
  <c r="AE40" i="14"/>
  <c r="AE39" i="14"/>
  <c r="AE38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D35" i="14"/>
  <c r="AD55" i="14"/>
  <c r="AD73" i="14"/>
  <c r="AD93" i="14"/>
  <c r="AD107" i="14"/>
  <c r="AD124" i="14"/>
  <c r="U122" i="14"/>
  <c r="U121" i="14"/>
  <c r="U120" i="14"/>
  <c r="U116" i="14"/>
  <c r="U115" i="14"/>
  <c r="U114" i="14"/>
  <c r="U113" i="14"/>
  <c r="U112" i="14"/>
  <c r="U105" i="14"/>
  <c r="U104" i="14"/>
  <c r="U99" i="14"/>
  <c r="U98" i="14"/>
  <c r="U97" i="14"/>
  <c r="U96" i="14"/>
  <c r="U91" i="14"/>
  <c r="U90" i="14"/>
  <c r="U89" i="14"/>
  <c r="U85" i="14"/>
  <c r="U84" i="14"/>
  <c r="U83" i="14"/>
  <c r="U82" i="14"/>
  <c r="U81" i="14"/>
  <c r="U80" i="14"/>
  <c r="U71" i="14"/>
  <c r="U70" i="14"/>
  <c r="U69" i="14"/>
  <c r="U65" i="14"/>
  <c r="U64" i="14"/>
  <c r="U63" i="14"/>
  <c r="U62" i="14"/>
  <c r="U61" i="14"/>
  <c r="U60" i="14"/>
  <c r="U59" i="14"/>
  <c r="U58" i="14"/>
  <c r="U53" i="14"/>
  <c r="U52" i="14"/>
  <c r="U48" i="14"/>
  <c r="U47" i="14"/>
  <c r="U46" i="14"/>
  <c r="U45" i="14"/>
  <c r="U44" i="14"/>
  <c r="U43" i="14"/>
  <c r="U42" i="14"/>
  <c r="U41" i="14"/>
  <c r="U40" i="14"/>
  <c r="U39" i="14"/>
  <c r="U38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K122" i="14"/>
  <c r="K121" i="14"/>
  <c r="K120" i="14"/>
  <c r="K116" i="14"/>
  <c r="K115" i="14"/>
  <c r="K114" i="14"/>
  <c r="K113" i="14"/>
  <c r="K112" i="14"/>
  <c r="K105" i="14"/>
  <c r="K104" i="14"/>
  <c r="K99" i="14"/>
  <c r="K98" i="14"/>
  <c r="K97" i="14"/>
  <c r="K96" i="14"/>
  <c r="K91" i="14"/>
  <c r="K90" i="14"/>
  <c r="K89" i="14"/>
  <c r="K85" i="14"/>
  <c r="K84" i="14"/>
  <c r="K83" i="14"/>
  <c r="K82" i="14"/>
  <c r="K81" i="14"/>
  <c r="K80" i="14"/>
  <c r="K71" i="14"/>
  <c r="K70" i="14"/>
  <c r="K69" i="14"/>
  <c r="K65" i="14"/>
  <c r="K64" i="14"/>
  <c r="K63" i="14"/>
  <c r="K62" i="14"/>
  <c r="K61" i="14"/>
  <c r="K60" i="14"/>
  <c r="K59" i="14"/>
  <c r="K58" i="14"/>
  <c r="K53" i="14"/>
  <c r="K52" i="14"/>
  <c r="K48" i="14"/>
  <c r="K47" i="14"/>
  <c r="K46" i="14"/>
  <c r="K45" i="14"/>
  <c r="K44" i="14"/>
  <c r="K43" i="14"/>
  <c r="K42" i="14"/>
  <c r="K41" i="14"/>
  <c r="K40" i="14"/>
  <c r="K39" i="14"/>
  <c r="K38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11" i="14"/>
  <c r="K124" i="14" l="1"/>
  <c r="K107" i="14"/>
  <c r="AD109" i="14"/>
  <c r="AD75" i="14"/>
  <c r="K93" i="14"/>
  <c r="K109" i="14" s="1"/>
  <c r="K35" i="14"/>
  <c r="AY55" i="14"/>
  <c r="K73" i="14"/>
  <c r="K55" i="14"/>
  <c r="U73" i="14"/>
  <c r="AO55" i="14"/>
  <c r="AO73" i="14"/>
  <c r="AE73" i="14"/>
  <c r="U124" i="14"/>
  <c r="AE124" i="14"/>
  <c r="AO35" i="14"/>
  <c r="AY73" i="14"/>
  <c r="U35" i="14"/>
  <c r="U55" i="14"/>
  <c r="AE35" i="14"/>
  <c r="AE55" i="14"/>
  <c r="AO124" i="14"/>
  <c r="AY35" i="14"/>
  <c r="U93" i="14"/>
  <c r="U107" i="14"/>
  <c r="AE93" i="14"/>
  <c r="AE107" i="14"/>
  <c r="AO93" i="14"/>
  <c r="AY124" i="14"/>
  <c r="AO107" i="14"/>
  <c r="BI124" i="14"/>
  <c r="BS124" i="14"/>
  <c r="AY93" i="14"/>
  <c r="AY107" i="14"/>
  <c r="BK124" i="14"/>
  <c r="BL124" i="14" s="1"/>
  <c r="BN127" i="14"/>
  <c r="AD127" i="14" l="1"/>
  <c r="BQ127" i="14"/>
  <c r="BJ127" i="14"/>
  <c r="BP127" i="14"/>
  <c r="BO127" i="14"/>
  <c r="AY75" i="14"/>
  <c r="K75" i="14"/>
  <c r="K127" i="14" s="1"/>
  <c r="B137" i="14" s="1"/>
  <c r="BR127" i="14"/>
  <c r="BJ136" i="14" s="1"/>
  <c r="AY109" i="14"/>
  <c r="AE109" i="14"/>
  <c r="AE75" i="14"/>
  <c r="AO109" i="14"/>
  <c r="AO75" i="14"/>
  <c r="BI127" i="14"/>
  <c r="AZ137" i="14" s="1"/>
  <c r="U109" i="14"/>
  <c r="U75" i="14"/>
  <c r="U127" i="14" s="1"/>
  <c r="L137" i="14" s="1"/>
  <c r="BM127" i="14"/>
  <c r="BJ141" i="14" s="1"/>
  <c r="AE127" i="14" l="1"/>
  <c r="V137" i="14" s="1"/>
  <c r="AY127" i="14"/>
  <c r="AP137" i="14" s="1"/>
  <c r="AO127" i="14"/>
  <c r="AF137" i="14" s="1"/>
  <c r="BS127" i="14"/>
  <c r="BJ137" i="14" s="1"/>
  <c r="BJ138" i="14" s="1"/>
  <c r="BK127" i="14"/>
  <c r="BJ135" i="14" l="1"/>
  <c r="BL127" i="14"/>
  <c r="BJ142" i="14"/>
  <c r="BJ147" i="14" l="1"/>
  <c r="BJ146" i="14"/>
  <c r="BJ145" i="14"/>
  <c r="BJ139" i="14"/>
  <c r="BJ148" i="14"/>
  <c r="BJ144" i="14"/>
  <c r="BJ143" i="14"/>
  <c r="AQ189" i="12" l="1"/>
  <c r="AQ188" i="12"/>
  <c r="AQ190" i="12" s="1"/>
  <c r="AQ186" i="12"/>
  <c r="AQ182" i="12"/>
  <c r="AQ178" i="12"/>
  <c r="AM189" i="12"/>
  <c r="AM188" i="12"/>
  <c r="AM216" i="12" s="1"/>
  <c r="AM182" i="12"/>
  <c r="AM178" i="12"/>
  <c r="AQ47" i="12"/>
  <c r="AQ46" i="12"/>
  <c r="AQ44" i="12"/>
  <c r="AQ40" i="12"/>
  <c r="AQ36" i="12"/>
  <c r="AM47" i="12"/>
  <c r="AM46" i="12"/>
  <c r="AM44" i="12"/>
  <c r="AM40" i="12"/>
  <c r="AM36" i="12"/>
  <c r="AQ48" i="12" l="1"/>
  <c r="AM48" i="12"/>
  <c r="AM190" i="12"/>
  <c r="AI189" i="12"/>
  <c r="AI188" i="12"/>
  <c r="AI190" i="12" s="1"/>
  <c r="AI186" i="12"/>
  <c r="AI182" i="12"/>
  <c r="AI178" i="12"/>
  <c r="AE189" i="12"/>
  <c r="AE188" i="12"/>
  <c r="AE190" i="12" s="1"/>
  <c r="AE186" i="12"/>
  <c r="AE182" i="12"/>
  <c r="AE178" i="12"/>
  <c r="AA189" i="12"/>
  <c r="AA188" i="12"/>
  <c r="AA186" i="12"/>
  <c r="AA182" i="12"/>
  <c r="AA178" i="12"/>
  <c r="AI47" i="12"/>
  <c r="AI46" i="12"/>
  <c r="AI44" i="12"/>
  <c r="AI40" i="12"/>
  <c r="AI36" i="12"/>
  <c r="AE47" i="12"/>
  <c r="AE46" i="12"/>
  <c r="AE44" i="12"/>
  <c r="AE40" i="12"/>
  <c r="AE36" i="12"/>
  <c r="AA46" i="12"/>
  <c r="AA44" i="12"/>
  <c r="AA36" i="12"/>
  <c r="AI48" i="12" l="1"/>
  <c r="AA190" i="12"/>
  <c r="AE48" i="12"/>
  <c r="W11" i="12"/>
  <c r="W10" i="12"/>
  <c r="W34" i="12"/>
  <c r="W189" i="12" l="1"/>
  <c r="W188" i="12"/>
  <c r="W190" i="12" s="1"/>
  <c r="W186" i="12"/>
  <c r="W182" i="12"/>
  <c r="W178" i="12"/>
  <c r="W47" i="12"/>
  <c r="W46" i="12"/>
  <c r="W44" i="12"/>
  <c r="W40" i="12"/>
  <c r="W36" i="12"/>
  <c r="W48" i="12" l="1"/>
  <c r="S189" i="12" l="1"/>
  <c r="S188" i="12"/>
  <c r="S186" i="12"/>
  <c r="S182" i="12"/>
  <c r="S178" i="12"/>
  <c r="S47" i="12"/>
  <c r="S46" i="12"/>
  <c r="S44" i="12"/>
  <c r="S40" i="12"/>
  <c r="S36" i="12"/>
  <c r="O213" i="12"/>
  <c r="O212" i="12"/>
  <c r="O209" i="12"/>
  <c r="O208" i="12"/>
  <c r="O205" i="12"/>
  <c r="O204" i="12"/>
  <c r="O189" i="12"/>
  <c r="O188" i="12"/>
  <c r="O190" i="12" s="1"/>
  <c r="O186" i="12"/>
  <c r="O182" i="12"/>
  <c r="O178" i="12"/>
  <c r="O47" i="12"/>
  <c r="O46" i="12"/>
  <c r="O44" i="12"/>
  <c r="O40" i="12"/>
  <c r="O36" i="12"/>
  <c r="AR229" i="12"/>
  <c r="AN229" i="12"/>
  <c r="AJ229" i="12"/>
  <c r="AF229" i="12"/>
  <c r="AB229" i="12"/>
  <c r="X229" i="12"/>
  <c r="T229" i="12"/>
  <c r="P229" i="12"/>
  <c r="L229" i="12"/>
  <c r="H229" i="12"/>
  <c r="D229" i="12"/>
  <c r="M189" i="12"/>
  <c r="L189" i="12"/>
  <c r="N188" i="12"/>
  <c r="M188" i="12"/>
  <c r="M190" i="12" s="1"/>
  <c r="L188" i="12"/>
  <c r="L190" i="12" s="1"/>
  <c r="M186" i="12"/>
  <c r="L186" i="12"/>
  <c r="N185" i="12"/>
  <c r="N184" i="12"/>
  <c r="M182" i="12"/>
  <c r="L182" i="12"/>
  <c r="N181" i="12"/>
  <c r="N180" i="12"/>
  <c r="N182" i="12" s="1"/>
  <c r="M178" i="12"/>
  <c r="L178" i="12"/>
  <c r="N177" i="12"/>
  <c r="N176" i="12"/>
  <c r="N178" i="12" s="1"/>
  <c r="K190" i="12"/>
  <c r="I189" i="12"/>
  <c r="H189" i="12"/>
  <c r="I188" i="12"/>
  <c r="I190" i="12" s="1"/>
  <c r="H188" i="12"/>
  <c r="I186" i="12"/>
  <c r="H186" i="12"/>
  <c r="J185" i="12"/>
  <c r="J184" i="12"/>
  <c r="J186" i="12" s="1"/>
  <c r="I182" i="12"/>
  <c r="H182" i="12"/>
  <c r="J181" i="12"/>
  <c r="J180" i="12"/>
  <c r="J182" i="12" s="1"/>
  <c r="I178" i="12"/>
  <c r="H178" i="12"/>
  <c r="J177" i="12"/>
  <c r="J189" i="12" s="1"/>
  <c r="J176" i="12"/>
  <c r="G190" i="12"/>
  <c r="E189" i="12"/>
  <c r="D189" i="12"/>
  <c r="E188" i="12"/>
  <c r="E190" i="12" s="1"/>
  <c r="D188" i="12"/>
  <c r="D190" i="12" s="1"/>
  <c r="E186" i="12"/>
  <c r="D186" i="12"/>
  <c r="F185" i="12"/>
  <c r="F184" i="12"/>
  <c r="E182" i="12"/>
  <c r="D182" i="12"/>
  <c r="F181" i="12"/>
  <c r="F180" i="12"/>
  <c r="F182" i="12" s="1"/>
  <c r="E178" i="12"/>
  <c r="D178" i="12"/>
  <c r="F177" i="12"/>
  <c r="F176" i="12"/>
  <c r="F188" i="12" s="1"/>
  <c r="Q189" i="12"/>
  <c r="P189" i="12"/>
  <c r="Q188" i="12"/>
  <c r="Q190" i="12" s="1"/>
  <c r="P188" i="12"/>
  <c r="P190" i="12" s="1"/>
  <c r="Q186" i="12"/>
  <c r="P186" i="12"/>
  <c r="R185" i="12"/>
  <c r="R184" i="12"/>
  <c r="Q182" i="12"/>
  <c r="P182" i="12"/>
  <c r="R181" i="12"/>
  <c r="R180" i="12"/>
  <c r="R182" i="12" s="1"/>
  <c r="Q178" i="12"/>
  <c r="P178" i="12"/>
  <c r="R177" i="12"/>
  <c r="R176" i="12"/>
  <c r="U189" i="12"/>
  <c r="T189" i="12"/>
  <c r="V188" i="12"/>
  <c r="U188" i="12"/>
  <c r="T188" i="12"/>
  <c r="T190" i="12" s="1"/>
  <c r="U186" i="12"/>
  <c r="T186" i="12"/>
  <c r="V185" i="12"/>
  <c r="V184" i="12"/>
  <c r="V186" i="12" s="1"/>
  <c r="U182" i="12"/>
  <c r="T182" i="12"/>
  <c r="V181" i="12"/>
  <c r="V180" i="12"/>
  <c r="V182" i="12" s="1"/>
  <c r="U178" i="12"/>
  <c r="T178" i="12"/>
  <c r="V177" i="12"/>
  <c r="V176" i="12"/>
  <c r="V178" i="12" s="1"/>
  <c r="Y190" i="12"/>
  <c r="Y189" i="12"/>
  <c r="X189" i="12"/>
  <c r="Y188" i="12"/>
  <c r="X188" i="12"/>
  <c r="Y186" i="12"/>
  <c r="X186" i="12"/>
  <c r="Z185" i="12"/>
  <c r="Z184" i="12"/>
  <c r="Z182" i="12"/>
  <c r="Y182" i="12"/>
  <c r="X182" i="12"/>
  <c r="Z181" i="12"/>
  <c r="Z180" i="12"/>
  <c r="Y178" i="12"/>
  <c r="X178" i="12"/>
  <c r="Z177" i="12"/>
  <c r="Z176" i="12"/>
  <c r="Z178" i="12" s="1"/>
  <c r="K47" i="12"/>
  <c r="K46" i="12"/>
  <c r="K48" i="12" s="1"/>
  <c r="K44" i="12"/>
  <c r="K40" i="12"/>
  <c r="K36" i="12"/>
  <c r="K213" i="12"/>
  <c r="K212" i="12"/>
  <c r="K205" i="12"/>
  <c r="K204" i="12"/>
  <c r="K208" i="12"/>
  <c r="O214" i="12" l="1"/>
  <c r="V189" i="12"/>
  <c r="V190" i="12" s="1"/>
  <c r="N189" i="12"/>
  <c r="N190" i="12" s="1"/>
  <c r="N186" i="12"/>
  <c r="X190" i="12"/>
  <c r="R188" i="12"/>
  <c r="R189" i="12"/>
  <c r="R186" i="12"/>
  <c r="F178" i="12"/>
  <c r="H190" i="12"/>
  <c r="Z188" i="12"/>
  <c r="F189" i="12"/>
  <c r="F190" i="12" s="1"/>
  <c r="F186" i="12"/>
  <c r="Z189" i="12"/>
  <c r="Z190" i="12" s="1"/>
  <c r="Z186" i="12"/>
  <c r="U190" i="12"/>
  <c r="J178" i="12"/>
  <c r="S190" i="12"/>
  <c r="S48" i="12"/>
  <c r="O206" i="12"/>
  <c r="O210" i="12"/>
  <c r="O48" i="12"/>
  <c r="J188" i="12"/>
  <c r="J190" i="12" s="1"/>
  <c r="R190" i="12"/>
  <c r="R178" i="12"/>
  <c r="K214" i="12"/>
  <c r="K206" i="12"/>
  <c r="AU219" i="12"/>
  <c r="AU213" i="12"/>
  <c r="AU212" i="12"/>
  <c r="AU209" i="12"/>
  <c r="AU208" i="12"/>
  <c r="AU205" i="12"/>
  <c r="AU204" i="12"/>
  <c r="AQ219" i="12"/>
  <c r="AQ213" i="12"/>
  <c r="AQ212" i="12"/>
  <c r="AQ209" i="12"/>
  <c r="AQ208" i="12"/>
  <c r="AQ205" i="12"/>
  <c r="AQ204" i="12"/>
  <c r="AM219" i="12"/>
  <c r="AM206" i="12"/>
  <c r="AI219" i="12"/>
  <c r="AI213" i="12"/>
  <c r="AI212" i="12"/>
  <c r="AI209" i="12"/>
  <c r="AI208" i="12"/>
  <c r="AI205" i="12"/>
  <c r="AI204" i="12"/>
  <c r="AE219" i="12"/>
  <c r="AE213" i="12"/>
  <c r="AE212" i="12"/>
  <c r="AE209" i="12"/>
  <c r="AE208" i="12"/>
  <c r="AE205" i="12"/>
  <c r="AE204" i="12"/>
  <c r="AA219" i="12"/>
  <c r="AA213" i="12"/>
  <c r="AA212" i="12"/>
  <c r="AA208" i="12"/>
  <c r="AA205" i="12"/>
  <c r="AA204" i="12"/>
  <c r="W219" i="12"/>
  <c r="W213" i="12"/>
  <c r="W212" i="12"/>
  <c r="W209" i="12"/>
  <c r="W208" i="12"/>
  <c r="W205" i="12"/>
  <c r="W204" i="12"/>
  <c r="S219" i="12"/>
  <c r="S213" i="12"/>
  <c r="S212" i="12"/>
  <c r="S209" i="12"/>
  <c r="S208" i="12"/>
  <c r="S205" i="12"/>
  <c r="S204" i="12"/>
  <c r="O219" i="12"/>
  <c r="K219" i="12"/>
  <c r="K209" i="12"/>
  <c r="K210" i="12" s="1"/>
  <c r="G213" i="12"/>
  <c r="G212" i="12"/>
  <c r="G209" i="12"/>
  <c r="G208" i="12"/>
  <c r="G204" i="12"/>
  <c r="G205" i="12"/>
  <c r="G48" i="12"/>
  <c r="G47" i="12"/>
  <c r="G46" i="12"/>
  <c r="G40" i="12"/>
  <c r="G36" i="12"/>
  <c r="G214" i="12" l="1"/>
  <c r="AU210" i="12"/>
  <c r="AU214" i="12"/>
  <c r="G206" i="12"/>
  <c r="AQ206" i="12"/>
  <c r="G210" i="12"/>
  <c r="AA206" i="12"/>
  <c r="AM214" i="12"/>
  <c r="AQ214" i="12"/>
  <c r="AU206" i="12"/>
  <c r="AQ210" i="12"/>
  <c r="AM210" i="12"/>
  <c r="AA214" i="12"/>
  <c r="AI206" i="12"/>
  <c r="AE206" i="12"/>
  <c r="AE210" i="12"/>
  <c r="AI214" i="12"/>
  <c r="AI210" i="12"/>
  <c r="AE214" i="12"/>
  <c r="W210" i="12"/>
  <c r="W214" i="12"/>
  <c r="W206" i="12"/>
  <c r="S206" i="12"/>
  <c r="S214" i="12"/>
  <c r="S210" i="12"/>
  <c r="AI19" i="12" l="1"/>
  <c r="AI18" i="12"/>
  <c r="AI216" i="12" s="1"/>
  <c r="AI16" i="12"/>
  <c r="AI12" i="12"/>
  <c r="AI8" i="12"/>
  <c r="AE19" i="12"/>
  <c r="AE217" i="12" s="1"/>
  <c r="AE18" i="12"/>
  <c r="AE16" i="12"/>
  <c r="AE12" i="12"/>
  <c r="AE8" i="12"/>
  <c r="AA19" i="12"/>
  <c r="AA18" i="12"/>
  <c r="AA216" i="12" s="1"/>
  <c r="AA16" i="12"/>
  <c r="AA12" i="12"/>
  <c r="AA8" i="12"/>
  <c r="AU19" i="12"/>
  <c r="AU18" i="12"/>
  <c r="AU216" i="12" s="1"/>
  <c r="AU16" i="12"/>
  <c r="AU12" i="12"/>
  <c r="AU8" i="12"/>
  <c r="AQ19" i="12"/>
  <c r="AQ217" i="12" s="1"/>
  <c r="AQ18" i="12"/>
  <c r="AQ16" i="12"/>
  <c r="AQ12" i="12"/>
  <c r="AQ8" i="12"/>
  <c r="AM19" i="12"/>
  <c r="AM217" i="12" s="1"/>
  <c r="AM18" i="12"/>
  <c r="AM16" i="12"/>
  <c r="AM12" i="12"/>
  <c r="AM8" i="12"/>
  <c r="W19" i="12"/>
  <c r="W217" i="12" s="1"/>
  <c r="W18" i="12"/>
  <c r="W216" i="12" s="1"/>
  <c r="W16" i="12"/>
  <c r="W12" i="12"/>
  <c r="W8" i="12"/>
  <c r="S19" i="12"/>
  <c r="S217" i="12" s="1"/>
  <c r="S18" i="12"/>
  <c r="S216" i="12" s="1"/>
  <c r="S16" i="12"/>
  <c r="S12" i="12"/>
  <c r="S8" i="12"/>
  <c r="O19" i="12"/>
  <c r="O217" i="12" s="1"/>
  <c r="O18" i="12"/>
  <c r="O216" i="12" s="1"/>
  <c r="O16" i="12"/>
  <c r="O12" i="12"/>
  <c r="O8" i="12"/>
  <c r="K19" i="12"/>
  <c r="K217" i="12" s="1"/>
  <c r="K18" i="12"/>
  <c r="K216" i="12" s="1"/>
  <c r="K16" i="12"/>
  <c r="K12" i="12"/>
  <c r="K8" i="12"/>
  <c r="G19" i="12"/>
  <c r="G217" i="12" s="1"/>
  <c r="G18" i="12"/>
  <c r="G216" i="12" s="1"/>
  <c r="G16" i="12"/>
  <c r="G12" i="12"/>
  <c r="G8" i="12"/>
  <c r="O218" i="12" l="1"/>
  <c r="S218" i="12"/>
  <c r="K218" i="12"/>
  <c r="AQ20" i="12"/>
  <c r="AQ216" i="12"/>
  <c r="AQ218" i="12" s="1"/>
  <c r="AU20" i="12"/>
  <c r="AU217" i="12"/>
  <c r="AU218" i="12" s="1"/>
  <c r="G218" i="12"/>
  <c r="AM20" i="12"/>
  <c r="AM218" i="12"/>
  <c r="AI20" i="12"/>
  <c r="AI217" i="12"/>
  <c r="AI218" i="12" s="1"/>
  <c r="AE20" i="12"/>
  <c r="AE216" i="12"/>
  <c r="AE218" i="12" s="1"/>
  <c r="AA20" i="12"/>
  <c r="W218" i="12"/>
  <c r="W20" i="12"/>
  <c r="S20" i="12"/>
  <c r="O20" i="12"/>
  <c r="K20" i="12"/>
  <c r="G20" i="12"/>
  <c r="AP140" i="14"/>
  <c r="AP134" i="14"/>
  <c r="AF134" i="14"/>
  <c r="V134" i="14"/>
  <c r="L134" i="14"/>
  <c r="B134" i="14"/>
  <c r="AP132" i="14"/>
  <c r="AF132" i="14"/>
  <c r="V132" i="14"/>
  <c r="L132" i="14"/>
  <c r="B132" i="14"/>
  <c r="AZ128" i="14"/>
  <c r="BA128" i="14" s="1"/>
  <c r="AP128" i="14"/>
  <c r="AQ128" i="14" s="1"/>
  <c r="AF128" i="14"/>
  <c r="AG128" i="14" s="1"/>
  <c r="V128" i="14"/>
  <c r="W128" i="14" s="1"/>
  <c r="L128" i="14"/>
  <c r="M128" i="14" s="1"/>
  <c r="B128" i="14"/>
  <c r="C128" i="14" s="1"/>
  <c r="BH124" i="14"/>
  <c r="BG124" i="14"/>
  <c r="BF124" i="14"/>
  <c r="BE124" i="14"/>
  <c r="BD124" i="14"/>
  <c r="BC124" i="14"/>
  <c r="AZ124" i="14"/>
  <c r="AX124" i="14"/>
  <c r="AW124" i="14"/>
  <c r="AV124" i="14"/>
  <c r="AU124" i="14"/>
  <c r="AT124" i="14"/>
  <c r="AS124" i="14"/>
  <c r="AP124" i="14"/>
  <c r="AN124" i="14"/>
  <c r="AM124" i="14"/>
  <c r="AL124" i="14"/>
  <c r="AK124" i="14"/>
  <c r="AJ124" i="14"/>
  <c r="AI124" i="14"/>
  <c r="AF124" i="14"/>
  <c r="AC124" i="14"/>
  <c r="AB124" i="14"/>
  <c r="AA124" i="14"/>
  <c r="Z124" i="14"/>
  <c r="Y124" i="14"/>
  <c r="V124" i="14"/>
  <c r="T124" i="14"/>
  <c r="S124" i="14"/>
  <c r="R124" i="14"/>
  <c r="Q124" i="14"/>
  <c r="P124" i="14"/>
  <c r="O124" i="14"/>
  <c r="L124" i="14"/>
  <c r="J124" i="14"/>
  <c r="I124" i="14"/>
  <c r="H124" i="14"/>
  <c r="G124" i="14"/>
  <c r="F124" i="14"/>
  <c r="E124" i="14"/>
  <c r="B124" i="14"/>
  <c r="AQ122" i="14"/>
  <c r="AR122" i="14" s="1"/>
  <c r="AG122" i="14"/>
  <c r="AH122" i="14" s="1"/>
  <c r="W122" i="14"/>
  <c r="X122" i="14" s="1"/>
  <c r="M122" i="14"/>
  <c r="N122" i="14" s="1"/>
  <c r="C122" i="14"/>
  <c r="D122" i="14" s="1"/>
  <c r="AQ121" i="14"/>
  <c r="AR121" i="14" s="1"/>
  <c r="AG121" i="14"/>
  <c r="AH121" i="14" s="1"/>
  <c r="W121" i="14"/>
  <c r="X121" i="14" s="1"/>
  <c r="M121" i="14"/>
  <c r="N121" i="14" s="1"/>
  <c r="C121" i="14"/>
  <c r="D121" i="14" s="1"/>
  <c r="AQ120" i="14"/>
  <c r="AR120" i="14" s="1"/>
  <c r="AG120" i="14"/>
  <c r="AH120" i="14" s="1"/>
  <c r="W120" i="14"/>
  <c r="X120" i="14" s="1"/>
  <c r="M120" i="14"/>
  <c r="N120" i="14" s="1"/>
  <c r="C120" i="14"/>
  <c r="D120" i="14" s="1"/>
  <c r="AQ116" i="14"/>
  <c r="AR116" i="14" s="1"/>
  <c r="AG116" i="14"/>
  <c r="AH116" i="14" s="1"/>
  <c r="W116" i="14"/>
  <c r="X116" i="14" s="1"/>
  <c r="M116" i="14"/>
  <c r="N116" i="14" s="1"/>
  <c r="C116" i="14"/>
  <c r="D116" i="14" s="1"/>
  <c r="AQ115" i="14"/>
  <c r="AR115" i="14" s="1"/>
  <c r="AG115" i="14"/>
  <c r="AH115" i="14" s="1"/>
  <c r="W115" i="14"/>
  <c r="X115" i="14" s="1"/>
  <c r="M115" i="14"/>
  <c r="N115" i="14" s="1"/>
  <c r="C115" i="14"/>
  <c r="D115" i="14" s="1"/>
  <c r="AQ114" i="14"/>
  <c r="AR114" i="14" s="1"/>
  <c r="AG114" i="14"/>
  <c r="AH114" i="14" s="1"/>
  <c r="W114" i="14"/>
  <c r="X114" i="14" s="1"/>
  <c r="M114" i="14"/>
  <c r="N114" i="14" s="1"/>
  <c r="C114" i="14"/>
  <c r="D114" i="14" s="1"/>
  <c r="AQ113" i="14"/>
  <c r="AR113" i="14" s="1"/>
  <c r="AG113" i="14"/>
  <c r="AH113" i="14" s="1"/>
  <c r="W113" i="14"/>
  <c r="M113" i="14"/>
  <c r="N113" i="14" s="1"/>
  <c r="C113" i="14"/>
  <c r="D113" i="14" s="1"/>
  <c r="AQ112" i="14"/>
  <c r="AG112" i="14"/>
  <c r="AH112" i="14" s="1"/>
  <c r="W112" i="14"/>
  <c r="X112" i="14" s="1"/>
  <c r="M112" i="14"/>
  <c r="C112" i="14"/>
  <c r="AX107" i="14"/>
  <c r="AW107" i="14"/>
  <c r="AV107" i="14"/>
  <c r="AU107" i="14"/>
  <c r="AT107" i="14"/>
  <c r="AS107" i="14"/>
  <c r="AP107" i="14"/>
  <c r="AN107" i="14"/>
  <c r="AM107" i="14"/>
  <c r="AL107" i="14"/>
  <c r="AK107" i="14"/>
  <c r="AJ107" i="14"/>
  <c r="AI107" i="14"/>
  <c r="AF107" i="14"/>
  <c r="AC107" i="14"/>
  <c r="AB107" i="14"/>
  <c r="AA107" i="14"/>
  <c r="Z107" i="14"/>
  <c r="Y107" i="14"/>
  <c r="V107" i="14"/>
  <c r="T107" i="14"/>
  <c r="S107" i="14"/>
  <c r="R107" i="14"/>
  <c r="Q107" i="14"/>
  <c r="P107" i="14"/>
  <c r="O107" i="14"/>
  <c r="L107" i="14"/>
  <c r="J107" i="14"/>
  <c r="I107" i="14"/>
  <c r="H107" i="14"/>
  <c r="G107" i="14"/>
  <c r="F107" i="14"/>
  <c r="E107" i="14"/>
  <c r="B107" i="14"/>
  <c r="AQ105" i="14"/>
  <c r="AR105" i="14" s="1"/>
  <c r="AG105" i="14"/>
  <c r="AH105" i="14" s="1"/>
  <c r="W105" i="14"/>
  <c r="X105" i="14" s="1"/>
  <c r="M105" i="14"/>
  <c r="N105" i="14" s="1"/>
  <c r="C105" i="14"/>
  <c r="D105" i="14" s="1"/>
  <c r="AQ104" i="14"/>
  <c r="AR104" i="14" s="1"/>
  <c r="AG104" i="14"/>
  <c r="AH104" i="14" s="1"/>
  <c r="W104" i="14"/>
  <c r="X104" i="14" s="1"/>
  <c r="M104" i="14"/>
  <c r="N104" i="14" s="1"/>
  <c r="C104" i="14"/>
  <c r="D104" i="14" s="1"/>
  <c r="AQ99" i="14"/>
  <c r="AR99" i="14" s="1"/>
  <c r="AG99" i="14"/>
  <c r="AH99" i="14" s="1"/>
  <c r="W99" i="14"/>
  <c r="X99" i="14" s="1"/>
  <c r="M99" i="14"/>
  <c r="N99" i="14" s="1"/>
  <c r="C99" i="14"/>
  <c r="D99" i="14" s="1"/>
  <c r="AQ98" i="14"/>
  <c r="AR98" i="14" s="1"/>
  <c r="AG98" i="14"/>
  <c r="AH98" i="14" s="1"/>
  <c r="W98" i="14"/>
  <c r="X98" i="14" s="1"/>
  <c r="M98" i="14"/>
  <c r="N98" i="14" s="1"/>
  <c r="C98" i="14"/>
  <c r="D98" i="14" s="1"/>
  <c r="AQ97" i="14"/>
  <c r="AR97" i="14" s="1"/>
  <c r="AG97" i="14"/>
  <c r="AH97" i="14" s="1"/>
  <c r="W97" i="14"/>
  <c r="X97" i="14" s="1"/>
  <c r="M97" i="14"/>
  <c r="N97" i="14" s="1"/>
  <c r="C97" i="14"/>
  <c r="D97" i="14" s="1"/>
  <c r="AQ96" i="14"/>
  <c r="AR96" i="14" s="1"/>
  <c r="AG96" i="14"/>
  <c r="W96" i="14"/>
  <c r="X96" i="14" s="1"/>
  <c r="M96" i="14"/>
  <c r="N96" i="14" s="1"/>
  <c r="C96" i="14"/>
  <c r="AX93" i="14"/>
  <c r="AW93" i="14"/>
  <c r="AV93" i="14"/>
  <c r="AU93" i="14"/>
  <c r="AT93" i="14"/>
  <c r="AS93" i="14"/>
  <c r="AP93" i="14"/>
  <c r="AN93" i="14"/>
  <c r="AM93" i="14"/>
  <c r="AL93" i="14"/>
  <c r="AK93" i="14"/>
  <c r="AJ93" i="14"/>
  <c r="AI93" i="14"/>
  <c r="AF93" i="14"/>
  <c r="AC93" i="14"/>
  <c r="AB93" i="14"/>
  <c r="AA93" i="14"/>
  <c r="Z93" i="14"/>
  <c r="Y93" i="14"/>
  <c r="V93" i="14"/>
  <c r="T93" i="14"/>
  <c r="S93" i="14"/>
  <c r="R93" i="14"/>
  <c r="Q93" i="14"/>
  <c r="P93" i="14"/>
  <c r="O93" i="14"/>
  <c r="L93" i="14"/>
  <c r="J93" i="14"/>
  <c r="I93" i="14"/>
  <c r="H93" i="14"/>
  <c r="G93" i="14"/>
  <c r="F93" i="14"/>
  <c r="E93" i="14"/>
  <c r="B93" i="14"/>
  <c r="AQ91" i="14"/>
  <c r="AR91" i="14" s="1"/>
  <c r="AG91" i="14"/>
  <c r="AH91" i="14" s="1"/>
  <c r="W91" i="14"/>
  <c r="X91" i="14" s="1"/>
  <c r="M91" i="14"/>
  <c r="N91" i="14" s="1"/>
  <c r="C91" i="14"/>
  <c r="D91" i="14" s="1"/>
  <c r="AQ90" i="14"/>
  <c r="AR90" i="14" s="1"/>
  <c r="AG90" i="14"/>
  <c r="AH90" i="14" s="1"/>
  <c r="W90" i="14"/>
  <c r="X90" i="14" s="1"/>
  <c r="M90" i="14"/>
  <c r="N90" i="14" s="1"/>
  <c r="C90" i="14"/>
  <c r="D90" i="14" s="1"/>
  <c r="AQ89" i="14"/>
  <c r="AR89" i="14" s="1"/>
  <c r="AG89" i="14"/>
  <c r="AH89" i="14" s="1"/>
  <c r="W89" i="14"/>
  <c r="X89" i="14" s="1"/>
  <c r="M89" i="14"/>
  <c r="N89" i="14" s="1"/>
  <c r="C89" i="14"/>
  <c r="D89" i="14" s="1"/>
  <c r="AQ85" i="14"/>
  <c r="AR85" i="14" s="1"/>
  <c r="AG85" i="14"/>
  <c r="AH85" i="14" s="1"/>
  <c r="W85" i="14"/>
  <c r="X85" i="14" s="1"/>
  <c r="M85" i="14"/>
  <c r="N85" i="14" s="1"/>
  <c r="C85" i="14"/>
  <c r="D85" i="14" s="1"/>
  <c r="AQ84" i="14"/>
  <c r="AR84" i="14" s="1"/>
  <c r="AG84" i="14"/>
  <c r="AH84" i="14" s="1"/>
  <c r="W84" i="14"/>
  <c r="X84" i="14" s="1"/>
  <c r="M84" i="14"/>
  <c r="N84" i="14" s="1"/>
  <c r="C84" i="14"/>
  <c r="D84" i="14" s="1"/>
  <c r="AQ83" i="14"/>
  <c r="AR83" i="14" s="1"/>
  <c r="AG83" i="14"/>
  <c r="AH83" i="14" s="1"/>
  <c r="W83" i="14"/>
  <c r="X83" i="14" s="1"/>
  <c r="M83" i="14"/>
  <c r="N83" i="14" s="1"/>
  <c r="C83" i="14"/>
  <c r="D83" i="14" s="1"/>
  <c r="AQ82" i="14"/>
  <c r="AR82" i="14" s="1"/>
  <c r="AG82" i="14"/>
  <c r="AH82" i="14" s="1"/>
  <c r="W82" i="14"/>
  <c r="X82" i="14" s="1"/>
  <c r="M82" i="14"/>
  <c r="N82" i="14" s="1"/>
  <c r="C82" i="14"/>
  <c r="D82" i="14" s="1"/>
  <c r="AQ81" i="14"/>
  <c r="AR81" i="14" s="1"/>
  <c r="AG81" i="14"/>
  <c r="AH81" i="14" s="1"/>
  <c r="W81" i="14"/>
  <c r="X81" i="14" s="1"/>
  <c r="M81" i="14"/>
  <c r="N81" i="14" s="1"/>
  <c r="C81" i="14"/>
  <c r="D81" i="14" s="1"/>
  <c r="AQ80" i="14"/>
  <c r="AG80" i="14"/>
  <c r="AH80" i="14" s="1"/>
  <c r="W80" i="14"/>
  <c r="X80" i="14" s="1"/>
  <c r="M80" i="14"/>
  <c r="N80" i="14" s="1"/>
  <c r="C80" i="14"/>
  <c r="D80" i="14" s="1"/>
  <c r="AX73" i="14"/>
  <c r="AW73" i="14"/>
  <c r="AV73" i="14"/>
  <c r="AU73" i="14"/>
  <c r="AT73" i="14"/>
  <c r="AS73" i="14"/>
  <c r="AP73" i="14"/>
  <c r="AN73" i="14"/>
  <c r="AM73" i="14"/>
  <c r="AL73" i="14"/>
  <c r="AK73" i="14"/>
  <c r="AJ73" i="14"/>
  <c r="AI73" i="14"/>
  <c r="AF73" i="14"/>
  <c r="AC73" i="14"/>
  <c r="AB73" i="14"/>
  <c r="AA73" i="14"/>
  <c r="Z73" i="14"/>
  <c r="Y73" i="14"/>
  <c r="V73" i="14"/>
  <c r="T73" i="14"/>
  <c r="S73" i="14"/>
  <c r="R73" i="14"/>
  <c r="Q73" i="14"/>
  <c r="P73" i="14"/>
  <c r="O73" i="14"/>
  <c r="L73" i="14"/>
  <c r="J73" i="14"/>
  <c r="I73" i="14"/>
  <c r="H73" i="14"/>
  <c r="G73" i="14"/>
  <c r="F73" i="14"/>
  <c r="E73" i="14"/>
  <c r="B73" i="14"/>
  <c r="AQ71" i="14"/>
  <c r="AR71" i="14" s="1"/>
  <c r="AG71" i="14"/>
  <c r="AH71" i="14" s="1"/>
  <c r="W71" i="14"/>
  <c r="X71" i="14" s="1"/>
  <c r="M71" i="14"/>
  <c r="N71" i="14" s="1"/>
  <c r="C71" i="14"/>
  <c r="D71" i="14" s="1"/>
  <c r="AQ70" i="14"/>
  <c r="AR70" i="14" s="1"/>
  <c r="AG70" i="14"/>
  <c r="AH70" i="14" s="1"/>
  <c r="W70" i="14"/>
  <c r="X70" i="14" s="1"/>
  <c r="M70" i="14"/>
  <c r="N70" i="14" s="1"/>
  <c r="C70" i="14"/>
  <c r="D70" i="14" s="1"/>
  <c r="AQ69" i="14"/>
  <c r="AR69" i="14" s="1"/>
  <c r="AG69" i="14"/>
  <c r="AH69" i="14" s="1"/>
  <c r="W69" i="14"/>
  <c r="X69" i="14" s="1"/>
  <c r="M69" i="14"/>
  <c r="N69" i="14" s="1"/>
  <c r="C69" i="14"/>
  <c r="D69" i="14" s="1"/>
  <c r="AQ65" i="14"/>
  <c r="AR65" i="14" s="1"/>
  <c r="AG65" i="14"/>
  <c r="AH65" i="14" s="1"/>
  <c r="W65" i="14"/>
  <c r="X65" i="14" s="1"/>
  <c r="M65" i="14"/>
  <c r="N65" i="14" s="1"/>
  <c r="C65" i="14"/>
  <c r="D65" i="14" s="1"/>
  <c r="AQ64" i="14"/>
  <c r="AR64" i="14" s="1"/>
  <c r="AG64" i="14"/>
  <c r="AH64" i="14" s="1"/>
  <c r="W64" i="14"/>
  <c r="X64" i="14" s="1"/>
  <c r="M64" i="14"/>
  <c r="N64" i="14" s="1"/>
  <c r="C64" i="14"/>
  <c r="D64" i="14" s="1"/>
  <c r="AQ63" i="14"/>
  <c r="AR63" i="14" s="1"/>
  <c r="AG63" i="14"/>
  <c r="AH63" i="14" s="1"/>
  <c r="W63" i="14"/>
  <c r="X63" i="14" s="1"/>
  <c r="M63" i="14"/>
  <c r="N63" i="14" s="1"/>
  <c r="C63" i="14"/>
  <c r="D63" i="14" s="1"/>
  <c r="AQ62" i="14"/>
  <c r="AR62" i="14" s="1"/>
  <c r="AG62" i="14"/>
  <c r="AH62" i="14" s="1"/>
  <c r="W62" i="14"/>
  <c r="X62" i="14" s="1"/>
  <c r="M62" i="14"/>
  <c r="N62" i="14" s="1"/>
  <c r="C62" i="14"/>
  <c r="D62" i="14" s="1"/>
  <c r="AQ61" i="14"/>
  <c r="AR61" i="14" s="1"/>
  <c r="AG61" i="14"/>
  <c r="AH61" i="14" s="1"/>
  <c r="W61" i="14"/>
  <c r="X61" i="14" s="1"/>
  <c r="M61" i="14"/>
  <c r="N61" i="14" s="1"/>
  <c r="C61" i="14"/>
  <c r="D61" i="14" s="1"/>
  <c r="AQ60" i="14"/>
  <c r="AR60" i="14" s="1"/>
  <c r="AG60" i="14"/>
  <c r="AH60" i="14" s="1"/>
  <c r="W60" i="14"/>
  <c r="X60" i="14" s="1"/>
  <c r="M60" i="14"/>
  <c r="N60" i="14" s="1"/>
  <c r="C60" i="14"/>
  <c r="D60" i="14" s="1"/>
  <c r="AQ59" i="14"/>
  <c r="AR59" i="14" s="1"/>
  <c r="AG59" i="14"/>
  <c r="AH59" i="14" s="1"/>
  <c r="W59" i="14"/>
  <c r="X59" i="14" s="1"/>
  <c r="M59" i="14"/>
  <c r="N59" i="14" s="1"/>
  <c r="C59" i="14"/>
  <c r="D59" i="14" s="1"/>
  <c r="AQ58" i="14"/>
  <c r="AG58" i="14"/>
  <c r="AH58" i="14" s="1"/>
  <c r="W58" i="14"/>
  <c r="X58" i="14" s="1"/>
  <c r="M58" i="14"/>
  <c r="N58" i="14" s="1"/>
  <c r="C58" i="14"/>
  <c r="AX55" i="14"/>
  <c r="AW55" i="14"/>
  <c r="AV55" i="14"/>
  <c r="AU55" i="14"/>
  <c r="AT55" i="14"/>
  <c r="AS55" i="14"/>
  <c r="AP55" i="14"/>
  <c r="AN55" i="14"/>
  <c r="AM55" i="14"/>
  <c r="AL55" i="14"/>
  <c r="AK55" i="14"/>
  <c r="AJ55" i="14"/>
  <c r="AI55" i="14"/>
  <c r="AF55" i="14"/>
  <c r="AC55" i="14"/>
  <c r="AB55" i="14"/>
  <c r="AA55" i="14"/>
  <c r="Z55" i="14"/>
  <c r="Y55" i="14"/>
  <c r="V55" i="14"/>
  <c r="T55" i="14"/>
  <c r="S55" i="14"/>
  <c r="R55" i="14"/>
  <c r="Q55" i="14"/>
  <c r="P55" i="14"/>
  <c r="O55" i="14"/>
  <c r="L55" i="14"/>
  <c r="J55" i="14"/>
  <c r="I55" i="14"/>
  <c r="H55" i="14"/>
  <c r="G55" i="14"/>
  <c r="F55" i="14"/>
  <c r="E55" i="14"/>
  <c r="B55" i="14"/>
  <c r="AQ53" i="14"/>
  <c r="AR53" i="14" s="1"/>
  <c r="AG53" i="14"/>
  <c r="AH53" i="14" s="1"/>
  <c r="W53" i="14"/>
  <c r="X53" i="14" s="1"/>
  <c r="M53" i="14"/>
  <c r="N53" i="14" s="1"/>
  <c r="C53" i="14"/>
  <c r="D53" i="14" s="1"/>
  <c r="AQ52" i="14"/>
  <c r="AR52" i="14" s="1"/>
  <c r="AG52" i="14"/>
  <c r="AH52" i="14" s="1"/>
  <c r="W52" i="14"/>
  <c r="X52" i="14" s="1"/>
  <c r="M52" i="14"/>
  <c r="N52" i="14" s="1"/>
  <c r="C52" i="14"/>
  <c r="D52" i="14" s="1"/>
  <c r="AQ48" i="14"/>
  <c r="AR48" i="14" s="1"/>
  <c r="AG48" i="14"/>
  <c r="AH48" i="14" s="1"/>
  <c r="W48" i="14"/>
  <c r="X48" i="14" s="1"/>
  <c r="M48" i="14"/>
  <c r="N48" i="14" s="1"/>
  <c r="C48" i="14"/>
  <c r="D48" i="14" s="1"/>
  <c r="AQ47" i="14"/>
  <c r="AR47" i="14" s="1"/>
  <c r="AG47" i="14"/>
  <c r="AH47" i="14" s="1"/>
  <c r="W47" i="14"/>
  <c r="X47" i="14" s="1"/>
  <c r="M47" i="14"/>
  <c r="N47" i="14" s="1"/>
  <c r="C47" i="14"/>
  <c r="D47" i="14" s="1"/>
  <c r="AQ46" i="14"/>
  <c r="AR46" i="14" s="1"/>
  <c r="AG46" i="14"/>
  <c r="AH46" i="14" s="1"/>
  <c r="W46" i="14"/>
  <c r="X46" i="14" s="1"/>
  <c r="M46" i="14"/>
  <c r="N46" i="14" s="1"/>
  <c r="C46" i="14"/>
  <c r="D46" i="14" s="1"/>
  <c r="AQ45" i="14"/>
  <c r="AR45" i="14" s="1"/>
  <c r="AG45" i="14"/>
  <c r="AH45" i="14" s="1"/>
  <c r="W45" i="14"/>
  <c r="X45" i="14" s="1"/>
  <c r="M45" i="14"/>
  <c r="N45" i="14" s="1"/>
  <c r="C45" i="14"/>
  <c r="D45" i="14" s="1"/>
  <c r="AQ44" i="14"/>
  <c r="AR44" i="14" s="1"/>
  <c r="AG44" i="14"/>
  <c r="AH44" i="14" s="1"/>
  <c r="W44" i="14"/>
  <c r="X44" i="14" s="1"/>
  <c r="M44" i="14"/>
  <c r="N44" i="14" s="1"/>
  <c r="C44" i="14"/>
  <c r="D44" i="14" s="1"/>
  <c r="AQ43" i="14"/>
  <c r="AR43" i="14" s="1"/>
  <c r="AG43" i="14"/>
  <c r="AH43" i="14" s="1"/>
  <c r="W43" i="14"/>
  <c r="X43" i="14" s="1"/>
  <c r="M43" i="14"/>
  <c r="N43" i="14" s="1"/>
  <c r="C43" i="14"/>
  <c r="D43" i="14" s="1"/>
  <c r="AQ42" i="14"/>
  <c r="AR42" i="14" s="1"/>
  <c r="AG42" i="14"/>
  <c r="AH42" i="14" s="1"/>
  <c r="W42" i="14"/>
  <c r="X42" i="14" s="1"/>
  <c r="M42" i="14"/>
  <c r="N42" i="14" s="1"/>
  <c r="C42" i="14"/>
  <c r="D42" i="14" s="1"/>
  <c r="AQ41" i="14"/>
  <c r="AR41" i="14" s="1"/>
  <c r="AG41" i="14"/>
  <c r="AH41" i="14" s="1"/>
  <c r="W41" i="14"/>
  <c r="X41" i="14" s="1"/>
  <c r="M41" i="14"/>
  <c r="N41" i="14" s="1"/>
  <c r="C41" i="14"/>
  <c r="D41" i="14" s="1"/>
  <c r="AQ40" i="14"/>
  <c r="AR40" i="14" s="1"/>
  <c r="AG40" i="14"/>
  <c r="AH40" i="14" s="1"/>
  <c r="W40" i="14"/>
  <c r="X40" i="14" s="1"/>
  <c r="M40" i="14"/>
  <c r="N40" i="14" s="1"/>
  <c r="C40" i="14"/>
  <c r="D40" i="14" s="1"/>
  <c r="AQ39" i="14"/>
  <c r="AR39" i="14" s="1"/>
  <c r="AG39" i="14"/>
  <c r="AH39" i="14" s="1"/>
  <c r="W39" i="14"/>
  <c r="M39" i="14"/>
  <c r="N39" i="14" s="1"/>
  <c r="C39" i="14"/>
  <c r="D39" i="14" s="1"/>
  <c r="AQ38" i="14"/>
  <c r="AG38" i="14"/>
  <c r="AH38" i="14" s="1"/>
  <c r="W38" i="14"/>
  <c r="X38" i="14" s="1"/>
  <c r="M38" i="14"/>
  <c r="N38" i="14" s="1"/>
  <c r="C38" i="14"/>
  <c r="AX35" i="14"/>
  <c r="AW35" i="14"/>
  <c r="AV35" i="14"/>
  <c r="AU35" i="14"/>
  <c r="AT35" i="14"/>
  <c r="AS35" i="14"/>
  <c r="AS75" i="14" s="1"/>
  <c r="AP35" i="14"/>
  <c r="AN35" i="14"/>
  <c r="AM35" i="14"/>
  <c r="AL35" i="14"/>
  <c r="AK35" i="14"/>
  <c r="AJ35" i="14"/>
  <c r="AI35" i="14"/>
  <c r="AF35" i="14"/>
  <c r="AC35" i="14"/>
  <c r="AB35" i="14"/>
  <c r="AA35" i="14"/>
  <c r="Z35" i="14"/>
  <c r="Y35" i="14"/>
  <c r="V35" i="14"/>
  <c r="T35" i="14"/>
  <c r="S35" i="14"/>
  <c r="S75" i="14" s="1"/>
  <c r="R35" i="14"/>
  <c r="Q35" i="14"/>
  <c r="P35" i="14"/>
  <c r="O35" i="14"/>
  <c r="L35" i="14"/>
  <c r="J35" i="14"/>
  <c r="I35" i="14"/>
  <c r="H35" i="14"/>
  <c r="H75" i="14" s="1"/>
  <c r="G35" i="14"/>
  <c r="F35" i="14"/>
  <c r="E35" i="14"/>
  <c r="B35" i="14"/>
  <c r="AQ25" i="14"/>
  <c r="AR25" i="14" s="1"/>
  <c r="AH25" i="14"/>
  <c r="X25" i="14"/>
  <c r="M25" i="14"/>
  <c r="N25" i="14" s="1"/>
  <c r="C25" i="14"/>
  <c r="D25" i="14" s="1"/>
  <c r="AQ24" i="14"/>
  <c r="AR24" i="14" s="1"/>
  <c r="AH24" i="14"/>
  <c r="X24" i="14"/>
  <c r="M24" i="14"/>
  <c r="N24" i="14" s="1"/>
  <c r="C24" i="14"/>
  <c r="D24" i="14" s="1"/>
  <c r="AQ23" i="14"/>
  <c r="AR23" i="14" s="1"/>
  <c r="AG23" i="14"/>
  <c r="AH23" i="14" s="1"/>
  <c r="W23" i="14"/>
  <c r="X23" i="14" s="1"/>
  <c r="M23" i="14"/>
  <c r="N23" i="14" s="1"/>
  <c r="C23" i="14"/>
  <c r="D23" i="14" s="1"/>
  <c r="AQ22" i="14"/>
  <c r="AR22" i="14" s="1"/>
  <c r="AG22" i="14"/>
  <c r="AH22" i="14" s="1"/>
  <c r="W22" i="14"/>
  <c r="X22" i="14" s="1"/>
  <c r="M22" i="14"/>
  <c r="N22" i="14" s="1"/>
  <c r="C22" i="14"/>
  <c r="D22" i="14" s="1"/>
  <c r="AQ21" i="14"/>
  <c r="AR21" i="14" s="1"/>
  <c r="AG21" i="14"/>
  <c r="AH21" i="14" s="1"/>
  <c r="W21" i="14"/>
  <c r="X21" i="14" s="1"/>
  <c r="M21" i="14"/>
  <c r="N21" i="14" s="1"/>
  <c r="C21" i="14"/>
  <c r="D21" i="14" s="1"/>
  <c r="AQ20" i="14"/>
  <c r="AR20" i="14" s="1"/>
  <c r="AG20" i="14"/>
  <c r="AH20" i="14" s="1"/>
  <c r="W20" i="14"/>
  <c r="X20" i="14" s="1"/>
  <c r="M20" i="14"/>
  <c r="N20" i="14" s="1"/>
  <c r="C20" i="14"/>
  <c r="D20" i="14" s="1"/>
  <c r="AQ19" i="14"/>
  <c r="AR19" i="14" s="1"/>
  <c r="AG19" i="14"/>
  <c r="AH19" i="14" s="1"/>
  <c r="W19" i="14"/>
  <c r="X19" i="14" s="1"/>
  <c r="M19" i="14"/>
  <c r="N19" i="14" s="1"/>
  <c r="C19" i="14"/>
  <c r="D19" i="14" s="1"/>
  <c r="AQ18" i="14"/>
  <c r="AR18" i="14" s="1"/>
  <c r="AG18" i="14"/>
  <c r="AH18" i="14" s="1"/>
  <c r="W18" i="14"/>
  <c r="X18" i="14" s="1"/>
  <c r="M18" i="14"/>
  <c r="N18" i="14" s="1"/>
  <c r="C18" i="14"/>
  <c r="D18" i="14" s="1"/>
  <c r="AQ17" i="14"/>
  <c r="AR17" i="14" s="1"/>
  <c r="AG17" i="14"/>
  <c r="AH17" i="14" s="1"/>
  <c r="W17" i="14"/>
  <c r="X17" i="14" s="1"/>
  <c r="M17" i="14"/>
  <c r="N17" i="14" s="1"/>
  <c r="C17" i="14"/>
  <c r="D17" i="14" s="1"/>
  <c r="AQ16" i="14"/>
  <c r="AR16" i="14" s="1"/>
  <c r="AG16" i="14"/>
  <c r="AH16" i="14" s="1"/>
  <c r="W16" i="14"/>
  <c r="X16" i="14" s="1"/>
  <c r="M16" i="14"/>
  <c r="N16" i="14" s="1"/>
  <c r="C16" i="14"/>
  <c r="D16" i="14" s="1"/>
  <c r="AQ15" i="14"/>
  <c r="AR15" i="14" s="1"/>
  <c r="AG15" i="14"/>
  <c r="AH15" i="14" s="1"/>
  <c r="W15" i="14"/>
  <c r="X15" i="14" s="1"/>
  <c r="M15" i="14"/>
  <c r="N15" i="14" s="1"/>
  <c r="C15" i="14"/>
  <c r="D15" i="14" s="1"/>
  <c r="AQ14" i="14"/>
  <c r="AR14" i="14" s="1"/>
  <c r="AG14" i="14"/>
  <c r="AH14" i="14" s="1"/>
  <c r="W14" i="14"/>
  <c r="X14" i="14" s="1"/>
  <c r="M14" i="14"/>
  <c r="N14" i="14" s="1"/>
  <c r="C14" i="14"/>
  <c r="D14" i="14" s="1"/>
  <c r="AQ13" i="14"/>
  <c r="AR13" i="14" s="1"/>
  <c r="AG13" i="14"/>
  <c r="AH13" i="14" s="1"/>
  <c r="W13" i="14"/>
  <c r="X13" i="14" s="1"/>
  <c r="M13" i="14"/>
  <c r="N13" i="14" s="1"/>
  <c r="C13" i="14"/>
  <c r="D13" i="14" s="1"/>
  <c r="AQ12" i="14"/>
  <c r="AR12" i="14" s="1"/>
  <c r="AG12" i="14"/>
  <c r="AH12" i="14" s="1"/>
  <c r="W12" i="14"/>
  <c r="X12" i="14" s="1"/>
  <c r="M12" i="14"/>
  <c r="N12" i="14" s="1"/>
  <c r="C12" i="14"/>
  <c r="D12" i="14" s="1"/>
  <c r="AQ11" i="14"/>
  <c r="AG11" i="14"/>
  <c r="W11" i="14"/>
  <c r="M11" i="14"/>
  <c r="C11" i="14"/>
  <c r="D11" i="14" s="1"/>
  <c r="F75" i="14" l="1"/>
  <c r="Q75" i="14"/>
  <c r="AB75" i="14"/>
  <c r="AB127" i="14" s="1"/>
  <c r="G109" i="14"/>
  <c r="AA75" i="14"/>
  <c r="AX75" i="14"/>
  <c r="P109" i="14"/>
  <c r="AI75" i="14"/>
  <c r="I75" i="14"/>
  <c r="AT75" i="14"/>
  <c r="J75" i="14"/>
  <c r="AP75" i="14"/>
  <c r="AL75" i="14"/>
  <c r="AJ109" i="14"/>
  <c r="W35" i="14"/>
  <c r="X35" i="14" s="1"/>
  <c r="AB109" i="14"/>
  <c r="T109" i="14"/>
  <c r="AG107" i="14"/>
  <c r="AH107" i="14" s="1"/>
  <c r="M124" i="14"/>
  <c r="N124" i="14" s="1"/>
  <c r="R75" i="14"/>
  <c r="AG35" i="14"/>
  <c r="AH35" i="14" s="1"/>
  <c r="AQ73" i="14"/>
  <c r="AR73" i="14" s="1"/>
  <c r="B109" i="14"/>
  <c r="O109" i="14"/>
  <c r="Z109" i="14"/>
  <c r="AK109" i="14"/>
  <c r="AH11" i="14"/>
  <c r="L75" i="14"/>
  <c r="Y75" i="14"/>
  <c r="AJ75" i="14"/>
  <c r="AU75" i="14"/>
  <c r="AQ93" i="14"/>
  <c r="AR93" i="14" s="1"/>
  <c r="AL109" i="14"/>
  <c r="L109" i="14"/>
  <c r="Y109" i="14"/>
  <c r="AC109" i="14"/>
  <c r="C55" i="14"/>
  <c r="D55" i="14" s="1"/>
  <c r="C73" i="14"/>
  <c r="D73" i="14" s="1"/>
  <c r="S109" i="14"/>
  <c r="S127" i="14" s="1"/>
  <c r="J109" i="14"/>
  <c r="AT109" i="14"/>
  <c r="M35" i="14"/>
  <c r="N35" i="14" s="1"/>
  <c r="G75" i="14"/>
  <c r="G127" i="14" s="1"/>
  <c r="AC75" i="14"/>
  <c r="AI109" i="14"/>
  <c r="AI127" i="14" s="1"/>
  <c r="AF138" i="14" s="1"/>
  <c r="W55" i="14"/>
  <c r="X55" i="14" s="1"/>
  <c r="E75" i="14"/>
  <c r="AW75" i="14"/>
  <c r="AR58" i="14"/>
  <c r="AU109" i="14"/>
  <c r="AH96" i="14"/>
  <c r="E109" i="14"/>
  <c r="AA109" i="14"/>
  <c r="AA127" i="14" s="1"/>
  <c r="AV109" i="14"/>
  <c r="Q109" i="14"/>
  <c r="Q127" i="14" s="1"/>
  <c r="AW109" i="14"/>
  <c r="AQ35" i="14"/>
  <c r="AR35" i="14" s="1"/>
  <c r="AN75" i="14"/>
  <c r="AR80" i="14"/>
  <c r="R109" i="14"/>
  <c r="AX109" i="14"/>
  <c r="B75" i="14"/>
  <c r="O75" i="14"/>
  <c r="Z75" i="14"/>
  <c r="AQ55" i="14"/>
  <c r="AR55" i="14" s="1"/>
  <c r="H109" i="14"/>
  <c r="H127" i="14" s="1"/>
  <c r="AN109" i="14"/>
  <c r="AK75" i="14"/>
  <c r="AF75" i="14"/>
  <c r="I109" i="14"/>
  <c r="AF109" i="14"/>
  <c r="V109" i="14"/>
  <c r="AS109" i="14"/>
  <c r="AS127" i="14" s="1"/>
  <c r="AP138" i="14" s="1"/>
  <c r="AG55" i="14"/>
  <c r="AH55" i="14" s="1"/>
  <c r="M73" i="14"/>
  <c r="N73" i="14" s="1"/>
  <c r="AG73" i="14"/>
  <c r="AH73" i="14" s="1"/>
  <c r="N11" i="14"/>
  <c r="D38" i="14"/>
  <c r="AR38" i="14"/>
  <c r="X39" i="14"/>
  <c r="W107" i="14"/>
  <c r="AP109" i="14"/>
  <c r="C107" i="14"/>
  <c r="F109" i="14"/>
  <c r="W124" i="14"/>
  <c r="X113" i="14"/>
  <c r="T75" i="14"/>
  <c r="D58" i="14"/>
  <c r="C93" i="14"/>
  <c r="D93" i="14" s="1"/>
  <c r="V75" i="14"/>
  <c r="AM75" i="14"/>
  <c r="AV75" i="14"/>
  <c r="W93" i="14"/>
  <c r="X93" i="14" s="1"/>
  <c r="M93" i="14"/>
  <c r="N93" i="14" s="1"/>
  <c r="AG93" i="14"/>
  <c r="AH93" i="14" s="1"/>
  <c r="M107" i="14"/>
  <c r="AQ124" i="14"/>
  <c r="AR112" i="14"/>
  <c r="AG124" i="14"/>
  <c r="X11" i="14"/>
  <c r="C35" i="14"/>
  <c r="W73" i="14"/>
  <c r="X73" i="14" s="1"/>
  <c r="C124" i="14"/>
  <c r="D112" i="14"/>
  <c r="BA124" i="14"/>
  <c r="M55" i="14"/>
  <c r="N55" i="14" s="1"/>
  <c r="AR11" i="14"/>
  <c r="P75" i="14"/>
  <c r="AZ127" i="14"/>
  <c r="BH127" i="14"/>
  <c r="AZ136" i="14" s="1"/>
  <c r="AM109" i="14"/>
  <c r="N112" i="14"/>
  <c r="AQ107" i="14"/>
  <c r="D96" i="14"/>
  <c r="F127" i="14" l="1"/>
  <c r="P127" i="14"/>
  <c r="AX127" i="14"/>
  <c r="AP136" i="14" s="1"/>
  <c r="AL127" i="14"/>
  <c r="AK127" i="14"/>
  <c r="AN127" i="14"/>
  <c r="AF136" i="14" s="1"/>
  <c r="I127" i="14"/>
  <c r="AT127" i="14"/>
  <c r="BG127" i="14"/>
  <c r="B127" i="14"/>
  <c r="J127" i="14"/>
  <c r="B136" i="14" s="1"/>
  <c r="T127" i="14"/>
  <c r="L136" i="14" s="1"/>
  <c r="BC127" i="14"/>
  <c r="AP127" i="14"/>
  <c r="BF127" i="14"/>
  <c r="Y127" i="14"/>
  <c r="V138" i="14" s="1"/>
  <c r="Z127" i="14"/>
  <c r="AU127" i="14"/>
  <c r="AC127" i="14"/>
  <c r="AJ127" i="14"/>
  <c r="BE127" i="14"/>
  <c r="R127" i="14"/>
  <c r="BD127" i="14"/>
  <c r="O127" i="14"/>
  <c r="AF127" i="14"/>
  <c r="AW127" i="14"/>
  <c r="L127" i="14"/>
  <c r="V127" i="14"/>
  <c r="AV127" i="14"/>
  <c r="AM127" i="14"/>
  <c r="E127" i="14"/>
  <c r="AG75" i="14"/>
  <c r="AH75" i="14" s="1"/>
  <c r="AQ75" i="14"/>
  <c r="AR75" i="14" s="1"/>
  <c r="AH124" i="14"/>
  <c r="W109" i="14"/>
  <c r="X107" i="14"/>
  <c r="AQ109" i="14"/>
  <c r="AR107" i="14"/>
  <c r="AF141" i="14"/>
  <c r="X124" i="14"/>
  <c r="V136" i="14"/>
  <c r="W75" i="14"/>
  <c r="BB124" i="14"/>
  <c r="D124" i="14"/>
  <c r="AG109" i="14"/>
  <c r="AR124" i="14"/>
  <c r="D107" i="14"/>
  <c r="C109" i="14"/>
  <c r="C75" i="14"/>
  <c r="D35" i="14"/>
  <c r="M109" i="14"/>
  <c r="N107" i="14"/>
  <c r="AP141" i="14"/>
  <c r="M75" i="14"/>
  <c r="AZ141" i="14" l="1"/>
  <c r="AZ138" i="14"/>
  <c r="V141" i="14"/>
  <c r="L141" i="14"/>
  <c r="L138" i="14"/>
  <c r="B141" i="14"/>
  <c r="B138" i="14"/>
  <c r="AG127" i="14"/>
  <c r="AF135" i="14" s="1"/>
  <c r="BA127" i="14"/>
  <c r="W127" i="14"/>
  <c r="V135" i="14" s="1"/>
  <c r="D109" i="14"/>
  <c r="AR109" i="14"/>
  <c r="X109" i="14"/>
  <c r="D75" i="14"/>
  <c r="AQ127" i="14"/>
  <c r="AH109" i="14"/>
  <c r="N75" i="14"/>
  <c r="N109" i="14"/>
  <c r="M127" i="14"/>
  <c r="X75" i="14"/>
  <c r="C127" i="14"/>
  <c r="AZ142" i="14" l="1"/>
  <c r="AZ135" i="14"/>
  <c r="AF142" i="14"/>
  <c r="AH127" i="14"/>
  <c r="V142" i="14"/>
  <c r="V144" i="14"/>
  <c r="V143" i="14"/>
  <c r="X127" i="14"/>
  <c r="BB127" i="14"/>
  <c r="V139" i="14"/>
  <c r="AF147" i="14"/>
  <c r="AF145" i="14"/>
  <c r="AF146" i="14"/>
  <c r="AF139" i="14"/>
  <c r="AF148" i="14"/>
  <c r="AF143" i="14"/>
  <c r="V147" i="14"/>
  <c r="V145" i="14"/>
  <c r="V146" i="14"/>
  <c r="V148" i="14"/>
  <c r="AR127" i="14"/>
  <c r="AP135" i="14"/>
  <c r="AP142" i="14"/>
  <c r="B135" i="14"/>
  <c r="D127" i="14"/>
  <c r="B142" i="14"/>
  <c r="AF144" i="14"/>
  <c r="L135" i="14"/>
  <c r="N127" i="14"/>
  <c r="L142" i="14"/>
  <c r="AZ148" i="14" l="1"/>
  <c r="AZ145" i="14"/>
  <c r="AZ144" i="14"/>
  <c r="AZ146" i="14"/>
  <c r="AZ139" i="14"/>
  <c r="AZ147" i="14"/>
  <c r="AZ143" i="14"/>
  <c r="B146" i="14"/>
  <c r="B147" i="14"/>
  <c r="B145" i="14"/>
  <c r="B139" i="14"/>
  <c r="B148" i="14"/>
  <c r="B143" i="14"/>
  <c r="B144" i="14"/>
  <c r="AP145" i="14"/>
  <c r="AP146" i="14"/>
  <c r="AP147" i="14"/>
  <c r="AP148" i="14"/>
  <c r="AP143" i="14"/>
  <c r="AP139" i="14"/>
  <c r="AP144" i="14"/>
  <c r="L146" i="14"/>
  <c r="L147" i="14"/>
  <c r="L145" i="14"/>
  <c r="L148" i="14"/>
  <c r="L139" i="14"/>
  <c r="L144" i="14"/>
  <c r="L143" i="14"/>
  <c r="AF219" i="12" l="1"/>
  <c r="AU222" i="12" l="1"/>
  <c r="AQ222" i="12"/>
  <c r="AM222" i="12"/>
  <c r="AI222" i="12"/>
  <c r="W222" i="12"/>
  <c r="AU221" i="12"/>
  <c r="AQ221" i="12"/>
  <c r="BT140" i="14" s="1"/>
  <c r="BT141" i="14" s="1"/>
  <c r="AM221" i="12"/>
  <c r="AE221" i="12"/>
  <c r="AS219" i="12"/>
  <c r="AR219" i="12"/>
  <c r="AN219" i="12"/>
  <c r="AK219" i="12"/>
  <c r="AJ219" i="12"/>
  <c r="AG219" i="12"/>
  <c r="AC219" i="12"/>
  <c r="AB219" i="12"/>
  <c r="Y219" i="12"/>
  <c r="X219" i="12"/>
  <c r="U219" i="12"/>
  <c r="T219" i="12"/>
  <c r="Q219" i="12"/>
  <c r="P219" i="12"/>
  <c r="M219" i="12"/>
  <c r="L219" i="12"/>
  <c r="I219" i="12"/>
  <c r="H219" i="12"/>
  <c r="G219" i="12"/>
  <c r="E219" i="12"/>
  <c r="D219" i="12"/>
  <c r="AS213" i="12"/>
  <c r="AR213" i="12"/>
  <c r="AO213" i="12"/>
  <c r="AN213" i="12"/>
  <c r="AG213" i="12"/>
  <c r="AF213" i="12"/>
  <c r="AB213" i="12"/>
  <c r="Y213" i="12"/>
  <c r="X213" i="12"/>
  <c r="U213" i="12"/>
  <c r="T213" i="12"/>
  <c r="Q213" i="12"/>
  <c r="P213" i="12"/>
  <c r="M213" i="12"/>
  <c r="L213" i="12"/>
  <c r="I213" i="12"/>
  <c r="H213" i="12"/>
  <c r="E213" i="12"/>
  <c r="D213" i="12"/>
  <c r="AS212" i="12"/>
  <c r="AR212" i="12"/>
  <c r="AO212" i="12"/>
  <c r="AN212" i="12"/>
  <c r="AG212" i="12"/>
  <c r="AF212" i="12"/>
  <c r="AB212" i="12"/>
  <c r="Y212" i="12"/>
  <c r="X212" i="12"/>
  <c r="U212" i="12"/>
  <c r="T212" i="12"/>
  <c r="Q212" i="12"/>
  <c r="P212" i="12"/>
  <c r="M212" i="12"/>
  <c r="L212" i="12"/>
  <c r="I212" i="12"/>
  <c r="H212" i="12"/>
  <c r="E212" i="12"/>
  <c r="D212" i="12"/>
  <c r="AS209" i="12"/>
  <c r="AR209" i="12"/>
  <c r="AO209" i="12"/>
  <c r="AN209" i="12"/>
  <c r="AG209" i="12"/>
  <c r="AF209" i="12"/>
  <c r="AB209" i="12"/>
  <c r="Y209" i="12"/>
  <c r="X209" i="12"/>
  <c r="U209" i="12"/>
  <c r="T209" i="12"/>
  <c r="Q209" i="12"/>
  <c r="P209" i="12"/>
  <c r="M209" i="12"/>
  <c r="L209" i="12"/>
  <c r="I209" i="12"/>
  <c r="H209" i="12"/>
  <c r="E209" i="12"/>
  <c r="D209" i="12"/>
  <c r="AS208" i="12"/>
  <c r="AR208" i="12"/>
  <c r="AO208" i="12"/>
  <c r="AN208" i="12"/>
  <c r="AG208" i="12"/>
  <c r="AF208" i="12"/>
  <c r="AB208" i="12"/>
  <c r="Y208" i="12"/>
  <c r="X208" i="12"/>
  <c r="U208" i="12"/>
  <c r="T208" i="12"/>
  <c r="Q208" i="12"/>
  <c r="P208" i="12"/>
  <c r="M208" i="12"/>
  <c r="M210" i="12" s="1"/>
  <c r="L208" i="12"/>
  <c r="L210" i="12" s="1"/>
  <c r="I208" i="12"/>
  <c r="H208" i="12"/>
  <c r="E208" i="12"/>
  <c r="D208" i="12"/>
  <c r="AS205" i="12"/>
  <c r="AR205" i="12"/>
  <c r="AO205" i="12"/>
  <c r="AN205" i="12"/>
  <c r="AG205" i="12"/>
  <c r="AF205" i="12"/>
  <c r="AB205" i="12"/>
  <c r="Y205" i="12"/>
  <c r="X205" i="12"/>
  <c r="U205" i="12"/>
  <c r="T205" i="12"/>
  <c r="Q205" i="12"/>
  <c r="P205" i="12"/>
  <c r="M205" i="12"/>
  <c r="L205" i="12"/>
  <c r="I205" i="12"/>
  <c r="H205" i="12"/>
  <c r="E205" i="12"/>
  <c r="D205" i="12"/>
  <c r="AS204" i="12"/>
  <c r="AR204" i="12"/>
  <c r="AO204" i="12"/>
  <c r="AN204" i="12"/>
  <c r="AG204" i="12"/>
  <c r="AF204" i="12"/>
  <c r="AB204" i="12"/>
  <c r="Y204" i="12"/>
  <c r="X204" i="12"/>
  <c r="U204" i="12"/>
  <c r="T204" i="12"/>
  <c r="Q204" i="12"/>
  <c r="P204" i="12"/>
  <c r="M204" i="12"/>
  <c r="L204" i="12"/>
  <c r="I204" i="12"/>
  <c r="H204" i="12"/>
  <c r="E204" i="12"/>
  <c r="D204" i="12"/>
  <c r="AR200" i="12"/>
  <c r="AN200" i="12"/>
  <c r="AJ200" i="12"/>
  <c r="AF200" i="12"/>
  <c r="AB200" i="12"/>
  <c r="X200" i="12"/>
  <c r="T200" i="12"/>
  <c r="P200" i="12"/>
  <c r="L200" i="12"/>
  <c r="H200" i="12"/>
  <c r="D200" i="12"/>
  <c r="S195" i="12"/>
  <c r="AE194" i="12"/>
  <c r="AA194" i="12"/>
  <c r="AP191" i="12"/>
  <c r="AL191" i="12"/>
  <c r="AH191" i="12"/>
  <c r="AD191" i="12"/>
  <c r="Z191" i="12"/>
  <c r="V191" i="12"/>
  <c r="R191" i="12"/>
  <c r="N191" i="12"/>
  <c r="J191" i="12"/>
  <c r="F191" i="12"/>
  <c r="AQ195" i="12"/>
  <c r="AM195" i="12"/>
  <c r="AI195" i="12"/>
  <c r="AE195" i="12"/>
  <c r="W195" i="12"/>
  <c r="O195" i="12"/>
  <c r="K195" i="12"/>
  <c r="G195" i="12"/>
  <c r="AO189" i="12"/>
  <c r="AN189" i="12"/>
  <c r="AK189" i="12"/>
  <c r="AJ189" i="12"/>
  <c r="AG189" i="12"/>
  <c r="AF189" i="12"/>
  <c r="AC189" i="12"/>
  <c r="AB189" i="12"/>
  <c r="AO188" i="12"/>
  <c r="AO190" i="12" s="1"/>
  <c r="AN188" i="12"/>
  <c r="AK188" i="12"/>
  <c r="AJ188" i="12"/>
  <c r="AG188" i="12"/>
  <c r="AG190" i="12" s="1"/>
  <c r="AF188" i="12"/>
  <c r="AC188" i="12"/>
  <c r="AC190" i="12" s="1"/>
  <c r="AB188" i="12"/>
  <c r="AB190" i="12" s="1"/>
  <c r="AK186" i="12"/>
  <c r="AJ186" i="12"/>
  <c r="AG186" i="12"/>
  <c r="AF186" i="12"/>
  <c r="AC186" i="12"/>
  <c r="AB186" i="12"/>
  <c r="AL185" i="12"/>
  <c r="AH185" i="12"/>
  <c r="AD185" i="12"/>
  <c r="AP186" i="12"/>
  <c r="AL184" i="12"/>
  <c r="AL186" i="12" s="1"/>
  <c r="AH184" i="12"/>
  <c r="AD184" i="12"/>
  <c r="AO182" i="12"/>
  <c r="AN182" i="12"/>
  <c r="AK182" i="12"/>
  <c r="AJ182" i="12"/>
  <c r="AG182" i="12"/>
  <c r="AF182" i="12"/>
  <c r="AC182" i="12"/>
  <c r="AB182" i="12"/>
  <c r="AP182" i="12"/>
  <c r="AL181" i="12"/>
  <c r="AH181" i="12"/>
  <c r="AD181" i="12"/>
  <c r="AL180" i="12"/>
  <c r="AH180" i="12"/>
  <c r="AD180" i="12"/>
  <c r="AD182" i="12" s="1"/>
  <c r="AO178" i="12"/>
  <c r="AN178" i="12"/>
  <c r="AK178" i="12"/>
  <c r="AJ178" i="12"/>
  <c r="AG178" i="12"/>
  <c r="AF178" i="12"/>
  <c r="AC178" i="12"/>
  <c r="AB178" i="12"/>
  <c r="AP189" i="12"/>
  <c r="AL177" i="12"/>
  <c r="AH177" i="12"/>
  <c r="AD177" i="12"/>
  <c r="AD189" i="12" s="1"/>
  <c r="AP188" i="12"/>
  <c r="AL176" i="12"/>
  <c r="AH176" i="12"/>
  <c r="AH188" i="12" s="1"/>
  <c r="AD176" i="12"/>
  <c r="AD178" i="12" s="1"/>
  <c r="AR172" i="12"/>
  <c r="AN172" i="12"/>
  <c r="AJ172" i="12"/>
  <c r="AF172" i="12"/>
  <c r="AB172" i="12"/>
  <c r="X172" i="12"/>
  <c r="T172" i="12"/>
  <c r="P172" i="12"/>
  <c r="L172" i="12"/>
  <c r="H172" i="12"/>
  <c r="D172" i="12"/>
  <c r="AE166" i="12"/>
  <c r="AQ166" i="12"/>
  <c r="AM166" i="12"/>
  <c r="AI166" i="12"/>
  <c r="AR143" i="12"/>
  <c r="AN143" i="12"/>
  <c r="AJ143" i="12"/>
  <c r="AF143" i="12"/>
  <c r="AB143" i="12"/>
  <c r="X143" i="12"/>
  <c r="T143" i="12"/>
  <c r="P143" i="12"/>
  <c r="L143" i="12"/>
  <c r="H143" i="12"/>
  <c r="D143" i="12"/>
  <c r="AQ138" i="12"/>
  <c r="AM138" i="12"/>
  <c r="AI138" i="12"/>
  <c r="AA138" i="12"/>
  <c r="S138" i="12"/>
  <c r="O138" i="12"/>
  <c r="K138" i="12"/>
  <c r="G138" i="12"/>
  <c r="W138" i="12"/>
  <c r="AR115" i="12"/>
  <c r="AN115" i="12"/>
  <c r="AJ115" i="12"/>
  <c r="AF115" i="12"/>
  <c r="AB115" i="12"/>
  <c r="X115" i="12"/>
  <c r="T115" i="12"/>
  <c r="P115" i="12"/>
  <c r="L115" i="12"/>
  <c r="H115" i="12"/>
  <c r="D115" i="12"/>
  <c r="O110" i="12"/>
  <c r="AQ110" i="12"/>
  <c r="AM110" i="12"/>
  <c r="AI110" i="12"/>
  <c r="S110" i="12"/>
  <c r="K110" i="12"/>
  <c r="G110" i="12"/>
  <c r="AE110" i="12"/>
  <c r="W110" i="12"/>
  <c r="AR87" i="12"/>
  <c r="AN87" i="12"/>
  <c r="AJ87" i="12"/>
  <c r="AF87" i="12"/>
  <c r="AB87" i="12"/>
  <c r="X87" i="12"/>
  <c r="T87" i="12"/>
  <c r="P87" i="12"/>
  <c r="L87" i="12"/>
  <c r="H87" i="12"/>
  <c r="D87" i="12"/>
  <c r="W82" i="12"/>
  <c r="S82" i="12"/>
  <c r="O82" i="12"/>
  <c r="K82" i="12"/>
  <c r="G82" i="12"/>
  <c r="AM82" i="12"/>
  <c r="J204" i="12"/>
  <c r="AR59" i="12"/>
  <c r="AN59" i="12"/>
  <c r="AJ59" i="12"/>
  <c r="AF59" i="12"/>
  <c r="AB59" i="12"/>
  <c r="X59" i="12"/>
  <c r="T59" i="12"/>
  <c r="P59" i="12"/>
  <c r="L59" i="12"/>
  <c r="H59" i="12"/>
  <c r="D59" i="12"/>
  <c r="AP49" i="12"/>
  <c r="AL49" i="12"/>
  <c r="AH49" i="12"/>
  <c r="AD49" i="12"/>
  <c r="Z49" i="12"/>
  <c r="V49" i="12"/>
  <c r="R49" i="12"/>
  <c r="N49" i="12"/>
  <c r="J49" i="12"/>
  <c r="F49" i="12"/>
  <c r="AQ53" i="12"/>
  <c r="AM53" i="12"/>
  <c r="AI53" i="12"/>
  <c r="AO47" i="12"/>
  <c r="AN47" i="12"/>
  <c r="AK47" i="12"/>
  <c r="AJ47" i="12"/>
  <c r="AG47" i="12"/>
  <c r="AF47" i="12"/>
  <c r="AB47" i="12"/>
  <c r="Y47" i="12"/>
  <c r="X47" i="12"/>
  <c r="U47" i="12"/>
  <c r="T47" i="12"/>
  <c r="Q47" i="12"/>
  <c r="P47" i="12"/>
  <c r="M47" i="12"/>
  <c r="L47" i="12"/>
  <c r="I47" i="12"/>
  <c r="H47" i="12"/>
  <c r="E47" i="12"/>
  <c r="D47" i="12"/>
  <c r="AO46" i="12"/>
  <c r="AN46" i="12"/>
  <c r="AK46" i="12"/>
  <c r="AJ46" i="12"/>
  <c r="AG46" i="12"/>
  <c r="AF46" i="12"/>
  <c r="AB46" i="12"/>
  <c r="Y46" i="12"/>
  <c r="X46" i="12"/>
  <c r="U46" i="12"/>
  <c r="U48" i="12" s="1"/>
  <c r="T46" i="12"/>
  <c r="Q46" i="12"/>
  <c r="P46" i="12"/>
  <c r="M46" i="12"/>
  <c r="L46" i="12"/>
  <c r="I46" i="12"/>
  <c r="H46" i="12"/>
  <c r="E46" i="12"/>
  <c r="E48" i="12" s="1"/>
  <c r="D46" i="12"/>
  <c r="D48" i="12" s="1"/>
  <c r="AO44" i="12"/>
  <c r="AN44" i="12"/>
  <c r="AK44" i="12"/>
  <c r="AJ44" i="12"/>
  <c r="AG44" i="12"/>
  <c r="AF44" i="12"/>
  <c r="AB44" i="12"/>
  <c r="Y44" i="12"/>
  <c r="X44" i="12"/>
  <c r="U44" i="12"/>
  <c r="T44" i="12"/>
  <c r="S53" i="12"/>
  <c r="Q44" i="12"/>
  <c r="P44" i="12"/>
  <c r="O53" i="12"/>
  <c r="M44" i="12"/>
  <c r="L44" i="12"/>
  <c r="I44" i="12"/>
  <c r="H44" i="12"/>
  <c r="G44" i="12"/>
  <c r="G53" i="12" s="1"/>
  <c r="E44" i="12"/>
  <c r="D44" i="12"/>
  <c r="AL43" i="12"/>
  <c r="AH43" i="12"/>
  <c r="AC43" i="12"/>
  <c r="Z43" i="12"/>
  <c r="V43" i="12"/>
  <c r="R43" i="12"/>
  <c r="N43" i="12"/>
  <c r="J43" i="12"/>
  <c r="F43" i="12"/>
  <c r="AP44" i="12"/>
  <c r="AH42" i="12"/>
  <c r="AH44" i="12" s="1"/>
  <c r="AC42" i="12"/>
  <c r="AC44" i="12" s="1"/>
  <c r="Z42" i="12"/>
  <c r="Z44" i="12" s="1"/>
  <c r="V42" i="12"/>
  <c r="R42" i="12"/>
  <c r="N42" i="12"/>
  <c r="J42" i="12"/>
  <c r="J44" i="12" s="1"/>
  <c r="F42" i="12"/>
  <c r="F44" i="12" s="1"/>
  <c r="AO40" i="12"/>
  <c r="AN40" i="12"/>
  <c r="AK40" i="12"/>
  <c r="AJ40" i="12"/>
  <c r="AG40" i="12"/>
  <c r="AF40" i="12"/>
  <c r="AB40" i="12"/>
  <c r="Y40" i="12"/>
  <c r="X40" i="12"/>
  <c r="U40" i="12"/>
  <c r="T40" i="12"/>
  <c r="Q40" i="12"/>
  <c r="P40" i="12"/>
  <c r="M40" i="12"/>
  <c r="L40" i="12"/>
  <c r="I40" i="12"/>
  <c r="H40" i="12"/>
  <c r="E40" i="12"/>
  <c r="D40" i="12"/>
  <c r="AL39" i="12"/>
  <c r="AH39" i="12"/>
  <c r="AD39" i="12"/>
  <c r="Z39" i="12"/>
  <c r="V39" i="12"/>
  <c r="R39" i="12"/>
  <c r="N39" i="12"/>
  <c r="J39" i="12"/>
  <c r="F39" i="12"/>
  <c r="AP40" i="12"/>
  <c r="AL38" i="12"/>
  <c r="AH38" i="12"/>
  <c r="AC40" i="12"/>
  <c r="Z38" i="12"/>
  <c r="V38" i="12"/>
  <c r="V40" i="12" s="1"/>
  <c r="R38" i="12"/>
  <c r="N38" i="12"/>
  <c r="N40" i="12" s="1"/>
  <c r="J38" i="12"/>
  <c r="J40" i="12" s="1"/>
  <c r="F38" i="12"/>
  <c r="F40" i="12" s="1"/>
  <c r="AO36" i="12"/>
  <c r="AN36" i="12"/>
  <c r="AK36" i="12"/>
  <c r="AJ36" i="12"/>
  <c r="AG36" i="12"/>
  <c r="AF36" i="12"/>
  <c r="AE53" i="12"/>
  <c r="AB36" i="12"/>
  <c r="Y36" i="12"/>
  <c r="X36" i="12"/>
  <c r="W53" i="12"/>
  <c r="U36" i="12"/>
  <c r="T36" i="12"/>
  <c r="Q36" i="12"/>
  <c r="P36" i="12"/>
  <c r="M36" i="12"/>
  <c r="L36" i="12"/>
  <c r="I36" i="12"/>
  <c r="H36" i="12"/>
  <c r="E36" i="12"/>
  <c r="D36" i="12"/>
  <c r="AL35" i="12"/>
  <c r="AH35" i="12"/>
  <c r="AC35" i="12"/>
  <c r="AC205" i="12" s="1"/>
  <c r="Z35" i="12"/>
  <c r="V35" i="12"/>
  <c r="V47" i="12" s="1"/>
  <c r="R35" i="12"/>
  <c r="N35" i="12"/>
  <c r="N47" i="12" s="1"/>
  <c r="J35" i="12"/>
  <c r="F35" i="12"/>
  <c r="AP36" i="12"/>
  <c r="AL34" i="12"/>
  <c r="AH34" i="12"/>
  <c r="AC34" i="12"/>
  <c r="AD34" i="12" s="1"/>
  <c r="Z34" i="12"/>
  <c r="Z36" i="12" s="1"/>
  <c r="V34" i="12"/>
  <c r="R34" i="12"/>
  <c r="N34" i="12"/>
  <c r="J34" i="12"/>
  <c r="J36" i="12" s="1"/>
  <c r="F34" i="12"/>
  <c r="AR30" i="12"/>
  <c r="AN30" i="12"/>
  <c r="AJ30" i="12"/>
  <c r="AF30" i="12"/>
  <c r="AB30" i="12"/>
  <c r="X30" i="12"/>
  <c r="T30" i="12"/>
  <c r="P30" i="12"/>
  <c r="L30" i="12"/>
  <c r="H30" i="12"/>
  <c r="D30" i="12"/>
  <c r="O25" i="12"/>
  <c r="AA24" i="12"/>
  <c r="AT21" i="12"/>
  <c r="AP21" i="12"/>
  <c r="AL21" i="12"/>
  <c r="AH21" i="12"/>
  <c r="AD21" i="12"/>
  <c r="Z21" i="12"/>
  <c r="V21" i="12"/>
  <c r="R21" i="12"/>
  <c r="N21" i="12"/>
  <c r="J21" i="12"/>
  <c r="F21" i="12"/>
  <c r="AU25" i="12"/>
  <c r="AQ25" i="12"/>
  <c r="AM25" i="12"/>
  <c r="AI25" i="12"/>
  <c r="S25" i="12"/>
  <c r="K25" i="12"/>
  <c r="G25" i="12"/>
  <c r="AS19" i="12"/>
  <c r="AR19" i="12"/>
  <c r="AO19" i="12"/>
  <c r="AN19" i="12"/>
  <c r="AK19" i="12"/>
  <c r="AJ19" i="12"/>
  <c r="AG19" i="12"/>
  <c r="AF19" i="12"/>
  <c r="AB19" i="12"/>
  <c r="Y19" i="12"/>
  <c r="X19" i="12"/>
  <c r="U19" i="12"/>
  <c r="T19" i="12"/>
  <c r="Q19" i="12"/>
  <c r="P19" i="12"/>
  <c r="M19" i="12"/>
  <c r="L19" i="12"/>
  <c r="I19" i="12"/>
  <c r="H19" i="12"/>
  <c r="E19" i="12"/>
  <c r="D19" i="12"/>
  <c r="AS18" i="12"/>
  <c r="AR18" i="12"/>
  <c r="AO18" i="12"/>
  <c r="AN18" i="12"/>
  <c r="AK18" i="12"/>
  <c r="AJ18" i="12"/>
  <c r="AG18" i="12"/>
  <c r="AG20" i="12" s="1"/>
  <c r="AF18" i="12"/>
  <c r="AB18" i="12"/>
  <c r="Y18" i="12"/>
  <c r="X18" i="12"/>
  <c r="U18" i="12"/>
  <c r="T18" i="12"/>
  <c r="T20" i="12" s="1"/>
  <c r="Q18" i="12"/>
  <c r="Q20" i="12" s="1"/>
  <c r="P18" i="12"/>
  <c r="M18" i="12"/>
  <c r="L18" i="12"/>
  <c r="I18" i="12"/>
  <c r="H18" i="12"/>
  <c r="E18" i="12"/>
  <c r="D18" i="12"/>
  <c r="D20" i="12" s="1"/>
  <c r="AS16" i="12"/>
  <c r="AR16" i="12"/>
  <c r="AO16" i="12"/>
  <c r="AN16" i="12"/>
  <c r="AK16" i="12"/>
  <c r="AJ16" i="12"/>
  <c r="AG16" i="12"/>
  <c r="AF16" i="12"/>
  <c r="AE25" i="12"/>
  <c r="AB16" i="12"/>
  <c r="Y16" i="12"/>
  <c r="X16" i="12"/>
  <c r="U16" i="12"/>
  <c r="T16" i="12"/>
  <c r="Q16" i="12"/>
  <c r="P16" i="12"/>
  <c r="M16" i="12"/>
  <c r="L16" i="12"/>
  <c r="I16" i="12"/>
  <c r="H16" i="12"/>
  <c r="E16" i="12"/>
  <c r="D16" i="12"/>
  <c r="AT15" i="12"/>
  <c r="AL15" i="12"/>
  <c r="AH15" i="12"/>
  <c r="AC15" i="12"/>
  <c r="AD15" i="12" s="1"/>
  <c r="Z15" i="12"/>
  <c r="V15" i="12"/>
  <c r="R15" i="12"/>
  <c r="N15" i="12"/>
  <c r="J15" i="12"/>
  <c r="F15" i="12"/>
  <c r="AT14" i="12"/>
  <c r="AL14" i="12"/>
  <c r="AL212" i="12" s="1"/>
  <c r="AH14" i="12"/>
  <c r="AC14" i="12"/>
  <c r="AC16" i="12" s="1"/>
  <c r="Z14" i="12"/>
  <c r="Z16" i="12" s="1"/>
  <c r="V14" i="12"/>
  <c r="V16" i="12" s="1"/>
  <c r="R14" i="12"/>
  <c r="N14" i="12"/>
  <c r="J14" i="12"/>
  <c r="F14" i="12"/>
  <c r="AS12" i="12"/>
  <c r="AR12" i="12"/>
  <c r="AO12" i="12"/>
  <c r="AN12" i="12"/>
  <c r="AK12" i="12"/>
  <c r="AJ12" i="12"/>
  <c r="AG12" i="12"/>
  <c r="AF12" i="12"/>
  <c r="AB12" i="12"/>
  <c r="Y12" i="12"/>
  <c r="X12" i="12"/>
  <c r="W25" i="12"/>
  <c r="U12" i="12"/>
  <c r="T12" i="12"/>
  <c r="Q12" i="12"/>
  <c r="P12" i="12"/>
  <c r="M12" i="12"/>
  <c r="L12" i="12"/>
  <c r="I12" i="12"/>
  <c r="H12" i="12"/>
  <c r="E12" i="12"/>
  <c r="D12" i="12"/>
  <c r="AT11" i="12"/>
  <c r="AL11" i="12"/>
  <c r="AL209" i="12" s="1"/>
  <c r="AH11" i="12"/>
  <c r="AD11" i="12"/>
  <c r="Z11" i="12"/>
  <c r="V11" i="12"/>
  <c r="R11" i="12"/>
  <c r="N11" i="12"/>
  <c r="J11" i="12"/>
  <c r="F11" i="12"/>
  <c r="AT10" i="12"/>
  <c r="AL10" i="12"/>
  <c r="AH10" i="12"/>
  <c r="AC12" i="12"/>
  <c r="Z10" i="12"/>
  <c r="V10" i="12"/>
  <c r="R10" i="12"/>
  <c r="N10" i="12"/>
  <c r="J10" i="12"/>
  <c r="J12" i="12" s="1"/>
  <c r="F10" i="12"/>
  <c r="AS8" i="12"/>
  <c r="AR8" i="12"/>
  <c r="AO8" i="12"/>
  <c r="AN8" i="12"/>
  <c r="AK8" i="12"/>
  <c r="AJ8" i="12"/>
  <c r="AG8" i="12"/>
  <c r="AF8" i="12"/>
  <c r="AC8" i="12"/>
  <c r="AB8" i="12"/>
  <c r="Y8" i="12"/>
  <c r="X8" i="12"/>
  <c r="U8" i="12"/>
  <c r="T8" i="12"/>
  <c r="Q8" i="12"/>
  <c r="P8" i="12"/>
  <c r="M8" i="12"/>
  <c r="L8" i="12"/>
  <c r="I8" i="12"/>
  <c r="H8" i="12"/>
  <c r="E8" i="12"/>
  <c r="D8" i="12"/>
  <c r="AT7" i="12"/>
  <c r="AP7" i="12"/>
  <c r="AP19" i="12" s="1"/>
  <c r="AL7" i="12"/>
  <c r="AH7" i="12"/>
  <c r="AD7" i="12"/>
  <c r="Z7" i="12"/>
  <c r="V7" i="12"/>
  <c r="R7" i="12"/>
  <c r="N7" i="12"/>
  <c r="N19" i="12" s="1"/>
  <c r="J7" i="12"/>
  <c r="J19" i="12" s="1"/>
  <c r="F7" i="12"/>
  <c r="AT6" i="12"/>
  <c r="AP6" i="12"/>
  <c r="AL6" i="12"/>
  <c r="AH6" i="12"/>
  <c r="AD6" i="12"/>
  <c r="AD8" i="12" s="1"/>
  <c r="Z6" i="12"/>
  <c r="Z8" i="12" s="1"/>
  <c r="V6" i="12"/>
  <c r="V8" i="12" s="1"/>
  <c r="R6" i="12"/>
  <c r="N6" i="12"/>
  <c r="N8" i="12" s="1"/>
  <c r="J6" i="12"/>
  <c r="F6" i="12"/>
  <c r="AT18" i="12" l="1"/>
  <c r="AT19" i="12"/>
  <c r="AN190" i="12"/>
  <c r="AN48" i="12"/>
  <c r="AL205" i="12"/>
  <c r="AL204" i="12"/>
  <c r="AJ20" i="12"/>
  <c r="AL213" i="12"/>
  <c r="AL208" i="12"/>
  <c r="E214" i="12"/>
  <c r="L217" i="12"/>
  <c r="E216" i="12"/>
  <c r="L216" i="12"/>
  <c r="I214" i="12"/>
  <c r="L214" i="12"/>
  <c r="M214" i="12"/>
  <c r="J209" i="12"/>
  <c r="E20" i="12"/>
  <c r="U20" i="12"/>
  <c r="F46" i="12"/>
  <c r="H48" i="12"/>
  <c r="X48" i="12"/>
  <c r="AH182" i="12"/>
  <c r="H206" i="12"/>
  <c r="D210" i="12"/>
  <c r="R16" i="12"/>
  <c r="AO20" i="12"/>
  <c r="I48" i="12"/>
  <c r="Y48" i="12"/>
  <c r="AH189" i="12"/>
  <c r="X20" i="12"/>
  <c r="V19" i="12"/>
  <c r="R12" i="12"/>
  <c r="I20" i="12"/>
  <c r="Y20" i="12"/>
  <c r="AR20" i="12"/>
  <c r="AR218" i="12" s="1"/>
  <c r="N36" i="12"/>
  <c r="N44" i="12"/>
  <c r="AB48" i="12"/>
  <c r="Q48" i="12"/>
  <c r="H210" i="12"/>
  <c r="F8" i="12"/>
  <c r="Z19" i="12"/>
  <c r="V12" i="12"/>
  <c r="F16" i="12"/>
  <c r="L20" i="12"/>
  <c r="AB20" i="12"/>
  <c r="AS20" i="12"/>
  <c r="AS218" i="12" s="1"/>
  <c r="R36" i="12"/>
  <c r="F47" i="12"/>
  <c r="R44" i="12"/>
  <c r="M48" i="12"/>
  <c r="Z209" i="12"/>
  <c r="AD186" i="12"/>
  <c r="H20" i="12"/>
  <c r="Z12" i="12"/>
  <c r="AF20" i="12"/>
  <c r="V36" i="12"/>
  <c r="J47" i="12"/>
  <c r="P48" i="12"/>
  <c r="AH186" i="12"/>
  <c r="E217" i="12"/>
  <c r="E218" i="12" s="1"/>
  <c r="AL189" i="12"/>
  <c r="AJ190" i="12"/>
  <c r="AK190" i="12"/>
  <c r="AK48" i="12"/>
  <c r="AL36" i="12"/>
  <c r="AK20" i="12"/>
  <c r="AL44" i="12"/>
  <c r="AL47" i="12"/>
  <c r="AL18" i="12"/>
  <c r="AL16" i="12"/>
  <c r="P20" i="12"/>
  <c r="J8" i="12"/>
  <c r="AP8" i="12"/>
  <c r="AL8" i="12"/>
  <c r="N12" i="12"/>
  <c r="AT12" i="12"/>
  <c r="N18" i="12"/>
  <c r="M20" i="12"/>
  <c r="AA25" i="12"/>
  <c r="AC36" i="12"/>
  <c r="Z46" i="12"/>
  <c r="L48" i="12"/>
  <c r="U218" i="12"/>
  <c r="V209" i="12"/>
  <c r="R213" i="12"/>
  <c r="AP178" i="12"/>
  <c r="M217" i="12"/>
  <c r="R18" i="12"/>
  <c r="F19" i="12"/>
  <c r="AL19" i="12"/>
  <c r="T210" i="12"/>
  <c r="G223" i="12"/>
  <c r="P214" i="12"/>
  <c r="L206" i="12"/>
  <c r="E210" i="12"/>
  <c r="AL46" i="12"/>
  <c r="AK210" i="12"/>
  <c r="AJ48" i="12"/>
  <c r="K53" i="12"/>
  <c r="AA82" i="12"/>
  <c r="P218" i="12"/>
  <c r="AH204" i="12"/>
  <c r="AL178" i="12"/>
  <c r="AH178" i="12"/>
  <c r="AL182" i="12"/>
  <c r="M216" i="12"/>
  <c r="D217" i="12"/>
  <c r="Z47" i="12"/>
  <c r="R19" i="12"/>
  <c r="T48" i="12"/>
  <c r="AK217" i="12"/>
  <c r="G166" i="12"/>
  <c r="I210" i="12"/>
  <c r="D214" i="12"/>
  <c r="F36" i="12"/>
  <c r="AT8" i="12"/>
  <c r="AH12" i="12"/>
  <c r="V18" i="12"/>
  <c r="V20" i="12" s="1"/>
  <c r="AN20" i="12"/>
  <c r="V46" i="12"/>
  <c r="AP47" i="12"/>
  <c r="U217" i="12"/>
  <c r="N205" i="12"/>
  <c r="F208" i="12"/>
  <c r="AH214" i="12"/>
  <c r="X210" i="12"/>
  <c r="AE222" i="12"/>
  <c r="F12" i="12"/>
  <c r="AL12" i="12"/>
  <c r="J16" i="12"/>
  <c r="AP16" i="12"/>
  <c r="AP214" i="12" s="1"/>
  <c r="R40" i="12"/>
  <c r="Q216" i="12"/>
  <c r="AO48" i="12"/>
  <c r="AJ210" i="12"/>
  <c r="V208" i="12"/>
  <c r="Y210" i="12"/>
  <c r="I217" i="12"/>
  <c r="AP12" i="12"/>
  <c r="N16" i="12"/>
  <c r="AT16" i="12"/>
  <c r="AT20" i="12" s="1"/>
  <c r="R47" i="12"/>
  <c r="V44" i="12"/>
  <c r="V214" i="12" s="1"/>
  <c r="AP209" i="12"/>
  <c r="Q218" i="12"/>
  <c r="S166" i="12"/>
  <c r="AH16" i="12"/>
  <c r="AF48" i="12"/>
  <c r="AG216" i="12"/>
  <c r="AH46" i="12"/>
  <c r="AH40" i="12"/>
  <c r="AH47" i="12"/>
  <c r="AH18" i="12"/>
  <c r="AH19" i="12"/>
  <c r="AF217" i="12"/>
  <c r="AD38" i="12"/>
  <c r="AD40" i="12" s="1"/>
  <c r="AC47" i="12"/>
  <c r="N20" i="12"/>
  <c r="Z20" i="12"/>
  <c r="AD19" i="12"/>
  <c r="V48" i="12"/>
  <c r="AH36" i="12"/>
  <c r="AL40" i="12"/>
  <c r="AO206" i="12"/>
  <c r="R210" i="12"/>
  <c r="AH212" i="12"/>
  <c r="O223" i="12"/>
  <c r="AF214" i="12"/>
  <c r="AB216" i="12"/>
  <c r="AB217" i="12"/>
  <c r="F219" i="12"/>
  <c r="F18" i="12"/>
  <c r="F20" i="12" s="1"/>
  <c r="AP208" i="12"/>
  <c r="AP213" i="12"/>
  <c r="AG214" i="12"/>
  <c r="J219" i="12"/>
  <c r="AD42" i="12"/>
  <c r="AD43" i="12"/>
  <c r="K223" i="12"/>
  <c r="X206" i="12"/>
  <c r="AS206" i="12"/>
  <c r="AT208" i="12"/>
  <c r="U210" i="12"/>
  <c r="AO210" i="12"/>
  <c r="AP212" i="12"/>
  <c r="AT213" i="12"/>
  <c r="Q214" i="12"/>
  <c r="AG217" i="12"/>
  <c r="N219" i="12"/>
  <c r="V204" i="12"/>
  <c r="Z205" i="12"/>
  <c r="AR206" i="12"/>
  <c r="AN210" i="12"/>
  <c r="Z40" i="12"/>
  <c r="AP46" i="12"/>
  <c r="R217" i="12"/>
  <c r="AE138" i="12"/>
  <c r="Y206" i="12"/>
  <c r="F209" i="12"/>
  <c r="AR210" i="12"/>
  <c r="AJ214" i="12"/>
  <c r="AJ216" i="12"/>
  <c r="AJ217" i="12"/>
  <c r="Y218" i="12"/>
  <c r="R219" i="12"/>
  <c r="AM223" i="12"/>
  <c r="AT209" i="12"/>
  <c r="AC19" i="12"/>
  <c r="J46" i="12"/>
  <c r="J48" i="12" s="1"/>
  <c r="R8" i="12"/>
  <c r="AH8" i="12"/>
  <c r="AH20" i="12" s="1"/>
  <c r="J18" i="12"/>
  <c r="J20" i="12" s="1"/>
  <c r="Z18" i="12"/>
  <c r="AP18" i="12"/>
  <c r="AB206" i="12"/>
  <c r="AS210" i="12"/>
  <c r="F213" i="12"/>
  <c r="T214" i="12"/>
  <c r="AK214" i="12"/>
  <c r="AK216" i="12"/>
  <c r="V219" i="12"/>
  <c r="AF190" i="12"/>
  <c r="AC46" i="12"/>
  <c r="AG206" i="12"/>
  <c r="AA222" i="12"/>
  <c r="AP205" i="12"/>
  <c r="AC206" i="12"/>
  <c r="J208" i="12"/>
  <c r="N209" i="12"/>
  <c r="J213" i="12"/>
  <c r="U214" i="12"/>
  <c r="AN214" i="12"/>
  <c r="P217" i="12"/>
  <c r="AN217" i="12"/>
  <c r="Z219" i="12"/>
  <c r="AP204" i="12"/>
  <c r="AQ82" i="12"/>
  <c r="AQ223" i="12" s="1"/>
  <c r="AC18" i="12"/>
  <c r="AD35" i="12"/>
  <c r="AD36" i="12" s="1"/>
  <c r="N46" i="12"/>
  <c r="N48" i="12" s="1"/>
  <c r="AA110" i="12"/>
  <c r="AT217" i="12"/>
  <c r="P206" i="12"/>
  <c r="AF206" i="12"/>
  <c r="N208" i="12"/>
  <c r="R209" i="12"/>
  <c r="AB210" i="12"/>
  <c r="J212" i="12"/>
  <c r="N213" i="12"/>
  <c r="AO214" i="12"/>
  <c r="AN216" i="12"/>
  <c r="Q217" i="12"/>
  <c r="AO217" i="12"/>
  <c r="AD219" i="12"/>
  <c r="T216" i="12"/>
  <c r="AO216" i="12"/>
  <c r="AH219" i="12"/>
  <c r="H214" i="12"/>
  <c r="Q206" i="12"/>
  <c r="N212" i="12"/>
  <c r="AD14" i="12"/>
  <c r="AD16" i="12" s="1"/>
  <c r="X218" i="12"/>
  <c r="AJ206" i="12"/>
  <c r="V210" i="12"/>
  <c r="AF210" i="12"/>
  <c r="R214" i="12"/>
  <c r="V213" i="12"/>
  <c r="X214" i="12"/>
  <c r="AR214" i="12"/>
  <c r="AR216" i="12"/>
  <c r="AR217" i="12"/>
  <c r="AL219" i="12"/>
  <c r="D216" i="12"/>
  <c r="AT205" i="12"/>
  <c r="AD10" i="12"/>
  <c r="AD12" i="12" s="1"/>
  <c r="R46" i="12"/>
  <c r="AG48" i="12"/>
  <c r="AI82" i="12"/>
  <c r="AI223" i="12" s="1"/>
  <c r="AE82" i="12"/>
  <c r="F204" i="12"/>
  <c r="J205" i="12"/>
  <c r="AK206" i="12"/>
  <c r="Z208" i="12"/>
  <c r="AD209" i="12"/>
  <c r="AG210" i="12"/>
  <c r="V212" i="12"/>
  <c r="Z213" i="12"/>
  <c r="K166" i="12"/>
  <c r="Y214" i="12"/>
  <c r="AS214" i="12"/>
  <c r="AS216" i="12"/>
  <c r="X217" i="12"/>
  <c r="AS217" i="12"/>
  <c r="AP219" i="12"/>
  <c r="Z204" i="12"/>
  <c r="R208" i="12"/>
  <c r="T206" i="12"/>
  <c r="AC208" i="12"/>
  <c r="AH209" i="12"/>
  <c r="P210" i="12"/>
  <c r="Z212" i="12"/>
  <c r="AC213" i="12"/>
  <c r="AB214" i="12"/>
  <c r="X216" i="12"/>
  <c r="Y217" i="12"/>
  <c r="AT219" i="12"/>
  <c r="AH190" i="12"/>
  <c r="AP190" i="12"/>
  <c r="H217" i="12"/>
  <c r="U206" i="12"/>
  <c r="AN206" i="12"/>
  <c r="AH208" i="12"/>
  <c r="Q210" i="12"/>
  <c r="AC212" i="12"/>
  <c r="AC214" i="12"/>
  <c r="AH213" i="12"/>
  <c r="Y216" i="12"/>
  <c r="Z217" i="12"/>
  <c r="AU223" i="12"/>
  <c r="I206" i="12"/>
  <c r="I216" i="12"/>
  <c r="AD205" i="12"/>
  <c r="M206" i="12"/>
  <c r="R212" i="12"/>
  <c r="P216" i="12"/>
  <c r="AF216" i="12"/>
  <c r="T217" i="12"/>
  <c r="S223" i="12"/>
  <c r="D206" i="12"/>
  <c r="AC209" i="12"/>
  <c r="F212" i="12"/>
  <c r="F214" i="12" s="1"/>
  <c r="O166" i="12"/>
  <c r="AD188" i="12"/>
  <c r="AD190" i="12" s="1"/>
  <c r="AC204" i="12"/>
  <c r="E206" i="12"/>
  <c r="U216" i="12"/>
  <c r="AC210" i="12"/>
  <c r="AB218" i="12"/>
  <c r="N204" i="12"/>
  <c r="AT204" i="12"/>
  <c r="R205" i="12"/>
  <c r="AH205" i="12"/>
  <c r="V206" i="12"/>
  <c r="AA166" i="12"/>
  <c r="H216" i="12"/>
  <c r="R204" i="12"/>
  <c r="F205" i="12"/>
  <c r="V205" i="12"/>
  <c r="AT212" i="12"/>
  <c r="AL188" i="12"/>
  <c r="AL190" i="12" s="1"/>
  <c r="AD204" i="12"/>
  <c r="AN218" i="12" l="1"/>
  <c r="AL48" i="12"/>
  <c r="L218" i="12"/>
  <c r="I218" i="12"/>
  <c r="J210" i="12"/>
  <c r="M218" i="12"/>
  <c r="F210" i="12"/>
  <c r="D218" i="12"/>
  <c r="J206" i="12"/>
  <c r="J217" i="12"/>
  <c r="F217" i="12"/>
  <c r="AP48" i="12"/>
  <c r="AH210" i="12"/>
  <c r="R48" i="12"/>
  <c r="T218" i="12"/>
  <c r="AT214" i="12"/>
  <c r="AT206" i="12"/>
  <c r="H218" i="12"/>
  <c r="AP217" i="12"/>
  <c r="F48" i="12"/>
  <c r="AK218" i="12"/>
  <c r="AL217" i="12"/>
  <c r="AL214" i="12"/>
  <c r="AJ218" i="12"/>
  <c r="AL210" i="12"/>
  <c r="AE223" i="12"/>
  <c r="AO218" i="12"/>
  <c r="Z214" i="12"/>
  <c r="AL206" i="12"/>
  <c r="AL216" i="12"/>
  <c r="AL20" i="12"/>
  <c r="R206" i="12"/>
  <c r="Z48" i="12"/>
  <c r="AP210" i="12"/>
  <c r="V217" i="12"/>
  <c r="AH206" i="12"/>
  <c r="AP206" i="12"/>
  <c r="AH48" i="12"/>
  <c r="AP20" i="12"/>
  <c r="R20" i="12"/>
  <c r="AT210" i="12"/>
  <c r="N217" i="12"/>
  <c r="AC48" i="12"/>
  <c r="AF218" i="12"/>
  <c r="AG218" i="12"/>
  <c r="AC217" i="12"/>
  <c r="AD213" i="12"/>
  <c r="AD44" i="12"/>
  <c r="AT218" i="12"/>
  <c r="AP216" i="12"/>
  <c r="AD46" i="12"/>
  <c r="N216" i="12"/>
  <c r="N206" i="12"/>
  <c r="AD208" i="12"/>
  <c r="AD210" i="12"/>
  <c r="J216" i="12"/>
  <c r="V218" i="12"/>
  <c r="V216" i="12"/>
  <c r="AD212" i="12"/>
  <c r="AC216" i="12"/>
  <c r="AD20" i="12"/>
  <c r="W166" i="12"/>
  <c r="W223" i="12"/>
  <c r="J214" i="12"/>
  <c r="Z206" i="12"/>
  <c r="Z216" i="12"/>
  <c r="Z210" i="12"/>
  <c r="N214" i="12"/>
  <c r="AH217" i="12"/>
  <c r="R216" i="12"/>
  <c r="F216" i="12"/>
  <c r="F206" i="12"/>
  <c r="AT216" i="12"/>
  <c r="AD18" i="12"/>
  <c r="N210" i="12"/>
  <c r="AD47" i="12"/>
  <c r="AH216" i="12"/>
  <c r="AC20" i="12"/>
  <c r="AL218" i="12" l="1"/>
  <c r="F218" i="12"/>
  <c r="AP218" i="12"/>
  <c r="Z218" i="12"/>
  <c r="AH218" i="12"/>
  <c r="N218" i="12"/>
  <c r="AD206" i="12"/>
  <c r="AC218" i="12"/>
  <c r="J218" i="12"/>
  <c r="R218" i="12"/>
  <c r="AD217" i="12"/>
  <c r="AD48" i="12"/>
  <c r="AD214" i="12"/>
  <c r="AD216" i="12"/>
  <c r="AD218" i="12" l="1"/>
  <c r="AA209" i="12" l="1"/>
  <c r="AA210" i="12" s="1"/>
  <c r="AA40" i="12"/>
  <c r="AA47" i="12"/>
  <c r="AA48" i="12" s="1"/>
  <c r="AA53" i="12" s="1"/>
  <c r="AA223" i="12" s="1"/>
  <c r="AA217" i="12" l="1"/>
  <c r="AA218" i="12" s="1"/>
</calcChain>
</file>

<file path=xl/sharedStrings.xml><?xml version="1.0" encoding="utf-8"?>
<sst xmlns="http://schemas.openxmlformats.org/spreadsheetml/2006/main" count="2289" uniqueCount="341">
  <si>
    <t>x</t>
  </si>
  <si>
    <t>2015-2016</t>
  </si>
  <si>
    <t>Unduplicated Headcount</t>
  </si>
  <si>
    <t>Student Credit Hours</t>
  </si>
  <si>
    <t>FTE</t>
  </si>
  <si>
    <t>Student Level</t>
  </si>
  <si>
    <t>Residency</t>
  </si>
  <si>
    <t>Undergraduate</t>
  </si>
  <si>
    <t>Resident</t>
  </si>
  <si>
    <t>Non-Resident</t>
  </si>
  <si>
    <t>Subtotal</t>
  </si>
  <si>
    <t>Graduate</t>
  </si>
  <si>
    <t>First-Professional</t>
  </si>
  <si>
    <t>Total</t>
  </si>
  <si>
    <t>College of Medicine</t>
  </si>
  <si>
    <t>Interns &amp; Res. (UNMC)</t>
  </si>
  <si>
    <t>College of Nursing</t>
  </si>
  <si>
    <t>College of Pharmacy</t>
  </si>
  <si>
    <t>College of Dentistry</t>
  </si>
  <si>
    <t>College of Allied Health</t>
  </si>
  <si>
    <t>College of Public Health</t>
  </si>
  <si>
    <t>Gross Tuition</t>
  </si>
  <si>
    <t>Less:</t>
  </si>
  <si>
    <t>Net Tuition Income</t>
  </si>
  <si>
    <t>RATE/UNIT</t>
  </si>
  <si>
    <t>TOTAL REVENUE</t>
  </si>
  <si>
    <t>TYPE OF FEE</t>
  </si>
  <si>
    <t>REVENUE CLASS</t>
  </si>
  <si>
    <t>PCS SUB. PRO.</t>
  </si>
  <si>
    <t>Rate</t>
  </si>
  <si>
    <t>Unit</t>
  </si>
  <si>
    <t>MANDATORY FEES</t>
  </si>
  <si>
    <t>SEM</t>
  </si>
  <si>
    <t>Unres. Aux. Oper.</t>
  </si>
  <si>
    <t>Unres. Gen.</t>
  </si>
  <si>
    <t>ONCE</t>
  </si>
  <si>
    <t>OTHER FEES AND CHARGES</t>
  </si>
  <si>
    <t>UnresAuxOprt</t>
  </si>
  <si>
    <t>EACH</t>
  </si>
  <si>
    <t>Other</t>
  </si>
  <si>
    <t>FUNDING BY SOURCE</t>
  </si>
  <si>
    <t>PROGRAM DESCRIPTION</t>
  </si>
  <si>
    <t>Headcount</t>
  </si>
  <si>
    <t>Total Value</t>
  </si>
  <si>
    <t>Average Award</t>
  </si>
  <si>
    <t>Tuition Waivers</t>
  </si>
  <si>
    <t>Institution</t>
  </si>
  <si>
    <t>State</t>
  </si>
  <si>
    <t>Federal</t>
  </si>
  <si>
    <t>Amount to Nebraska Residents</t>
  </si>
  <si>
    <t>ACADEMIC AID</t>
  </si>
  <si>
    <t>(1) Need Based</t>
  </si>
  <si>
    <t>Federal Direct Subsidized</t>
  </si>
  <si>
    <t>Federal Pell Grant</t>
  </si>
  <si>
    <t>Federal Supplemental Education Opportunity Grant (FSEOG)</t>
  </si>
  <si>
    <t>Foundation Aid (need-based)</t>
  </si>
  <si>
    <t>Nebraska Opportunity Grant (NOG)</t>
  </si>
  <si>
    <t xml:space="preserve">    Subtotal Need Based</t>
  </si>
  <si>
    <t>(2) Ability Based</t>
  </si>
  <si>
    <t>Foundation Aid (merit-based)</t>
  </si>
  <si>
    <t xml:space="preserve">    Subtotal Ability Based</t>
  </si>
  <si>
    <t>(3) Membership Based</t>
  </si>
  <si>
    <t xml:space="preserve">    Subtotal Membership Based</t>
  </si>
  <si>
    <t xml:space="preserve">    TOTAL ACADEMIC AID</t>
  </si>
  <si>
    <t>AID FOR SERVICE</t>
  </si>
  <si>
    <t>Graduate Assistants</t>
  </si>
  <si>
    <t xml:space="preserve">    TOTAL AID FOR SERVICE</t>
  </si>
  <si>
    <t>Other Aid</t>
  </si>
  <si>
    <t>Federal Direct Unsubsidized</t>
  </si>
  <si>
    <t>Federal PLUS</t>
  </si>
  <si>
    <t xml:space="preserve">    Subtotal Other Aid</t>
  </si>
  <si>
    <t xml:space="preserve">    GRAND TOTAL ACADEMIC AID, AID FOR SERVICE, OTHER AID</t>
  </si>
  <si>
    <t xml:space="preserve"> 1.  Total institutional headcount</t>
  </si>
  <si>
    <t xml:space="preserve"> 2.  Number of students participating in financial aid programs</t>
  </si>
  <si>
    <t xml:space="preserve"> 3.  Number of students receiving more than one aid</t>
  </si>
  <si>
    <t xml:space="preserve"> 4.  % of total institutional headcount receiving aid</t>
  </si>
  <si>
    <t xml:space="preserve"> 5.  Number of Nebraska residents receiving financial aid</t>
  </si>
  <si>
    <t xml:space="preserve"> 6.  % participation by Nebraska residents</t>
  </si>
  <si>
    <t xml:space="preserve"> 8.  Amount received by Nebraska residents</t>
  </si>
  <si>
    <t>DATA CALCULATIONS</t>
  </si>
  <si>
    <t>Facility Fee</t>
  </si>
  <si>
    <t>Library Fee</t>
  </si>
  <si>
    <t>Student Activity</t>
  </si>
  <si>
    <t>Student Health Services</t>
  </si>
  <si>
    <t>COM Anatomy and Neuroanatomy Fee (First Year Only)</t>
  </si>
  <si>
    <t>CON ATI Learning System - Levels 01-05</t>
  </si>
  <si>
    <t xml:space="preserve">CAHP ExamSoft Fee </t>
  </si>
  <si>
    <t>Technology Fee - PA1 students</t>
  </si>
  <si>
    <t>Technology Fee - PT1 students</t>
  </si>
  <si>
    <t>Technology Fee - all CAHP except PT1, PA1, CLS</t>
  </si>
  <si>
    <t>Technology Fee - All Masters in Medical Anatomy</t>
  </si>
  <si>
    <t>Pharmacy Student - General Program Fee</t>
  </si>
  <si>
    <t>Cytotechnology Virtual Microscope</t>
  </si>
  <si>
    <t>Cytotechnology Microscope Rental</t>
  </si>
  <si>
    <t xml:space="preserve">Clinical Lab Science Microscope Rental </t>
  </si>
  <si>
    <t>Clinical Lab Science Lab Supplies</t>
  </si>
  <si>
    <t>Application Fee: Grad Studies</t>
  </si>
  <si>
    <t>ProQuest Submission - Dissertation</t>
  </si>
  <si>
    <t>ProQuest Submission - Master's Thesis</t>
  </si>
  <si>
    <t>Abstract Fee</t>
  </si>
  <si>
    <t>Add/Drop</t>
  </si>
  <si>
    <t>Admissions Fee</t>
  </si>
  <si>
    <t>Application Fee: College of Dentistry DDS-DHY</t>
  </si>
  <si>
    <t>Application Fee: COPH</t>
  </si>
  <si>
    <t>Application Fee: Medicine</t>
  </si>
  <si>
    <t>Application Fee: Res\Nonresident</t>
  </si>
  <si>
    <t>Application Fee: CAHP</t>
  </si>
  <si>
    <t>Background Check Fee</t>
  </si>
  <si>
    <t>Returned Check Charge</t>
  </si>
  <si>
    <t>Copyright</t>
  </si>
  <si>
    <t>Dental Hygienists: Books &amp; Instruments DH-3</t>
  </si>
  <si>
    <t>Dental Hygienists: Books &amp; Instruments DH-4</t>
  </si>
  <si>
    <t>Dental Hygienists: Equipment Replacement DH</t>
  </si>
  <si>
    <t>Dental Students: Books &amp; Instruments D-1</t>
  </si>
  <si>
    <t>Dental Students: Books &amp; Instruments D-2,3,4</t>
  </si>
  <si>
    <t>Dental Students: Books &amp; Instuments D-1</t>
  </si>
  <si>
    <t>Dental Students: Books &amp; Instuments D-2,3,4</t>
  </si>
  <si>
    <t>Dental Students: Equipment Replacement DDS</t>
  </si>
  <si>
    <t>Disenrollment Fee</t>
  </si>
  <si>
    <t>Distributive Learning Fee: COPH</t>
  </si>
  <si>
    <t>Distributive Learning Fee: Grad-Nursing</t>
  </si>
  <si>
    <t>Distributive Learning Fee: Undergrad-Nursing</t>
  </si>
  <si>
    <t>Distributive Learning Fee: Undergrad-SAHP</t>
  </si>
  <si>
    <t>Application Fee: all others</t>
  </si>
  <si>
    <t>Graduation Fee(non-refundable)</t>
  </si>
  <si>
    <t>Graduation/Late Filing Fee</t>
  </si>
  <si>
    <t>Key Deposit(outside entrance-submaster)</t>
  </si>
  <si>
    <t>Key Deposit(internal door)</t>
  </si>
  <si>
    <t>Late Payment-Tuition</t>
  </si>
  <si>
    <t>Late Registration</t>
  </si>
  <si>
    <t>Locker Rental Nur-Med-Pharm</t>
  </si>
  <si>
    <t>Microscope Rental M-1 only</t>
  </si>
  <si>
    <t>Photo ID Cards</t>
  </si>
  <si>
    <t>Preregistration: Cl Lab Sci</t>
  </si>
  <si>
    <t>Preregistration: Clin Perf</t>
  </si>
  <si>
    <t>Preregistration: Dent</t>
  </si>
  <si>
    <t xml:space="preserve">Preregistration: Diag Son </t>
  </si>
  <si>
    <t>Preregistration: Dntl Hyg</t>
  </si>
  <si>
    <t>Preregistration: PT</t>
  </si>
  <si>
    <t>Preregistration: Med</t>
  </si>
  <si>
    <t>Preregistration: Med Nut</t>
  </si>
  <si>
    <t>Preregistration: Nuc Tch</t>
  </si>
  <si>
    <t>Preregistration: Nurs</t>
  </si>
  <si>
    <t>Preregistration: Other-Nur</t>
  </si>
  <si>
    <t>Preregistration: PA</t>
  </si>
  <si>
    <t>Preregistration: Pharm</t>
  </si>
  <si>
    <t>Preregistration: Rad Tch</t>
  </si>
  <si>
    <t>Preregistration: Rad Ther</t>
  </si>
  <si>
    <t>Replacement ID Cards</t>
  </si>
  <si>
    <t>Student Senate</t>
  </si>
  <si>
    <t>Technology Fee - CON-GR&amp;UG</t>
  </si>
  <si>
    <t>Technology Fee - COPH</t>
  </si>
  <si>
    <t>Technology Fee - D1 -D4</t>
  </si>
  <si>
    <t>Technology Fee - Dental Hygiene</t>
  </si>
  <si>
    <t>Technology Fee - M1 -M4</t>
  </si>
  <si>
    <t>Technology Fee - PharmD</t>
  </si>
  <si>
    <t>Thesis Binding Graduate</t>
  </si>
  <si>
    <t>Transcript: Additional Copies - Same Order</t>
  </si>
  <si>
    <t>Transcript: First Copy</t>
  </si>
  <si>
    <t>Transcript: Same Day/Rush Copies</t>
  </si>
  <si>
    <t>SCH</t>
  </si>
  <si>
    <t>DSC</t>
  </si>
  <si>
    <t>YEAR</t>
  </si>
  <si>
    <t>VAR</t>
  </si>
  <si>
    <t>Insert rows above here by copying row above and Insert Copied Cells</t>
  </si>
  <si>
    <t>Federal Perkins Loan (National Direct Student Loan)</t>
  </si>
  <si>
    <t>Learn To Dream/Susan T. Buffet</t>
  </si>
  <si>
    <t>Miscellaneous Loans (HPSL/NSL/PCL)</t>
  </si>
  <si>
    <t>Miscellaneous Scholarships (EPAT PA)</t>
  </si>
  <si>
    <t>Regents' Special Aid</t>
  </si>
  <si>
    <t>University of Nebraska Tuition Assistance Grants (UTAG)</t>
  </si>
  <si>
    <t>University Opportunity Grant (UOG)</t>
  </si>
  <si>
    <t>Americorp</t>
  </si>
  <si>
    <t xml:space="preserve">MD/PHD Scholars Program </t>
  </si>
  <si>
    <t>Miscellaneous Scholarships</t>
  </si>
  <si>
    <t>Non Resident Scholarship Program (NRTS)</t>
  </si>
  <si>
    <t>Primary Care Program (PCFP-UNMC plus Stipend) UNMC</t>
  </si>
  <si>
    <t>Private Scholarships (Outside)</t>
  </si>
  <si>
    <t xml:space="preserve">Regents Special Aid </t>
  </si>
  <si>
    <t>School for New Nebraskans (NE Legacy Scholarship)</t>
  </si>
  <si>
    <t>AFHPS, NHSC, VAHPS, etc. (AFHPS and Stipend)</t>
  </si>
  <si>
    <t>Dependent (non-spouse) Waivers + Nonresident Tax Credits</t>
  </si>
  <si>
    <t>Military Reserves</t>
  </si>
  <si>
    <t>National Guard</t>
  </si>
  <si>
    <t>ROTC</t>
  </si>
  <si>
    <t>Spouse Waivers</t>
  </si>
  <si>
    <t>Staff Waivers</t>
  </si>
  <si>
    <t>Veterans waivers - Yellow Ribbon</t>
  </si>
  <si>
    <t>AENT Federal Nursing Grant</t>
  </si>
  <si>
    <t>Nurse Faculty Loan (Graduate)</t>
  </si>
  <si>
    <t>Federal Workstudy Program</t>
  </si>
  <si>
    <t>Job Training Act (JTPA) (Workforce Development)</t>
  </si>
  <si>
    <t>Nebraska Medical Loan</t>
  </si>
  <si>
    <t>Vocational Rehabilitation Grant</t>
  </si>
  <si>
    <t>College of Nursing Tuition Remission/Volunteer Fac Remission</t>
  </si>
  <si>
    <t>Federal Graduate PLUS</t>
  </si>
  <si>
    <t>Private Student Loans</t>
  </si>
  <si>
    <t>Wyoming Dent Contract/WICHE</t>
  </si>
  <si>
    <t>Insert rows above here</t>
  </si>
  <si>
    <t>Actual</t>
  </si>
  <si>
    <t>FY 1999-2000</t>
  </si>
  <si>
    <t>FY 2000-01</t>
  </si>
  <si>
    <t>FY 2001-02</t>
  </si>
  <si>
    <t>FY 2002-03</t>
  </si>
  <si>
    <t>FY 2003-04</t>
  </si>
  <si>
    <t>FY 2004-05</t>
  </si>
  <si>
    <t>FY 2005-06</t>
  </si>
  <si>
    <t>FY 2007-08</t>
  </si>
  <si>
    <t>FY 2008-09</t>
  </si>
  <si>
    <t>FY 2009-10</t>
  </si>
  <si>
    <t>FY 2010-11</t>
  </si>
  <si>
    <t>FY 2011-12</t>
  </si>
  <si>
    <t>FY 2012-13</t>
  </si>
  <si>
    <t>FY 2013-14</t>
  </si>
  <si>
    <t>FY 2014-15</t>
  </si>
  <si>
    <t>FY 2015-16</t>
  </si>
  <si>
    <t>FY 2016-17</t>
  </si>
  <si>
    <t>FY 2017-18</t>
  </si>
  <si>
    <t>FY 2018-19</t>
  </si>
  <si>
    <t>Tuition Income</t>
  </si>
  <si>
    <t xml:space="preserve">$ </t>
  </si>
  <si>
    <t>Less Need-based Remissions/Scholarship</t>
  </si>
  <si>
    <t>Less Non-need-based Remissions/Scholarship</t>
  </si>
  <si>
    <t>Less Refunds and Uncollectibles</t>
  </si>
  <si>
    <t>Net Tuition</t>
  </si>
  <si>
    <t>Student Fees</t>
  </si>
  <si>
    <t>Application Fees</t>
  </si>
  <si>
    <t>Registration Processing</t>
  </si>
  <si>
    <t>Late Payment</t>
  </si>
  <si>
    <t>Graduation Processing</t>
  </si>
  <si>
    <t>International Student</t>
  </si>
  <si>
    <t>Miscellaneous Student Fees</t>
  </si>
  <si>
    <t>Subtotal Student Fees</t>
  </si>
  <si>
    <t>Other Income</t>
  </si>
  <si>
    <t>Administrative Service Charge:</t>
  </si>
  <si>
    <t>Administrative Overhead</t>
  </si>
  <si>
    <t>Cigarette Tax</t>
  </si>
  <si>
    <t>Endowment Income</t>
  </si>
  <si>
    <t>Indirect Cost Reimbursement:</t>
  </si>
  <si>
    <t>Gross</t>
  </si>
  <si>
    <t>Less Research Incentive Allocation</t>
  </si>
  <si>
    <t>Less Portion included in State-Aided Revolving</t>
  </si>
  <si>
    <t>Investment Income</t>
  </si>
  <si>
    <t>Library Services and Fees (a)</t>
  </si>
  <si>
    <t>Rental of Facilities (a)</t>
  </si>
  <si>
    <t>Student Record Transcripts</t>
  </si>
  <si>
    <t>Voc. Ed. Reimb./Patent &amp; Royalty Income</t>
  </si>
  <si>
    <t>Nebraska Opportunity Grant</t>
  </si>
  <si>
    <t>NOG Tuition Income Offset</t>
  </si>
  <si>
    <t>LB 961 Regional Poison Center</t>
  </si>
  <si>
    <t>Subtotal Other</t>
  </si>
  <si>
    <t>GROSS REVENUE</t>
  </si>
  <si>
    <t>Net Change in Encumbrances</t>
  </si>
  <si>
    <t>Research Incentive Allocation</t>
  </si>
  <si>
    <t>Tobacco Settlement - NU (UNMC + UNL)</t>
  </si>
  <si>
    <t xml:space="preserve">     Tobacco Settlement - Designated</t>
  </si>
  <si>
    <t>Patient Revenue</t>
  </si>
  <si>
    <t xml:space="preserve">     Patient Revenue - Designated</t>
  </si>
  <si>
    <t>Patient Revenue Investment Income</t>
  </si>
  <si>
    <t>Revenue Transfers</t>
  </si>
  <si>
    <t>LB 1100 Debt Service</t>
  </si>
  <si>
    <t>Cash Fund Revenue Adjustment</t>
  </si>
  <si>
    <t>TOTAL AVAILABLE REVENUE</t>
  </si>
  <si>
    <t>FY 2019-20</t>
  </si>
  <si>
    <t>Refunds</t>
  </si>
  <si>
    <t>Remissions/Waivers</t>
  </si>
  <si>
    <t>FY 2020-21</t>
  </si>
  <si>
    <t>Outside Scholarships</t>
  </si>
  <si>
    <t>Institutional funds</t>
  </si>
  <si>
    <t>Outside scholarships</t>
  </si>
  <si>
    <t>UNMC TOTAL</t>
  </si>
  <si>
    <t>Miscellaneous/Other</t>
  </si>
  <si>
    <t>UNMC's FY 2016-2017 tuition and remissions/waivers amounts were updated to include post-closing corrections made by the General Accounting Office.</t>
  </si>
  <si>
    <t xml:space="preserve">FY 2017-2018 is the first year that First-Professional tuition was separated out from Graduate tuition.  FY 2017-2018 is also the first year that remissions/waivers were broken out by college.  In addition, $4,599,913 in Remissions/Waivers was added to a separate Miscellaneous/Other section, which is not affiliated with any one college. Those remission/waiver funds were used for Graduate Assistant waivers, VA Yellow Ribbon Waivers, and for employee, spouse and dependent remissions.  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</si>
  <si>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</si>
  <si>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</si>
  <si>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</si>
  <si>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</si>
  <si>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</si>
  <si>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</si>
  <si>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</si>
  <si>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</si>
  <si>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</si>
  <si>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</si>
  <si>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</si>
  <si>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Budget</t>
  </si>
  <si>
    <t>FY 2021-22</t>
  </si>
  <si>
    <t>Technology Fee - MLS students</t>
  </si>
  <si>
    <t>Clinical Lab Sciense Manual Fee</t>
  </si>
  <si>
    <t>Technology Fee - CAHP Distant Learning</t>
  </si>
  <si>
    <t>CAHP Lab Fee MLS</t>
  </si>
  <si>
    <t>Cytotechnology Lab Fee</t>
  </si>
  <si>
    <t>Clinical Lab Science Lab Fee</t>
  </si>
  <si>
    <t>CON Distributive Leaning Fees - FY 18/19 first year on moratorium on fees.</t>
  </si>
  <si>
    <t>CON Distributive Leaning Fees - FY 19/20 second year on moratorium on fees.</t>
  </si>
  <si>
    <t xml:space="preserve">CON Distributive Leaning Fees - FY 20/21 continued moratorium on fees.     CON Technology Fee - Undergraduate &amp; Graduate (Fee NOT being charge in FY 2020-21).                                                                      COD Book/Instruments fee has been reduced from $3,920/SEM to $2,875/SEM, to allow the students to purchase their own books.                             </t>
  </si>
  <si>
    <t>COPH tuition Remission</t>
  </si>
  <si>
    <t>Total Mandatory Fees Revenue</t>
  </si>
  <si>
    <t>FY 2022-23</t>
  </si>
  <si>
    <t>check figure</t>
  </si>
  <si>
    <t>Resident Mandatory Fees</t>
  </si>
  <si>
    <t>Non-resident Mandatory Fees</t>
  </si>
  <si>
    <t>Total Mandatory Fees</t>
  </si>
  <si>
    <t>Tuition Waivers to Nebraska Residents</t>
  </si>
  <si>
    <t xml:space="preserve"> 7.  Total dollar value of reported financial aid </t>
  </si>
  <si>
    <t xml:space="preserve"> 9.  Amount of Tuition Waivers received by Nebraska residents</t>
  </si>
  <si>
    <t>10.  Amount of Tuition Waivers received by non-Nebraska residents</t>
  </si>
  <si>
    <t>11.  % of total dollar amount received by Nebraska residents</t>
  </si>
  <si>
    <t>12.  Gross tuition income less refunds</t>
  </si>
  <si>
    <t>13.  % gross tuition income remitted to students</t>
  </si>
  <si>
    <t>14.  % remissions is of Grand Total of all aid</t>
  </si>
  <si>
    <t>15.  % Academic Aid is of Grand Total of all aid</t>
  </si>
  <si>
    <t>16.  % Aid for Service is of Grand Total of all aid</t>
  </si>
  <si>
    <t>17.  % Need Based Aid is of Grand Total of all aid</t>
  </si>
  <si>
    <t>18.  % Ability Based Aid is of Grand Total of all aid</t>
  </si>
  <si>
    <t>19.  % Aid Based on Membership is of Grand Total of all aid</t>
  </si>
  <si>
    <t>20. % Other Academic Aid as a Grand Total of All Aid</t>
  </si>
  <si>
    <t>Nebraska Promise</t>
  </si>
  <si>
    <t>*</t>
  </si>
  <si>
    <t>Patient Clinic (COD + MMI) revenue decrease due to COVID-19 Pandemic and moving MMI Human Gentics Lab to Nebraska Medicine.</t>
  </si>
  <si>
    <t>Technology Fee - all CAHP except MLS</t>
  </si>
  <si>
    <t>;</t>
  </si>
  <si>
    <t>FY 2023-24</t>
  </si>
  <si>
    <t>Graduate College</t>
  </si>
  <si>
    <t>Student Access &amp; Success Fee (Fall &amp; Spring Only</t>
  </si>
  <si>
    <t>Cytotechnology Virtual Microscope Eyepiece</t>
  </si>
  <si>
    <t xml:space="preserve">CON Distributive Leaning Fees  &amp;  CON Technology Fee - Undergraduate &amp; Graduate continued moratorium on fees for FY 22/23.                                               </t>
  </si>
  <si>
    <t>CON Distributive Leaning Fees  &amp;  CON Technology Fee - Undergraduate &amp; Graduate continued moratorium on fees for FY 21/22.                                            In Fall of 2021, UNMC added the new Student Access &amp; Success Fee.         UNMC added the Graduate College to the Mandatory fees section in order to better represent the composition of the University.</t>
  </si>
  <si>
    <t>Graduate Assistantship Fee Remission</t>
  </si>
  <si>
    <t>COPH Graduate Assistantship Fee Remission</t>
  </si>
  <si>
    <t>2023-24</t>
  </si>
  <si>
    <t>College Bound Nebraska - CBN (formerly TAP)</t>
  </si>
  <si>
    <t>FY 2024-25</t>
  </si>
  <si>
    <t>Nebraska Career Scholarship</t>
  </si>
  <si>
    <t>PHARM 507 (PA and Clinical Perfusion)</t>
  </si>
  <si>
    <t xml:space="preserve">PHPR 659 Pharmacy-Based Immunization Delivery </t>
  </si>
  <si>
    <t>GCBA 814 Nueroanatomy Lab (Masters in Med Anat.)</t>
  </si>
  <si>
    <t>GCBA 825 Histology (Masters in Med Anat.)</t>
  </si>
  <si>
    <t>GCBA 909 Gross Anatomy Lab (Masters in Med Anat.)</t>
  </si>
  <si>
    <t>GCBA 913 Cross-Sectional Anatomy 1 (Masters in Med Anat.)</t>
  </si>
  <si>
    <t>CAHP combined Cyto Fees into Cyto Course and Cyto Lab Fees.                                Added Pharmacy fees that were collected.                 Added GCBA (Masters in Medical Anatomy) fees.              Student Access &amp; Success Fee increased from $60 for FY 21-22  to $105 for FY 22-23.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</si>
</sst>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_)"/>
    <numFmt numFmtId="166" formatCode="0.0%"/>
    <numFmt numFmtId="167" formatCode="&quot;$&quot;#,##0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&quot;$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2"/>
    </font>
    <font>
      <sz val="10"/>
      <name val="Times New Roman"/>
      <family val="1"/>
    </font>
    <font>
      <u/>
      <sz val="10"/>
      <color rgb="FF80008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rgb="FF0000FF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name val="Arial Unicode MS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2"/>
      <name val="SWISS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0"/>
      <name val="SWISS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Courier New"/>
      <family val="3"/>
    </font>
    <font>
      <sz val="8"/>
      <name val="DUTCH"/>
    </font>
    <font>
      <sz val="10"/>
      <color rgb="FF000000"/>
      <name val="Arial"/>
      <family val="2"/>
    </font>
    <font>
      <sz val="14"/>
      <color theme="1"/>
      <name val="Calibri"/>
      <family val="2"/>
    </font>
    <font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sz val="16"/>
      <color theme="1"/>
      <name val="Arial"/>
      <family val="2"/>
    </font>
    <font>
      <b/>
      <u/>
      <sz val="16"/>
      <color rgb="FFFF0000"/>
      <name val="Arial"/>
      <family val="2"/>
    </font>
    <font>
      <sz val="11"/>
      <color theme="1"/>
      <name val="Calibri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4" tint="0.59999389629810485"/>
        <bgColor indexed="9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1">
    <xf numFmtId="0" fontId="0" fillId="0" borderId="0"/>
    <xf numFmtId="165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9" fillId="0" borderId="0"/>
    <xf numFmtId="0" fontId="23" fillId="0" borderId="0"/>
    <xf numFmtId="0" fontId="9" fillId="0" borderId="0"/>
    <xf numFmtId="0" fontId="24" fillId="0" borderId="0"/>
    <xf numFmtId="37" fontId="25" fillId="0" borderId="0"/>
    <xf numFmtId="0" fontId="22" fillId="0" borderId="0"/>
    <xf numFmtId="0" fontId="9" fillId="0" borderId="0"/>
    <xf numFmtId="0" fontId="26" fillId="0" borderId="0"/>
    <xf numFmtId="0" fontId="27" fillId="0" borderId="0"/>
    <xf numFmtId="165" fontId="6" fillId="0" borderId="0"/>
    <xf numFmtId="0" fontId="28" fillId="0" borderId="0"/>
    <xf numFmtId="0" fontId="6" fillId="0" borderId="0"/>
    <xf numFmtId="0" fontId="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9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37" fontId="20" fillId="0" borderId="0"/>
    <xf numFmtId="0" fontId="6" fillId="0" borderId="0"/>
    <xf numFmtId="39" fontId="32" fillId="6" borderId="0"/>
    <xf numFmtId="0" fontId="33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6" fillId="0" borderId="0"/>
    <xf numFmtId="165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0" fillId="0" borderId="0"/>
    <xf numFmtId="37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0" fillId="0" borderId="0"/>
    <xf numFmtId="0" fontId="9" fillId="0" borderId="0"/>
    <xf numFmtId="37" fontId="2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7" fontId="2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2">
    <xf numFmtId="0" fontId="0" fillId="0" borderId="0" xfId="0"/>
    <xf numFmtId="3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5" borderId="2" xfId="0" applyNumberFormat="1" applyFont="1" applyFill="1" applyBorder="1"/>
    <xf numFmtId="3" fontId="2" fillId="5" borderId="2" xfId="0" applyNumberFormat="1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3" borderId="2" xfId="0" applyFont="1" applyFill="1" applyBorder="1"/>
    <xf numFmtId="0" fontId="5" fillId="3" borderId="2" xfId="0" applyFont="1" applyFill="1" applyBorder="1"/>
    <xf numFmtId="0" fontId="2" fillId="4" borderId="0" xfId="0" applyFont="1" applyFill="1"/>
    <xf numFmtId="2" fontId="2" fillId="4" borderId="0" xfId="0" applyNumberFormat="1" applyFont="1" applyFill="1"/>
    <xf numFmtId="2" fontId="2" fillId="3" borderId="0" xfId="0" applyNumberFormat="1" applyFont="1" applyFill="1"/>
    <xf numFmtId="0" fontId="2" fillId="7" borderId="0" xfId="0" applyFont="1" applyFill="1"/>
    <xf numFmtId="0" fontId="41" fillId="7" borderId="0" xfId="0" applyFont="1" applyFill="1"/>
    <xf numFmtId="0" fontId="5" fillId="7" borderId="0" xfId="0" applyFont="1" applyFill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7" borderId="0" xfId="0" applyFont="1" applyFill="1"/>
    <xf numFmtId="167" fontId="2" fillId="0" borderId="0" xfId="0" applyNumberFormat="1" applyFont="1"/>
    <xf numFmtId="167" fontId="2" fillId="4" borderId="0" xfId="0" applyNumberFormat="1" applyFont="1" applyFill="1"/>
    <xf numFmtId="167" fontId="2" fillId="3" borderId="0" xfId="0" applyNumberFormat="1" applyFont="1" applyFill="1"/>
    <xf numFmtId="167" fontId="2" fillId="5" borderId="2" xfId="0" applyNumberFormat="1" applyFont="1" applyFill="1" applyBorder="1"/>
    <xf numFmtId="167" fontId="2" fillId="0" borderId="2" xfId="0" applyNumberFormat="1" applyFont="1" applyBorder="1"/>
    <xf numFmtId="0" fontId="38" fillId="0" borderId="0" xfId="0" applyFont="1" applyAlignment="1">
      <alignment horizontal="left" indent="2"/>
    </xf>
    <xf numFmtId="167" fontId="2" fillId="0" borderId="2" xfId="0" applyNumberFormat="1" applyFont="1" applyBorder="1" applyProtection="1">
      <protection locked="0"/>
    </xf>
    <xf numFmtId="0" fontId="5" fillId="8" borderId="0" xfId="0" applyFont="1" applyFill="1"/>
    <xf numFmtId="0" fontId="5" fillId="8" borderId="10" xfId="0" applyFont="1" applyFill="1" applyBorder="1"/>
    <xf numFmtId="0" fontId="5" fillId="8" borderId="0" xfId="0" applyFont="1" applyFill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indent="1"/>
    </xf>
    <xf numFmtId="0" fontId="2" fillId="7" borderId="0" xfId="0" applyFont="1" applyFill="1" applyAlignment="1">
      <alignment horizontal="right" indent="1"/>
    </xf>
    <xf numFmtId="0" fontId="5" fillId="9" borderId="0" xfId="0" applyFont="1" applyFill="1"/>
    <xf numFmtId="0" fontId="5" fillId="9" borderId="10" xfId="0" applyFont="1" applyFill="1" applyBorder="1"/>
    <xf numFmtId="0" fontId="5" fillId="9" borderId="0" xfId="0" applyFont="1" applyFill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9" xfId="0" applyFont="1" applyFill="1" applyBorder="1"/>
    <xf numFmtId="0" fontId="5" fillId="10" borderId="19" xfId="0" applyFont="1" applyFill="1" applyBorder="1"/>
    <xf numFmtId="0" fontId="5" fillId="10" borderId="0" xfId="0" applyFont="1" applyFill="1"/>
    <xf numFmtId="0" fontId="5" fillId="10" borderId="0" xfId="0" applyFont="1" applyFill="1" applyAlignment="1">
      <alignment horizontal="center" vertical="center"/>
    </xf>
    <xf numFmtId="0" fontId="7" fillId="10" borderId="6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3" fontId="43" fillId="5" borderId="19" xfId="0" applyNumberFormat="1" applyFont="1" applyFill="1" applyBorder="1" applyAlignment="1">
      <alignment horizontal="right" indent="1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164" fontId="2" fillId="4" borderId="0" xfId="0" applyNumberFormat="1" applyFont="1" applyFill="1"/>
    <xf numFmtId="3" fontId="2" fillId="0" borderId="19" xfId="0" applyNumberFormat="1" applyFont="1" applyBorder="1" applyAlignment="1">
      <alignment horizontal="right" indent="1"/>
    </xf>
    <xf numFmtId="3" fontId="41" fillId="0" borderId="19" xfId="0" applyNumberFormat="1" applyFont="1" applyBorder="1" applyAlignment="1">
      <alignment horizontal="right" indent="1"/>
    </xf>
    <xf numFmtId="3" fontId="41" fillId="0" borderId="0" xfId="0" applyNumberFormat="1" applyFont="1"/>
    <xf numFmtId="3" fontId="43" fillId="0" borderId="0" xfId="0" applyNumberFormat="1" applyFont="1"/>
    <xf numFmtId="3" fontId="43" fillId="0" borderId="19" xfId="0" applyNumberFormat="1" applyFont="1" applyBorder="1" applyAlignment="1">
      <alignment horizontal="right" indent="1"/>
    </xf>
    <xf numFmtId="3" fontId="43" fillId="0" borderId="0" xfId="0" applyNumberFormat="1" applyFont="1" applyAlignment="1">
      <alignment wrapText="1"/>
    </xf>
    <xf numFmtId="167" fontId="2" fillId="5" borderId="4" xfId="0" applyNumberFormat="1" applyFont="1" applyFill="1" applyBorder="1" applyAlignment="1">
      <alignment horizontal="right" indent="1"/>
    </xf>
    <xf numFmtId="167" fontId="2" fillId="5" borderId="5" xfId="0" applyNumberFormat="1" applyFont="1" applyFill="1" applyBorder="1" applyAlignment="1">
      <alignment horizontal="right" indent="1"/>
    </xf>
    <xf numFmtId="167" fontId="2" fillId="0" borderId="0" xfId="0" applyNumberFormat="1" applyFont="1" applyAlignment="1">
      <alignment horizontal="right" indent="1"/>
    </xf>
    <xf numFmtId="167" fontId="41" fillId="5" borderId="4" xfId="0" applyNumberFormat="1" applyFont="1" applyFill="1" applyBorder="1" applyAlignment="1">
      <alignment horizontal="right" indent="1"/>
    </xf>
    <xf numFmtId="167" fontId="41" fillId="0" borderId="0" xfId="0" applyNumberFormat="1" applyFont="1" applyAlignment="1">
      <alignment horizontal="right" indent="1"/>
    </xf>
    <xf numFmtId="167" fontId="43" fillId="5" borderId="4" xfId="0" applyNumberFormat="1" applyFont="1" applyFill="1" applyBorder="1" applyAlignment="1">
      <alignment horizontal="right" indent="1"/>
    </xf>
    <xf numFmtId="167" fontId="43" fillId="5" borderId="0" xfId="0" applyNumberFormat="1" applyFont="1" applyFill="1" applyAlignment="1">
      <alignment horizontal="right" indent="1"/>
    </xf>
    <xf numFmtId="167" fontId="43" fillId="5" borderId="10" xfId="0" applyNumberFormat="1" applyFont="1" applyFill="1" applyBorder="1" applyAlignment="1">
      <alignment horizontal="right" indent="1"/>
    </xf>
    <xf numFmtId="167" fontId="43" fillId="0" borderId="0" xfId="0" applyNumberFormat="1" applyFont="1" applyAlignment="1">
      <alignment horizontal="right" indent="1"/>
    </xf>
    <xf numFmtId="0" fontId="46" fillId="3" borderId="0" xfId="0" applyFont="1" applyFill="1"/>
    <xf numFmtId="0" fontId="5" fillId="3" borderId="2" xfId="0" applyFont="1" applyFill="1" applyBorder="1" applyAlignment="1">
      <alignment horizontal="right"/>
    </xf>
    <xf numFmtId="0" fontId="46" fillId="0" borderId="0" xfId="0" applyFont="1"/>
    <xf numFmtId="0" fontId="40" fillId="7" borderId="0" xfId="0" applyFont="1" applyFill="1" applyAlignment="1">
      <alignment horizontal="left"/>
    </xf>
    <xf numFmtId="0" fontId="40" fillId="0" borderId="22" xfId="0" applyFont="1" applyBorder="1" applyAlignment="1">
      <alignment horizontal="center" wrapText="1"/>
    </xf>
    <xf numFmtId="0" fontId="41" fillId="7" borderId="0" xfId="0" applyFont="1" applyFill="1" applyAlignment="1">
      <alignment horizontal="center" wrapText="1"/>
    </xf>
    <xf numFmtId="3" fontId="40" fillId="0" borderId="0" xfId="0" applyNumberFormat="1" applyFont="1"/>
    <xf numFmtId="3" fontId="5" fillId="0" borderId="0" xfId="0" applyNumberFormat="1" applyFont="1"/>
    <xf numFmtId="3" fontId="42" fillId="0" borderId="0" xfId="0" applyNumberFormat="1" applyFont="1"/>
    <xf numFmtId="3" fontId="51" fillId="0" borderId="0" xfId="0" applyNumberFormat="1" applyFont="1"/>
    <xf numFmtId="3" fontId="5" fillId="5" borderId="0" xfId="0" applyNumberFormat="1" applyFont="1" applyFill="1"/>
    <xf numFmtId="0" fontId="40" fillId="0" borderId="7" xfId="0" applyFont="1" applyBorder="1" applyAlignment="1">
      <alignment horizontal="left" wrapText="1"/>
    </xf>
    <xf numFmtId="0" fontId="5" fillId="11" borderId="0" xfId="0" applyFont="1" applyFill="1"/>
    <xf numFmtId="0" fontId="5" fillId="11" borderId="10" xfId="0" applyFont="1" applyFill="1" applyBorder="1"/>
    <xf numFmtId="0" fontId="5" fillId="11" borderId="0" xfId="0" applyFont="1" applyFill="1" applyAlignment="1">
      <alignment horizontal="center" vertical="center"/>
    </xf>
    <xf numFmtId="0" fontId="7" fillId="11" borderId="6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37" fontId="12" fillId="7" borderId="0" xfId="557" applyFont="1" applyFill="1"/>
    <xf numFmtId="0" fontId="5" fillId="11" borderId="15" xfId="0" applyFont="1" applyFill="1" applyBorder="1"/>
    <xf numFmtId="0" fontId="5" fillId="11" borderId="15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indent="1"/>
    </xf>
    <xf numFmtId="3" fontId="41" fillId="0" borderId="15" xfId="0" applyNumberFormat="1" applyFont="1" applyBorder="1" applyAlignment="1">
      <alignment horizontal="right" indent="1"/>
    </xf>
    <xf numFmtId="3" fontId="43" fillId="5" borderId="15" xfId="0" applyNumberFormat="1" applyFont="1" applyFill="1" applyBorder="1" applyAlignment="1">
      <alignment horizontal="right" indent="1"/>
    </xf>
    <xf numFmtId="3" fontId="43" fillId="0" borderId="15" xfId="0" applyNumberFormat="1" applyFont="1" applyBorder="1" applyAlignment="1">
      <alignment horizontal="right" indent="1"/>
    </xf>
    <xf numFmtId="0" fontId="40" fillId="0" borderId="2" xfId="0" applyFont="1" applyBorder="1" applyAlignment="1">
      <alignment horizontal="center" wrapText="1"/>
    </xf>
    <xf numFmtId="167" fontId="2" fillId="19" borderId="2" xfId="0" applyNumberFormat="1" applyFont="1" applyFill="1" applyBorder="1"/>
    <xf numFmtId="168" fontId="2" fillId="5" borderId="2" xfId="0" applyNumberFormat="1" applyFont="1" applyFill="1" applyBorder="1"/>
    <xf numFmtId="168" fontId="2" fillId="0" borderId="0" xfId="0" applyNumberFormat="1" applyFont="1"/>
    <xf numFmtId="169" fontId="12" fillId="0" borderId="0" xfId="558" applyNumberFormat="1" applyFont="1" applyFill="1"/>
    <xf numFmtId="43" fontId="12" fillId="0" borderId="0" xfId="558" applyFont="1" applyFill="1"/>
    <xf numFmtId="0" fontId="40" fillId="11" borderId="0" xfId="0" applyFont="1" applyFill="1" applyAlignment="1">
      <alignment horizontal="center"/>
    </xf>
    <xf numFmtId="0" fontId="40" fillId="9" borderId="19" xfId="0" applyFont="1" applyFill="1" applyBorder="1" applyAlignment="1">
      <alignment horizontal="center"/>
    </xf>
    <xf numFmtId="0" fontId="40" fillId="9" borderId="0" xfId="0" applyFont="1" applyFill="1" applyAlignment="1">
      <alignment horizontal="center"/>
    </xf>
    <xf numFmtId="0" fontId="40" fillId="9" borderId="10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 wrapText="1"/>
    </xf>
    <xf numFmtId="0" fontId="40" fillId="10" borderId="19" xfId="0" applyFont="1" applyFill="1" applyBorder="1" applyAlignment="1">
      <alignment horizontal="center"/>
    </xf>
    <xf numFmtId="0" fontId="40" fillId="10" borderId="0" xfId="0" applyFont="1" applyFill="1" applyAlignment="1">
      <alignment horizontal="center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40" fillId="8" borderId="0" xfId="0" applyFont="1" applyFill="1" applyAlignment="1">
      <alignment horizontal="center"/>
    </xf>
    <xf numFmtId="0" fontId="40" fillId="8" borderId="10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170" fontId="2" fillId="5" borderId="2" xfId="558" applyNumberFormat="1" applyFont="1" applyFill="1" applyBorder="1" applyProtection="1"/>
    <xf numFmtId="3" fontId="2" fillId="0" borderId="2" xfId="0" applyNumberFormat="1" applyFont="1" applyBorder="1"/>
    <xf numFmtId="164" fontId="2" fillId="0" borderId="2" xfId="0" applyNumberFormat="1" applyFont="1" applyBorder="1"/>
    <xf numFmtId="0" fontId="9" fillId="0" borderId="7" xfId="0" applyFont="1" applyBorder="1" applyAlignment="1">
      <alignment vertical="center" wrapText="1"/>
    </xf>
    <xf numFmtId="0" fontId="43" fillId="7" borderId="0" xfId="0" applyFont="1" applyFill="1"/>
    <xf numFmtId="166" fontId="9" fillId="5" borderId="2" xfId="0" applyNumberFormat="1" applyFont="1" applyFill="1" applyBorder="1" applyAlignment="1">
      <alignment horizontal="right" vertical="center" indent="1"/>
    </xf>
    <xf numFmtId="166" fontId="9" fillId="5" borderId="22" xfId="0" applyNumberFormat="1" applyFont="1" applyFill="1" applyBorder="1" applyAlignment="1">
      <alignment horizontal="right" vertical="center" indent="1"/>
    </xf>
    <xf numFmtId="3" fontId="9" fillId="0" borderId="7" xfId="0" applyNumberFormat="1" applyFont="1" applyBorder="1" applyAlignment="1">
      <alignment vertical="center" wrapText="1"/>
    </xf>
    <xf numFmtId="167" fontId="9" fillId="5" borderId="2" xfId="0" applyNumberFormat="1" applyFont="1" applyFill="1" applyBorder="1" applyAlignment="1">
      <alignment horizontal="right" vertical="center" indent="1"/>
    </xf>
    <xf numFmtId="167" fontId="9" fillId="5" borderId="22" xfId="0" applyNumberFormat="1" applyFont="1" applyFill="1" applyBorder="1" applyAlignment="1">
      <alignment horizontal="right" vertical="center" indent="1"/>
    </xf>
    <xf numFmtId="3" fontId="43" fillId="7" borderId="0" xfId="0" applyNumberFormat="1" applyFont="1" applyFill="1"/>
    <xf numFmtId="167" fontId="9" fillId="0" borderId="22" xfId="0" applyNumberFormat="1" applyFont="1" applyBorder="1" applyAlignment="1" applyProtection="1">
      <alignment horizontal="right" vertical="center" indent="1"/>
      <protection locked="0"/>
    </xf>
    <xf numFmtId="166" fontId="9" fillId="5" borderId="2" xfId="545" applyNumberFormat="1" applyFont="1" applyFill="1" applyBorder="1" applyAlignment="1" applyProtection="1">
      <alignment horizontal="right" vertical="center" indent="1"/>
    </xf>
    <xf numFmtId="166" fontId="9" fillId="5" borderId="22" xfId="545" applyNumberFormat="1" applyFont="1" applyFill="1" applyBorder="1" applyAlignment="1" applyProtection="1">
      <alignment horizontal="right" vertical="center" indent="1"/>
    </xf>
    <xf numFmtId="166" fontId="9" fillId="5" borderId="6" xfId="0" applyNumberFormat="1" applyFont="1" applyFill="1" applyBorder="1" applyAlignment="1">
      <alignment horizontal="right" vertical="center" indent="1"/>
    </xf>
    <xf numFmtId="0" fontId="40" fillId="18" borderId="19" xfId="0" applyFont="1" applyFill="1" applyBorder="1" applyAlignment="1">
      <alignment horizontal="center"/>
    </xf>
    <xf numFmtId="0" fontId="40" fillId="18" borderId="0" xfId="0" applyFont="1" applyFill="1" applyAlignment="1">
      <alignment horizontal="center"/>
    </xf>
    <xf numFmtId="0" fontId="5" fillId="18" borderId="19" xfId="0" applyFont="1" applyFill="1" applyBorder="1"/>
    <xf numFmtId="0" fontId="5" fillId="18" borderId="0" xfId="0" applyFont="1" applyFill="1"/>
    <xf numFmtId="0" fontId="5" fillId="18" borderId="19" xfId="0" applyFont="1" applyFill="1" applyBorder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0" fontId="5" fillId="18" borderId="12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61" fillId="7" borderId="0" xfId="0" applyFont="1" applyFill="1" applyAlignment="1">
      <alignment horizontal="left"/>
    </xf>
    <xf numFmtId="0" fontId="58" fillId="7" borderId="0" xfId="0" applyFont="1" applyFill="1"/>
    <xf numFmtId="3" fontId="9" fillId="0" borderId="2" xfId="0" applyNumberFormat="1" applyFont="1" applyBorder="1" applyAlignment="1">
      <alignment horizontal="right" vertical="center" indent="1"/>
    </xf>
    <xf numFmtId="3" fontId="9" fillId="0" borderId="22" xfId="0" applyNumberFormat="1" applyFont="1" applyBorder="1" applyAlignment="1">
      <alignment horizontal="right" vertical="center" indent="1"/>
    </xf>
    <xf numFmtId="167" fontId="9" fillId="0" borderId="2" xfId="0" applyNumberFormat="1" applyFont="1" applyBorder="1" applyAlignment="1">
      <alignment horizontal="right" vertical="center" indent="1"/>
    </xf>
    <xf numFmtId="167" fontId="9" fillId="0" borderId="22" xfId="0" applyNumberFormat="1" applyFont="1" applyBorder="1" applyAlignment="1">
      <alignment horizontal="right" vertical="center" indent="1"/>
    </xf>
    <xf numFmtId="3" fontId="9" fillId="0" borderId="0" xfId="0" applyNumberFormat="1" applyFont="1"/>
    <xf numFmtId="0" fontId="5" fillId="3" borderId="36" xfId="0" applyFont="1" applyFill="1" applyBorder="1"/>
    <xf numFmtId="9" fontId="2" fillId="0" borderId="0" xfId="559" applyFont="1" applyProtection="1"/>
    <xf numFmtId="0" fontId="61" fillId="8" borderId="10" xfId="0" applyFont="1" applyFill="1" applyBorder="1" applyAlignment="1">
      <alignment horizontal="center"/>
    </xf>
    <xf numFmtId="167" fontId="3" fillId="0" borderId="2" xfId="558" applyNumberFormat="1" applyFont="1" applyFill="1" applyBorder="1" applyAlignment="1" applyProtection="1"/>
    <xf numFmtId="167" fontId="3" fillId="0" borderId="2" xfId="558" applyNumberFormat="1" applyFont="1" applyFill="1" applyBorder="1" applyAlignment="1" applyProtection="1">
      <alignment horizontal="right" indent="1"/>
    </xf>
    <xf numFmtId="164" fontId="63" fillId="0" borderId="0" xfId="0" applyNumberFormat="1" applyFont="1" applyAlignment="1">
      <alignment vertical="top"/>
    </xf>
    <xf numFmtId="167" fontId="63" fillId="0" borderId="0" xfId="0" applyNumberFormat="1" applyFont="1" applyAlignment="1">
      <alignment vertical="top"/>
    </xf>
    <xf numFmtId="3" fontId="63" fillId="0" borderId="0" xfId="0" applyNumberFormat="1" applyFont="1" applyAlignment="1">
      <alignment vertical="top"/>
    </xf>
    <xf numFmtId="167" fontId="63" fillId="0" borderId="0" xfId="0" applyNumberFormat="1" applyFont="1" applyAlignment="1">
      <alignment horizontal="right" vertical="top"/>
    </xf>
    <xf numFmtId="164" fontId="63" fillId="0" borderId="0" xfId="0" applyNumberFormat="1" applyFont="1" applyAlignment="1">
      <alignment horizontal="right" vertical="top"/>
    </xf>
    <xf numFmtId="0" fontId="5" fillId="11" borderId="12" xfId="0" applyFont="1" applyFill="1" applyBorder="1" applyAlignment="1">
      <alignment horizontal="center" vertical="center" wrapText="1"/>
    </xf>
    <xf numFmtId="0" fontId="40" fillId="11" borderId="10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3" fontId="41" fillId="0" borderId="0" xfId="0" applyNumberFormat="1" applyFont="1" applyAlignment="1">
      <alignment horizontal="right" indent="1"/>
    </xf>
    <xf numFmtId="3" fontId="43" fillId="0" borderId="0" xfId="0" applyNumberFormat="1" applyFont="1" applyAlignment="1">
      <alignment horizontal="right" indent="1"/>
    </xf>
    <xf numFmtId="3" fontId="43" fillId="5" borderId="0" xfId="0" applyNumberFormat="1" applyFont="1" applyFill="1" applyAlignment="1">
      <alignment horizontal="right" indent="1"/>
    </xf>
    <xf numFmtId="0" fontId="40" fillId="0" borderId="6" xfId="0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right" vertical="center" indent="1"/>
    </xf>
    <xf numFmtId="167" fontId="9" fillId="5" borderId="6" xfId="0" applyNumberFormat="1" applyFont="1" applyFill="1" applyBorder="1" applyAlignment="1">
      <alignment horizontal="right" vertical="center" indent="1"/>
    </xf>
    <xf numFmtId="167" fontId="9" fillId="0" borderId="6" xfId="0" applyNumberFormat="1" applyFont="1" applyBorder="1" applyAlignment="1">
      <alignment horizontal="right" vertical="center" indent="1"/>
    </xf>
    <xf numFmtId="166" fontId="9" fillId="5" borderId="6" xfId="545" applyNumberFormat="1" applyFont="1" applyFill="1" applyBorder="1" applyAlignment="1" applyProtection="1">
      <alignment horizontal="right" vertical="center" indent="1"/>
    </xf>
    <xf numFmtId="167" fontId="2" fillId="5" borderId="10" xfId="0" applyNumberFormat="1" applyFont="1" applyFill="1" applyBorder="1" applyAlignment="1">
      <alignment horizontal="right" indent="1"/>
    </xf>
    <xf numFmtId="167" fontId="41" fillId="5" borderId="10" xfId="0" applyNumberFormat="1" applyFont="1" applyFill="1" applyBorder="1" applyAlignment="1">
      <alignment horizontal="right" indent="1"/>
    </xf>
    <xf numFmtId="0" fontId="2" fillId="0" borderId="10" xfId="0" applyFont="1" applyBorder="1"/>
    <xf numFmtId="0" fontId="5" fillId="33" borderId="10" xfId="0" applyFont="1" applyFill="1" applyBorder="1"/>
    <xf numFmtId="0" fontId="5" fillId="33" borderId="23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center"/>
    </xf>
    <xf numFmtId="0" fontId="40" fillId="18" borderId="10" xfId="0" applyFont="1" applyFill="1" applyBorder="1" applyAlignment="1">
      <alignment horizontal="center"/>
    </xf>
    <xf numFmtId="0" fontId="5" fillId="18" borderId="10" xfId="0" applyFont="1" applyFill="1" applyBorder="1"/>
    <xf numFmtId="0" fontId="5" fillId="18" borderId="23" xfId="0" applyFont="1" applyFill="1" applyBorder="1" applyAlignment="1">
      <alignment horizontal="center" vertical="center" wrapText="1"/>
    </xf>
    <xf numFmtId="0" fontId="40" fillId="10" borderId="10" xfId="0" applyFont="1" applyFill="1" applyBorder="1" applyAlignment="1">
      <alignment horizontal="center"/>
    </xf>
    <xf numFmtId="0" fontId="5" fillId="10" borderId="10" xfId="0" applyFont="1" applyFill="1" applyBorder="1"/>
    <xf numFmtId="0" fontId="5" fillId="10" borderId="2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40" fillId="33" borderId="0" xfId="0" applyFont="1" applyFill="1" applyAlignment="1">
      <alignment horizontal="center"/>
    </xf>
    <xf numFmtId="0" fontId="5" fillId="33" borderId="0" xfId="0" applyFont="1" applyFill="1"/>
    <xf numFmtId="0" fontId="5" fillId="33" borderId="0" xfId="0" applyFont="1" applyFill="1" applyAlignment="1">
      <alignment horizontal="center" vertical="center"/>
    </xf>
    <xf numFmtId="0" fontId="5" fillId="33" borderId="1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center" vertical="center" wrapText="1"/>
    </xf>
    <xf numFmtId="0" fontId="7" fillId="33" borderId="6" xfId="0" applyFont="1" applyFill="1" applyBorder="1" applyAlignment="1">
      <alignment horizontal="center" vertical="center" wrapText="1"/>
    </xf>
    <xf numFmtId="0" fontId="40" fillId="11" borderId="19" xfId="0" applyFont="1" applyFill="1" applyBorder="1" applyAlignment="1">
      <alignment horizontal="center"/>
    </xf>
    <xf numFmtId="0" fontId="5" fillId="11" borderId="19" xfId="0" applyFont="1" applyFill="1" applyBorder="1"/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 wrapText="1"/>
    </xf>
    <xf numFmtId="167" fontId="43" fillId="0" borderId="0" xfId="0" applyNumberFormat="1" applyFont="1" applyAlignment="1" applyProtection="1">
      <alignment horizontal="right" indent="1"/>
      <protection locked="0"/>
    </xf>
    <xf numFmtId="3" fontId="5" fillId="5" borderId="0" xfId="0" applyNumberFormat="1" applyFont="1" applyFill="1" applyAlignment="1">
      <alignment horizontal="center" wrapText="1"/>
    </xf>
    <xf numFmtId="3" fontId="43" fillId="5" borderId="15" xfId="0" applyNumberFormat="1" applyFont="1" applyFill="1" applyBorder="1" applyAlignment="1">
      <alignment horizontal="right"/>
    </xf>
    <xf numFmtId="167" fontId="43" fillId="5" borderId="3" xfId="0" applyNumberFormat="1" applyFont="1" applyFill="1" applyBorder="1" applyAlignment="1">
      <alignment horizontal="right"/>
    </xf>
    <xf numFmtId="167" fontId="43" fillId="5" borderId="4" xfId="0" applyNumberFormat="1" applyFont="1" applyFill="1" applyBorder="1" applyAlignment="1">
      <alignment horizontal="right"/>
    </xf>
    <xf numFmtId="167" fontId="43" fillId="5" borderId="0" xfId="0" applyNumberFormat="1" applyFont="1" applyFill="1" applyAlignment="1">
      <alignment horizontal="right"/>
    </xf>
    <xf numFmtId="167" fontId="43" fillId="5" borderId="23" xfId="0" applyNumberFormat="1" applyFont="1" applyFill="1" applyBorder="1" applyAlignment="1">
      <alignment horizontal="right"/>
    </xf>
    <xf numFmtId="3" fontId="43" fillId="5" borderId="0" xfId="0" applyNumberFormat="1" applyFont="1" applyFill="1" applyAlignment="1">
      <alignment horizontal="right"/>
    </xf>
    <xf numFmtId="3" fontId="43" fillId="5" borderId="19" xfId="0" applyNumberFormat="1" applyFont="1" applyFill="1" applyBorder="1" applyAlignment="1">
      <alignment horizontal="right"/>
    </xf>
    <xf numFmtId="37" fontId="52" fillId="0" borderId="0" xfId="557" applyFont="1" applyAlignment="1">
      <alignment horizontal="centerContinuous"/>
    </xf>
    <xf numFmtId="37" fontId="12" fillId="0" borderId="0" xfId="557" applyFont="1" applyAlignment="1">
      <alignment horizontal="centerContinuous"/>
    </xf>
    <xf numFmtId="37" fontId="12" fillId="0" borderId="0" xfId="557" applyFont="1"/>
    <xf numFmtId="37" fontId="52" fillId="0" borderId="0" xfId="557" applyFont="1"/>
    <xf numFmtId="37" fontId="52" fillId="0" borderId="0" xfId="557" applyFont="1" applyAlignment="1">
      <alignment horizontal="center"/>
    </xf>
    <xf numFmtId="37" fontId="53" fillId="0" borderId="0" xfId="557" applyFont="1"/>
    <xf numFmtId="37" fontId="12" fillId="0" borderId="0" xfId="557" applyFont="1" applyAlignment="1">
      <alignment horizontal="right"/>
    </xf>
    <xf numFmtId="37" fontId="54" fillId="0" borderId="0" xfId="557" applyFont="1"/>
    <xf numFmtId="37" fontId="12" fillId="0" borderId="7" xfId="557" applyFont="1" applyBorder="1"/>
    <xf numFmtId="37" fontId="55" fillId="0" borderId="0" xfId="557" applyFont="1"/>
    <xf numFmtId="43" fontId="12" fillId="0" borderId="0" xfId="560" applyNumberFormat="1" applyFont="1"/>
    <xf numFmtId="41" fontId="12" fillId="0" borderId="0" xfId="557" applyNumberFormat="1" applyFont="1"/>
    <xf numFmtId="37" fontId="52" fillId="0" borderId="0" xfId="557" applyFont="1" applyAlignment="1">
      <alignment horizontal="right"/>
    </xf>
    <xf numFmtId="37" fontId="52" fillId="0" borderId="24" xfId="557" applyFont="1" applyBorder="1"/>
    <xf numFmtId="37" fontId="56" fillId="0" borderId="0" xfId="557" applyFont="1"/>
    <xf numFmtId="37" fontId="57" fillId="0" borderId="0" xfId="557" applyFont="1"/>
    <xf numFmtId="170" fontId="2" fillId="0" borderId="0" xfId="558" applyNumberFormat="1" applyFont="1" applyFill="1" applyBorder="1" applyProtection="1"/>
    <xf numFmtId="169" fontId="2" fillId="5" borderId="2" xfId="558" applyNumberFormat="1" applyFont="1" applyFill="1" applyBorder="1" applyProtection="1"/>
    <xf numFmtId="169" fontId="2" fillId="0" borderId="0" xfId="558" applyNumberFormat="1" applyFont="1" applyFill="1" applyBorder="1" applyProtection="1"/>
    <xf numFmtId="169" fontId="40" fillId="33" borderId="19" xfId="558" applyNumberFormat="1" applyFont="1" applyFill="1" applyBorder="1" applyAlignment="1" applyProtection="1">
      <alignment horizontal="center"/>
    </xf>
    <xf numFmtId="169" fontId="5" fillId="33" borderId="19" xfId="558" applyNumberFormat="1" applyFont="1" applyFill="1" applyBorder="1" applyProtection="1"/>
    <xf numFmtId="169" fontId="5" fillId="33" borderId="19" xfId="558" applyNumberFormat="1" applyFont="1" applyFill="1" applyBorder="1" applyAlignment="1" applyProtection="1">
      <alignment horizontal="center" vertical="center"/>
    </xf>
    <xf numFmtId="169" fontId="5" fillId="33" borderId="20" xfId="558" applyNumberFormat="1" applyFont="1" applyFill="1" applyBorder="1" applyAlignment="1" applyProtection="1">
      <alignment horizontal="center" vertical="center" wrapText="1"/>
    </xf>
    <xf numFmtId="169" fontId="2" fillId="0" borderId="19" xfId="558" applyNumberFormat="1" applyFont="1" applyFill="1" applyBorder="1" applyAlignment="1" applyProtection="1">
      <alignment horizontal="right" indent="1"/>
    </xf>
    <xf numFmtId="169" fontId="41" fillId="0" borderId="19" xfId="558" applyNumberFormat="1" applyFont="1" applyFill="1" applyBorder="1" applyAlignment="1" applyProtection="1">
      <alignment horizontal="right" indent="1"/>
    </xf>
    <xf numFmtId="169" fontId="43" fillId="5" borderId="19" xfId="558" applyNumberFormat="1" applyFont="1" applyFill="1" applyBorder="1" applyAlignment="1" applyProtection="1">
      <alignment horizontal="right" indent="1"/>
    </xf>
    <xf numFmtId="169" fontId="43" fillId="0" borderId="19" xfId="558" applyNumberFormat="1" applyFont="1" applyFill="1" applyBorder="1" applyAlignment="1" applyProtection="1">
      <alignment horizontal="right" indent="1"/>
    </xf>
    <xf numFmtId="169" fontId="43" fillId="5" borderId="19" xfId="558" applyNumberFormat="1" applyFont="1" applyFill="1" applyBorder="1" applyAlignment="1" applyProtection="1">
      <alignment horizontal="right"/>
    </xf>
    <xf numFmtId="169" fontId="40" fillId="0" borderId="22" xfId="558" applyNumberFormat="1" applyFont="1" applyFill="1" applyBorder="1" applyAlignment="1" applyProtection="1">
      <alignment horizontal="center" wrapText="1"/>
    </xf>
    <xf numFmtId="169" fontId="9" fillId="5" borderId="22" xfId="558" applyNumberFormat="1" applyFont="1" applyFill="1" applyBorder="1" applyAlignment="1" applyProtection="1">
      <alignment horizontal="right" vertical="center" indent="1"/>
    </xf>
    <xf numFmtId="169" fontId="2" fillId="7" borderId="0" xfId="558" applyNumberFormat="1" applyFont="1" applyFill="1" applyBorder="1" applyAlignment="1" applyProtection="1">
      <alignment horizontal="right" indent="1"/>
    </xf>
    <xf numFmtId="169" fontId="4" fillId="7" borderId="0" xfId="558" applyNumberFormat="1" applyFont="1" applyFill="1" applyBorder="1" applyProtection="1"/>
    <xf numFmtId="169" fontId="2" fillId="7" borderId="0" xfId="558" applyNumberFormat="1" applyFont="1" applyFill="1" applyBorder="1" applyProtection="1"/>
    <xf numFmtId="0" fontId="2" fillId="0" borderId="2" xfId="0" applyFont="1" applyBorder="1"/>
    <xf numFmtId="171" fontId="3" fillId="0" borderId="2" xfId="0" applyNumberFormat="1" applyFont="1" applyBorder="1" applyAlignment="1" applyProtection="1">
      <alignment horizontal="right" indent="1"/>
      <protection locked="0"/>
    </xf>
    <xf numFmtId="0" fontId="3" fillId="0" borderId="2" xfId="0" applyFont="1" applyBorder="1" applyProtection="1">
      <protection locked="0"/>
    </xf>
    <xf numFmtId="167" fontId="3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>
      <alignment horizontal="right" indent="1"/>
    </xf>
    <xf numFmtId="3" fontId="43" fillId="0" borderId="38" xfId="0" applyNumberFormat="1" applyFont="1" applyBorder="1" applyAlignment="1" applyProtection="1">
      <alignment horizontal="right" indent="1"/>
      <protection locked="0"/>
    </xf>
    <xf numFmtId="4" fontId="3" fillId="0" borderId="2" xfId="1" applyNumberFormat="1" applyFont="1" applyBorder="1" applyAlignment="1">
      <alignment horizontal="right"/>
    </xf>
    <xf numFmtId="0" fontId="60" fillId="20" borderId="0" xfId="0" applyFont="1" applyFill="1" applyAlignment="1">
      <alignment wrapText="1"/>
    </xf>
    <xf numFmtId="0" fontId="5" fillId="20" borderId="0" xfId="0" applyFont="1" applyFill="1" applyAlignment="1">
      <alignment wrapText="1"/>
    </xf>
    <xf numFmtId="0" fontId="5" fillId="20" borderId="25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60" fillId="20" borderId="28" xfId="0" applyFont="1" applyFill="1" applyBorder="1" applyAlignment="1">
      <alignment wrapText="1"/>
    </xf>
    <xf numFmtId="0" fontId="5" fillId="20" borderId="0" xfId="0" applyFont="1" applyFill="1" applyAlignment="1">
      <alignment horizontal="center"/>
    </xf>
    <xf numFmtId="0" fontId="60" fillId="20" borderId="32" xfId="0" applyFont="1" applyFill="1" applyBorder="1" applyAlignment="1">
      <alignment wrapText="1"/>
    </xf>
    <xf numFmtId="0" fontId="60" fillId="20" borderId="33" xfId="0" applyFont="1" applyFill="1" applyBorder="1" applyAlignment="1">
      <alignment wrapText="1"/>
    </xf>
    <xf numFmtId="0" fontId="5" fillId="20" borderId="32" xfId="0" applyFont="1" applyFill="1" applyBorder="1"/>
    <xf numFmtId="0" fontId="5" fillId="20" borderId="33" xfId="0" applyFont="1" applyFill="1" applyBorder="1"/>
    <xf numFmtId="167" fontId="5" fillId="20" borderId="33" xfId="0" applyNumberFormat="1" applyFont="1" applyFill="1" applyBorder="1"/>
    <xf numFmtId="0" fontId="5" fillId="20" borderId="34" xfId="0" applyFont="1" applyFill="1" applyBorder="1"/>
    <xf numFmtId="0" fontId="60" fillId="20" borderId="28" xfId="0" applyFont="1" applyFill="1" applyBorder="1"/>
    <xf numFmtId="0" fontId="60" fillId="20" borderId="0" xfId="0" applyFont="1" applyFill="1"/>
    <xf numFmtId="0" fontId="60" fillId="20" borderId="0" xfId="0" applyFont="1" applyFill="1" applyAlignment="1">
      <alignment horizontal="center" vertical="center"/>
    </xf>
    <xf numFmtId="0" fontId="38" fillId="20" borderId="29" xfId="0" applyFont="1" applyFill="1" applyBorder="1" applyAlignment="1">
      <alignment horizontal="center" vertical="center" wrapText="1"/>
    </xf>
    <xf numFmtId="0" fontId="5" fillId="20" borderId="30" xfId="0" applyFont="1" applyFill="1" applyBorder="1" applyAlignment="1">
      <alignment horizontal="center" vertical="center" wrapText="1"/>
    </xf>
    <xf numFmtId="0" fontId="5" fillId="20" borderId="35" xfId="0" applyFont="1" applyFill="1" applyBorder="1" applyAlignment="1">
      <alignment horizontal="center" vertical="center" wrapText="1"/>
    </xf>
    <xf numFmtId="0" fontId="5" fillId="20" borderId="29" xfId="0" applyFont="1" applyFill="1" applyBorder="1" applyAlignment="1">
      <alignment horizontal="center" vertical="center" wrapText="1"/>
    </xf>
    <xf numFmtId="0" fontId="5" fillId="20" borderId="31" xfId="0" applyFont="1" applyFill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27" borderId="26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9" borderId="26" xfId="0" applyFont="1" applyFill="1" applyBorder="1" applyAlignment="1">
      <alignment horizontal="center" vertical="center" wrapText="1"/>
    </xf>
    <xf numFmtId="0" fontId="5" fillId="30" borderId="26" xfId="0" applyFont="1" applyFill="1" applyBorder="1" applyAlignment="1">
      <alignment horizontal="center" vertical="center" wrapText="1"/>
    </xf>
    <xf numFmtId="0" fontId="5" fillId="31" borderId="26" xfId="0" applyFont="1" applyFill="1" applyBorder="1" applyAlignment="1">
      <alignment horizontal="center" vertical="center" wrapText="1"/>
    </xf>
    <xf numFmtId="0" fontId="5" fillId="32" borderId="26" xfId="0" applyFont="1" applyFill="1" applyBorder="1" applyAlignment="1">
      <alignment horizontal="center" vertical="center" wrapText="1"/>
    </xf>
    <xf numFmtId="167" fontId="5" fillId="28" borderId="26" xfId="0" applyNumberFormat="1" applyFont="1" applyFill="1" applyBorder="1" applyAlignment="1">
      <alignment horizontal="center" vertical="center" wrapText="1"/>
    </xf>
    <xf numFmtId="0" fontId="60" fillId="20" borderId="0" xfId="0" applyFont="1" applyFill="1" applyAlignment="1">
      <alignment horizontal="center" vertical="center" wrapText="1"/>
    </xf>
    <xf numFmtId="0" fontId="38" fillId="0" borderId="13" xfId="0" applyFont="1" applyBorder="1"/>
    <xf numFmtId="0" fontId="3" fillId="0" borderId="0" xfId="0" applyFont="1" applyAlignment="1">
      <alignment horizontal="center"/>
    </xf>
    <xf numFmtId="4" fontId="3" fillId="0" borderId="12" xfId="0" applyNumberFormat="1" applyFont="1" applyBorder="1"/>
    <xf numFmtId="0" fontId="3" fillId="0" borderId="36" xfId="0" applyFont="1" applyBorder="1"/>
    <xf numFmtId="4" fontId="3" fillId="0" borderId="36" xfId="0" applyNumberFormat="1" applyFont="1" applyBorder="1"/>
    <xf numFmtId="0" fontId="3" fillId="0" borderId="37" xfId="0" applyFont="1" applyBorder="1"/>
    <xf numFmtId="4" fontId="3" fillId="0" borderId="14" xfId="0" applyNumberFormat="1" applyFont="1" applyBorder="1"/>
    <xf numFmtId="4" fontId="3" fillId="0" borderId="37" xfId="0" applyNumberFormat="1" applyFont="1" applyBorder="1"/>
    <xf numFmtId="167" fontId="3" fillId="0" borderId="37" xfId="0" applyNumberFormat="1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right" indent="1"/>
    </xf>
    <xf numFmtId="0" fontId="3" fillId="0" borderId="4" xfId="0" applyFont="1" applyBorder="1"/>
    <xf numFmtId="167" fontId="3" fillId="0" borderId="2" xfId="0" applyNumberFormat="1" applyFont="1" applyBorder="1"/>
    <xf numFmtId="0" fontId="51" fillId="0" borderId="2" xfId="0" applyFont="1" applyBorder="1" applyAlignment="1">
      <alignment horizontal="left" indent="1"/>
    </xf>
    <xf numFmtId="4" fontId="3" fillId="0" borderId="0" xfId="0" applyNumberFormat="1" applyFont="1" applyAlignment="1">
      <alignment horizontal="right" indent="1"/>
    </xf>
    <xf numFmtId="2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0" xfId="0" applyNumberFormat="1" applyFont="1"/>
    <xf numFmtId="0" fontId="3" fillId="7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" fontId="44" fillId="7" borderId="0" xfId="0" applyNumberFormat="1" applyFont="1" applyFill="1" applyAlignment="1">
      <alignment horizontal="right" indent="1"/>
    </xf>
    <xf numFmtId="4" fontId="44" fillId="0" borderId="0" xfId="0" applyNumberFormat="1" applyFont="1" applyAlignment="1">
      <alignment horizontal="right" indent="1"/>
    </xf>
    <xf numFmtId="2" fontId="44" fillId="0" borderId="0" xfId="0" applyNumberFormat="1" applyFont="1" applyAlignment="1">
      <alignment horizontal="right" indent="1"/>
    </xf>
    <xf numFmtId="0" fontId="44" fillId="7" borderId="0" xfId="0" applyFont="1" applyFill="1"/>
    <xf numFmtId="167" fontId="2" fillId="7" borderId="0" xfId="0" applyNumberFormat="1" applyFont="1" applyFill="1" applyAlignment="1">
      <alignment horizontal="right" indent="1"/>
    </xf>
    <xf numFmtId="167" fontId="3" fillId="5" borderId="2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44" fillId="0" borderId="0" xfId="0" applyFont="1"/>
    <xf numFmtId="0" fontId="3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7" borderId="2" xfId="0" applyFont="1" applyFill="1" applyBorder="1" applyAlignment="1">
      <alignment horizontal="left" vertical="center" wrapText="1" indent="2"/>
    </xf>
    <xf numFmtId="0" fontId="39" fillId="3" borderId="0" xfId="0" applyFont="1" applyFill="1"/>
    <xf numFmtId="0" fontId="49" fillId="3" borderId="0" xfId="0" applyFont="1" applyFill="1" applyAlignment="1">
      <alignment horizontal="center"/>
    </xf>
    <xf numFmtId="0" fontId="49" fillId="3" borderId="0" xfId="0" applyFont="1" applyFill="1" applyAlignment="1">
      <alignment horizontal="right" indent="1"/>
    </xf>
    <xf numFmtId="0" fontId="49" fillId="3" borderId="0" xfId="0" applyFont="1" applyFill="1"/>
    <xf numFmtId="2" fontId="49" fillId="3" borderId="0" xfId="0" applyNumberFormat="1" applyFont="1" applyFill="1" applyAlignment="1">
      <alignment horizontal="right" indent="1"/>
    </xf>
    <xf numFmtId="167" fontId="49" fillId="3" borderId="0" xfId="0" applyNumberFormat="1" applyFont="1" applyFill="1" applyAlignment="1">
      <alignment horizontal="right" indent="1"/>
    </xf>
    <xf numFmtId="3" fontId="49" fillId="3" borderId="0" xfId="0" applyNumberFormat="1" applyFont="1" applyFill="1"/>
    <xf numFmtId="167" fontId="49" fillId="3" borderId="0" xfId="0" applyNumberFormat="1" applyFont="1" applyFill="1"/>
    <xf numFmtId="0" fontId="38" fillId="0" borderId="8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 indent="1"/>
    </xf>
    <xf numFmtId="2" fontId="3" fillId="0" borderId="7" xfId="0" applyNumberFormat="1" applyFont="1" applyBorder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0" fontId="3" fillId="0" borderId="6" xfId="0" applyFont="1" applyBorder="1"/>
    <xf numFmtId="3" fontId="3" fillId="0" borderId="8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167" fontId="3" fillId="0" borderId="6" xfId="0" applyNumberFormat="1" applyFont="1" applyBorder="1"/>
    <xf numFmtId="167" fontId="3" fillId="0" borderId="2" xfId="0" applyNumberFormat="1" applyFont="1" applyBorder="1" applyAlignment="1">
      <alignment horizontal="right" indent="1"/>
    </xf>
    <xf numFmtId="3" fontId="3" fillId="0" borderId="2" xfId="0" applyNumberFormat="1" applyFont="1" applyBorder="1"/>
    <xf numFmtId="167" fontId="3" fillId="0" borderId="2" xfId="560" applyNumberFormat="1" applyFont="1" applyBorder="1" applyProtection="1"/>
    <xf numFmtId="43" fontId="2" fillId="0" borderId="0" xfId="0" applyNumberFormat="1" applyFont="1"/>
    <xf numFmtId="0" fontId="2" fillId="3" borderId="2" xfId="0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right" indent="1"/>
    </xf>
    <xf numFmtId="0" fontId="2" fillId="3" borderId="4" xfId="0" applyFont="1" applyFill="1" applyBorder="1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4" fillId="3" borderId="0" xfId="0" applyFont="1" applyFill="1" applyAlignment="1">
      <alignment wrapText="1"/>
    </xf>
    <xf numFmtId="0" fontId="45" fillId="3" borderId="0" xfId="0" applyFont="1" applyFill="1"/>
    <xf numFmtId="3" fontId="45" fillId="3" borderId="0" xfId="0" applyNumberFormat="1" applyFont="1" applyFill="1"/>
    <xf numFmtId="167" fontId="45" fillId="3" borderId="0" xfId="0" applyNumberFormat="1" applyFont="1" applyFill="1"/>
    <xf numFmtId="167" fontId="0" fillId="3" borderId="0" xfId="0" applyNumberFormat="1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40" fillId="34" borderId="19" xfId="0" applyFont="1" applyFill="1" applyBorder="1" applyAlignment="1">
      <alignment horizontal="center"/>
    </xf>
    <xf numFmtId="0" fontId="40" fillId="34" borderId="0" xfId="0" applyFont="1" applyFill="1" applyAlignment="1">
      <alignment horizontal="center"/>
    </xf>
    <xf numFmtId="0" fontId="40" fillId="34" borderId="10" xfId="0" applyFont="1" applyFill="1" applyBorder="1" applyAlignment="1">
      <alignment horizontal="center"/>
    </xf>
    <xf numFmtId="0" fontId="5" fillId="34" borderId="19" xfId="0" applyFont="1" applyFill="1" applyBorder="1"/>
    <xf numFmtId="0" fontId="5" fillId="34" borderId="0" xfId="0" applyFont="1" applyFill="1"/>
    <xf numFmtId="0" fontId="5" fillId="34" borderId="10" xfId="0" applyFont="1" applyFill="1" applyBorder="1"/>
    <xf numFmtId="0" fontId="5" fillId="34" borderId="19" xfId="0" applyFont="1" applyFill="1" applyBorder="1" applyAlignment="1">
      <alignment horizontal="center" vertical="center"/>
    </xf>
    <xf numFmtId="0" fontId="5" fillId="34" borderId="0" xfId="0" applyFont="1" applyFill="1" applyAlignment="1">
      <alignment horizontal="center" vertical="center"/>
    </xf>
    <xf numFmtId="0" fontId="5" fillId="34" borderId="12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 wrapText="1"/>
    </xf>
    <xf numFmtId="0" fontId="5" fillId="34" borderId="20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7" fillId="34" borderId="6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169" fontId="43" fillId="5" borderId="4" xfId="558" applyNumberFormat="1" applyFont="1" applyFill="1" applyBorder="1" applyAlignment="1" applyProtection="1">
      <alignment horizontal="right" indent="1"/>
    </xf>
    <xf numFmtId="167" fontId="43" fillId="5" borderId="15" xfId="0" applyNumberFormat="1" applyFont="1" applyFill="1" applyBorder="1" applyAlignment="1">
      <alignment horizontal="right" indent="1"/>
    </xf>
    <xf numFmtId="3" fontId="43" fillId="0" borderId="38" xfId="0" applyNumberFormat="1" applyFont="1" applyBorder="1" applyAlignment="1">
      <alignment horizontal="right" indent="1"/>
    </xf>
    <xf numFmtId="3" fontId="43" fillId="0" borderId="2" xfId="0" applyNumberFormat="1" applyFont="1" applyBorder="1" applyAlignment="1">
      <alignment horizontal="right" indent="1"/>
    </xf>
    <xf numFmtId="167" fontId="43" fillId="5" borderId="2" xfId="0" applyNumberFormat="1" applyFont="1" applyFill="1" applyBorder="1" applyAlignment="1">
      <alignment horizontal="right" indent="1"/>
    </xf>
    <xf numFmtId="167" fontId="43" fillId="0" borderId="2" xfId="0" applyNumberFormat="1" applyFont="1" applyBorder="1" applyAlignment="1">
      <alignment horizontal="right" indent="1"/>
    </xf>
    <xf numFmtId="167" fontId="43" fillId="5" borderId="8" xfId="0" applyNumberFormat="1" applyFont="1" applyFill="1" applyBorder="1" applyAlignment="1">
      <alignment horizontal="right" indent="1"/>
    </xf>
    <xf numFmtId="169" fontId="43" fillId="5" borderId="38" xfId="558" applyNumberFormat="1" applyFont="1" applyFill="1" applyBorder="1" applyAlignment="1" applyProtection="1">
      <alignment horizontal="right" indent="1"/>
    </xf>
    <xf numFmtId="3" fontId="43" fillId="5" borderId="38" xfId="0" applyNumberFormat="1" applyFont="1" applyFill="1" applyBorder="1" applyAlignment="1">
      <alignment horizontal="right" indent="1"/>
    </xf>
    <xf numFmtId="169" fontId="9" fillId="0" borderId="22" xfId="558" applyNumberFormat="1" applyFont="1" applyBorder="1" applyAlignment="1" applyProtection="1">
      <alignment horizontal="right" vertical="center" indent="1"/>
    </xf>
    <xf numFmtId="169" fontId="9" fillId="5" borderId="2" xfId="558" applyNumberFormat="1" applyFont="1" applyFill="1" applyBorder="1" applyAlignment="1" applyProtection="1">
      <alignment horizontal="right" vertical="center" indent="1"/>
    </xf>
    <xf numFmtId="3" fontId="9" fillId="0" borderId="0" xfId="0" applyNumberFormat="1" applyFont="1" applyProtection="1">
      <protection locked="0"/>
    </xf>
    <xf numFmtId="37" fontId="52" fillId="0" borderId="39" xfId="557" applyFont="1" applyBorder="1" applyAlignment="1">
      <alignment horizontal="center"/>
    </xf>
    <xf numFmtId="169" fontId="12" fillId="0" borderId="0" xfId="560" applyNumberFormat="1" applyFont="1" applyFill="1"/>
    <xf numFmtId="169" fontId="12" fillId="0" borderId="0" xfId="560" applyNumberFormat="1" applyFont="1"/>
    <xf numFmtId="37" fontId="12" fillId="0" borderId="39" xfId="557" applyFont="1" applyBorder="1"/>
    <xf numFmtId="3" fontId="9" fillId="0" borderId="22" xfId="0" applyNumberFormat="1" applyFont="1" applyBorder="1" applyAlignment="1" applyProtection="1">
      <alignment horizontal="right" vertical="center" indent="1"/>
      <protection locked="0"/>
    </xf>
    <xf numFmtId="167" fontId="3" fillId="5" borderId="0" xfId="0" applyNumberFormat="1" applyFont="1" applyFill="1"/>
    <xf numFmtId="0" fontId="45" fillId="3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37" fillId="7" borderId="16" xfId="0" applyFont="1" applyFill="1" applyBorder="1" applyAlignment="1">
      <alignment horizontal="center" wrapText="1"/>
    </xf>
    <xf numFmtId="0" fontId="43" fillId="7" borderId="17" xfId="0" applyFont="1" applyFill="1" applyBorder="1" applyAlignment="1">
      <alignment horizontal="left" vertical="top"/>
    </xf>
    <xf numFmtId="0" fontId="43" fillId="7" borderId="18" xfId="0" applyFont="1" applyFill="1" applyBorder="1" applyAlignment="1">
      <alignment horizontal="left" vertical="top"/>
    </xf>
    <xf numFmtId="0" fontId="43" fillId="7" borderId="21" xfId="0" applyFont="1" applyFill="1" applyBorder="1" applyAlignment="1">
      <alignment horizontal="left" vertical="top"/>
    </xf>
    <xf numFmtId="0" fontId="43" fillId="7" borderId="15" xfId="0" applyFont="1" applyFill="1" applyBorder="1" applyAlignment="1">
      <alignment horizontal="left" vertical="top"/>
    </xf>
    <xf numFmtId="0" fontId="43" fillId="7" borderId="0" xfId="0" applyFont="1" applyFill="1" applyAlignment="1">
      <alignment horizontal="left" vertical="top"/>
    </xf>
    <xf numFmtId="0" fontId="43" fillId="7" borderId="10" xfId="0" applyFont="1" applyFill="1" applyBorder="1" applyAlignment="1">
      <alignment horizontal="left" vertical="top"/>
    </xf>
    <xf numFmtId="0" fontId="43" fillId="7" borderId="12" xfId="0" applyFont="1" applyFill="1" applyBorder="1" applyAlignment="1">
      <alignment horizontal="left" vertical="top"/>
    </xf>
    <xf numFmtId="0" fontId="43" fillId="7" borderId="36" xfId="0" applyFont="1" applyFill="1" applyBorder="1" applyAlignment="1">
      <alignment horizontal="left" vertical="top"/>
    </xf>
    <xf numFmtId="0" fontId="43" fillId="7" borderId="23" xfId="0" applyFont="1" applyFill="1" applyBorder="1" applyAlignment="1">
      <alignment horizontal="left" vertical="top"/>
    </xf>
    <xf numFmtId="0" fontId="5" fillId="34" borderId="8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61" fillId="11" borderId="10" xfId="0" applyFont="1" applyFill="1" applyBorder="1" applyAlignment="1">
      <alignment horizontal="center"/>
    </xf>
    <xf numFmtId="170" fontId="2" fillId="5" borderId="2" xfId="558" applyNumberFormat="1" applyFont="1" applyFill="1" applyBorder="1" applyProtection="1">
      <protection locked="0"/>
    </xf>
    <xf numFmtId="167" fontId="43" fillId="5" borderId="10" xfId="0" applyNumberFormat="1" applyFont="1" applyFill="1" applyBorder="1" applyAlignment="1" applyProtection="1">
      <alignment horizontal="right" indent="1"/>
      <protection locked="0"/>
    </xf>
    <xf numFmtId="3" fontId="9" fillId="36" borderId="0" xfId="0" applyNumberFormat="1" applyFont="1" applyFill="1"/>
    <xf numFmtId="171" fontId="3" fillId="0" borderId="2" xfId="0" applyNumberFormat="1" applyFont="1" applyBorder="1"/>
    <xf numFmtId="167" fontId="2" fillId="7" borderId="0" xfId="0" applyNumberFormat="1" applyFont="1" applyFill="1"/>
    <xf numFmtId="167" fontId="3" fillId="0" borderId="7" xfId="0" applyNumberFormat="1" applyFont="1" applyBorder="1"/>
    <xf numFmtId="171" fontId="3" fillId="0" borderId="2" xfId="0" applyNumberFormat="1" applyFont="1" applyBorder="1" applyAlignment="1">
      <alignment horizontal="right"/>
    </xf>
    <xf numFmtId="171" fontId="3" fillId="0" borderId="2" xfId="0" applyNumberFormat="1" applyFont="1" applyBorder="1" applyAlignment="1" applyProtection="1">
      <alignment horizontal="right"/>
      <protection locked="0"/>
    </xf>
    <xf numFmtId="5" fontId="3" fillId="0" borderId="2" xfId="560" applyNumberFormat="1" applyFont="1" applyFill="1" applyBorder="1" applyAlignment="1" applyProtection="1"/>
    <xf numFmtId="167" fontId="3" fillId="0" borderId="2" xfId="558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167" fontId="3" fillId="0" borderId="2" xfId="558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2" fillId="3" borderId="2" xfId="0" applyFont="1" applyFill="1" applyBorder="1" applyAlignment="1">
      <alignment horizontal="right"/>
    </xf>
    <xf numFmtId="49" fontId="46" fillId="3" borderId="8" xfId="558" applyNumberFormat="1" applyFont="1" applyFill="1" applyBorder="1" applyAlignment="1" applyProtection="1">
      <alignment horizontal="left" vertical="top" wrapText="1"/>
    </xf>
    <xf numFmtId="49" fontId="58" fillId="3" borderId="7" xfId="558" applyNumberFormat="1" applyFont="1" applyFill="1" applyBorder="1" applyAlignment="1" applyProtection="1">
      <alignment horizontal="left" vertical="top" wrapText="1"/>
    </xf>
    <xf numFmtId="49" fontId="58" fillId="3" borderId="6" xfId="558" applyNumberFormat="1" applyFont="1" applyFill="1" applyBorder="1" applyAlignment="1" applyProtection="1">
      <alignment horizontal="left" vertical="top" wrapText="1"/>
    </xf>
    <xf numFmtId="49" fontId="46" fillId="3" borderId="8" xfId="558" applyNumberFormat="1" applyFont="1" applyFill="1" applyBorder="1" applyAlignment="1" applyProtection="1">
      <alignment horizontal="left" vertical="top" wrapText="1"/>
      <protection locked="0"/>
    </xf>
    <xf numFmtId="49" fontId="58" fillId="3" borderId="7" xfId="558" applyNumberFormat="1" applyFont="1" applyFill="1" applyBorder="1" applyAlignment="1" applyProtection="1">
      <alignment horizontal="left" vertical="top" wrapText="1"/>
      <protection locked="0"/>
    </xf>
    <xf numFmtId="49" fontId="58" fillId="3" borderId="6" xfId="558" applyNumberFormat="1" applyFont="1" applyFill="1" applyBorder="1" applyAlignment="1" applyProtection="1">
      <alignment horizontal="left" vertical="top" wrapText="1"/>
      <protection locked="0"/>
    </xf>
    <xf numFmtId="0" fontId="8" fillId="16" borderId="8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left" vertical="top" wrapText="1"/>
    </xf>
    <xf numFmtId="0" fontId="47" fillId="3" borderId="7" xfId="0" applyFont="1" applyFill="1" applyBorder="1" applyAlignment="1">
      <alignment horizontal="left" vertical="top" wrapText="1"/>
    </xf>
    <xf numFmtId="0" fontId="47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36" fillId="16" borderId="8" xfId="0" applyFont="1" applyFill="1" applyBorder="1" applyAlignment="1">
      <alignment horizontal="center"/>
    </xf>
    <xf numFmtId="0" fontId="36" fillId="16" borderId="7" xfId="0" applyFont="1" applyFill="1" applyBorder="1" applyAlignment="1">
      <alignment horizontal="center"/>
    </xf>
    <xf numFmtId="0" fontId="36" fillId="16" borderId="6" xfId="0" applyFont="1" applyFill="1" applyBorder="1" applyAlignment="1">
      <alignment horizontal="center"/>
    </xf>
    <xf numFmtId="0" fontId="36" fillId="14" borderId="8" xfId="0" applyFont="1" applyFill="1" applyBorder="1" applyAlignment="1">
      <alignment horizontal="center"/>
    </xf>
    <xf numFmtId="0" fontId="36" fillId="14" borderId="7" xfId="0" applyFont="1" applyFill="1" applyBorder="1" applyAlignment="1">
      <alignment horizontal="center"/>
    </xf>
    <xf numFmtId="0" fontId="36" fillId="14" borderId="6" xfId="0" applyFont="1" applyFill="1" applyBorder="1" applyAlignment="1">
      <alignment horizontal="center"/>
    </xf>
    <xf numFmtId="0" fontId="36" fillId="12" borderId="8" xfId="0" applyFont="1" applyFill="1" applyBorder="1" applyAlignment="1">
      <alignment horizontal="center"/>
    </xf>
    <xf numFmtId="0" fontId="36" fillId="12" borderId="7" xfId="0" applyFont="1" applyFill="1" applyBorder="1" applyAlignment="1">
      <alignment horizontal="center"/>
    </xf>
    <xf numFmtId="0" fontId="36" fillId="12" borderId="6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9" fillId="3" borderId="0" xfId="0" applyFont="1" applyFill="1" applyAlignment="1">
      <alignment horizontal="left"/>
    </xf>
    <xf numFmtId="0" fontId="59" fillId="3" borderId="9" xfId="0" applyFont="1" applyFill="1" applyBorder="1" applyAlignment="1">
      <alignment horizontal="left"/>
    </xf>
    <xf numFmtId="0" fontId="48" fillId="3" borderId="0" xfId="0" applyFont="1" applyFill="1" applyAlignment="1">
      <alignment horizontal="left"/>
    </xf>
    <xf numFmtId="0" fontId="48" fillId="3" borderId="9" xfId="0" applyFont="1" applyFill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21" borderId="29" xfId="0" applyFont="1" applyFill="1" applyBorder="1" applyAlignment="1">
      <alignment horizontal="center"/>
    </xf>
    <xf numFmtId="0" fontId="5" fillId="21" borderId="30" xfId="0" applyFont="1" applyFill="1" applyBorder="1" applyAlignment="1">
      <alignment horizontal="center"/>
    </xf>
    <xf numFmtId="0" fontId="5" fillId="22" borderId="29" xfId="0" applyFont="1" applyFill="1" applyBorder="1" applyAlignment="1">
      <alignment horizontal="center"/>
    </xf>
    <xf numFmtId="0" fontId="5" fillId="22" borderId="30" xfId="0" applyFont="1" applyFill="1" applyBorder="1" applyAlignment="1">
      <alignment horizontal="center"/>
    </xf>
    <xf numFmtId="0" fontId="5" fillId="23" borderId="29" xfId="0" applyFont="1" applyFill="1" applyBorder="1" applyAlignment="1">
      <alignment horizontal="center"/>
    </xf>
    <xf numFmtId="0" fontId="5" fillId="23" borderId="30" xfId="0" applyFont="1" applyFill="1" applyBorder="1" applyAlignment="1">
      <alignment horizontal="center"/>
    </xf>
    <xf numFmtId="0" fontId="5" fillId="24" borderId="29" xfId="0" applyFont="1" applyFill="1" applyBorder="1" applyAlignment="1">
      <alignment horizontal="center"/>
    </xf>
    <xf numFmtId="0" fontId="5" fillId="24" borderId="3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31" xfId="0" applyFont="1" applyFill="1" applyBorder="1" applyAlignment="1">
      <alignment horizontal="center"/>
    </xf>
    <xf numFmtId="0" fontId="5" fillId="26" borderId="29" xfId="0" applyFont="1" applyFill="1" applyBorder="1" applyAlignment="1">
      <alignment horizontal="center"/>
    </xf>
    <xf numFmtId="0" fontId="5" fillId="26" borderId="30" xfId="0" applyFont="1" applyFill="1" applyBorder="1" applyAlignment="1">
      <alignment horizontal="center"/>
    </xf>
    <xf numFmtId="0" fontId="5" fillId="37" borderId="29" xfId="0" applyFont="1" applyFill="1" applyBorder="1" applyAlignment="1">
      <alignment horizontal="center"/>
    </xf>
    <xf numFmtId="0" fontId="5" fillId="37" borderId="31" xfId="0" applyFont="1" applyFill="1" applyBorder="1" applyAlignment="1">
      <alignment horizontal="center"/>
    </xf>
    <xf numFmtId="0" fontId="5" fillId="35" borderId="29" xfId="0" applyFont="1" applyFill="1" applyBorder="1" applyAlignment="1">
      <alignment horizontal="center"/>
    </xf>
    <xf numFmtId="0" fontId="5" fillId="35" borderId="31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50" fillId="3" borderId="8" xfId="0" applyFont="1" applyFill="1" applyBorder="1" applyAlignment="1">
      <alignment horizontal="left" vertical="top" wrapText="1"/>
    </xf>
    <xf numFmtId="0" fontId="50" fillId="3" borderId="6" xfId="0" applyFont="1" applyFill="1" applyBorder="1" applyAlignment="1">
      <alignment horizontal="left" vertical="top" wrapText="1"/>
    </xf>
    <xf numFmtId="0" fontId="45" fillId="3" borderId="8" xfId="0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/>
    </xf>
    <xf numFmtId="0" fontId="45" fillId="38" borderId="8" xfId="0" applyFont="1" applyFill="1" applyBorder="1" applyAlignment="1">
      <alignment horizontal="center" vertical="center"/>
    </xf>
    <xf numFmtId="0" fontId="45" fillId="38" borderId="6" xfId="0" applyFont="1" applyFill="1" applyBorder="1" applyAlignment="1">
      <alignment horizontal="center" vertical="center"/>
    </xf>
    <xf numFmtId="0" fontId="45" fillId="3" borderId="15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50" fillId="3" borderId="8" xfId="0" applyFont="1" applyFill="1" applyBorder="1" applyAlignment="1">
      <alignment horizontal="left" vertical="top"/>
    </xf>
    <xf numFmtId="0" fontId="50" fillId="3" borderId="6" xfId="0" applyFont="1" applyFill="1" applyBorder="1" applyAlignment="1">
      <alignment horizontal="left" vertical="top"/>
    </xf>
    <xf numFmtId="0" fontId="0" fillId="3" borderId="1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62" fillId="3" borderId="8" xfId="0" applyFont="1" applyFill="1" applyBorder="1" applyAlignment="1">
      <alignment horizontal="left" vertical="top" wrapText="1"/>
    </xf>
    <xf numFmtId="0" fontId="62" fillId="3" borderId="6" xfId="0" applyFont="1" applyFill="1" applyBorder="1" applyAlignment="1">
      <alignment horizontal="left" vertical="top" wrapText="1"/>
    </xf>
    <xf numFmtId="0" fontId="45" fillId="15" borderId="8" xfId="0" applyFont="1" applyFill="1" applyBorder="1" applyAlignment="1">
      <alignment horizontal="center" vertical="center"/>
    </xf>
    <xf numFmtId="0" fontId="45" fillId="15" borderId="6" xfId="0" applyFont="1" applyFill="1" applyBorder="1" applyAlignment="1">
      <alignment horizontal="center" vertical="center"/>
    </xf>
    <xf numFmtId="0" fontId="45" fillId="16" borderId="8" xfId="0" applyFont="1" applyFill="1" applyBorder="1" applyAlignment="1">
      <alignment horizontal="center" vertical="center"/>
    </xf>
    <xf numFmtId="0" fontId="45" fillId="16" borderId="6" xfId="0" applyFont="1" applyFill="1" applyBorder="1" applyAlignment="1">
      <alignment horizontal="center" vertical="center"/>
    </xf>
    <xf numFmtId="0" fontId="43" fillId="7" borderId="17" xfId="0" applyFont="1" applyFill="1" applyBorder="1" applyAlignment="1">
      <alignment horizontal="left" vertical="top"/>
    </xf>
    <xf numFmtId="0" fontId="43" fillId="7" borderId="18" xfId="0" applyFont="1" applyFill="1" applyBorder="1" applyAlignment="1">
      <alignment horizontal="left" vertical="top"/>
    </xf>
    <xf numFmtId="0" fontId="43" fillId="7" borderId="21" xfId="0" applyFont="1" applyFill="1" applyBorder="1" applyAlignment="1">
      <alignment horizontal="left" vertical="top"/>
    </xf>
    <xf numFmtId="0" fontId="43" fillId="7" borderId="15" xfId="0" applyFont="1" applyFill="1" applyBorder="1" applyAlignment="1">
      <alignment horizontal="left" vertical="top"/>
    </xf>
    <xf numFmtId="0" fontId="43" fillId="7" borderId="0" xfId="0" applyFont="1" applyFill="1" applyAlignment="1">
      <alignment horizontal="left" vertical="top"/>
    </xf>
    <xf numFmtId="0" fontId="43" fillId="7" borderId="10" xfId="0" applyFont="1" applyFill="1" applyBorder="1" applyAlignment="1">
      <alignment horizontal="left" vertical="top"/>
    </xf>
    <xf numFmtId="0" fontId="43" fillId="7" borderId="12" xfId="0" applyFont="1" applyFill="1" applyBorder="1" applyAlignment="1">
      <alignment horizontal="left" vertical="top"/>
    </xf>
    <xf numFmtId="0" fontId="43" fillId="7" borderId="36" xfId="0" applyFont="1" applyFill="1" applyBorder="1" applyAlignment="1">
      <alignment horizontal="left" vertical="top"/>
    </xf>
    <xf numFmtId="0" fontId="43" fillId="7" borderId="23" xfId="0" applyFont="1" applyFill="1" applyBorder="1" applyAlignment="1">
      <alignment horizontal="left" vertical="top"/>
    </xf>
    <xf numFmtId="0" fontId="61" fillId="11" borderId="19" xfId="0" applyFont="1" applyFill="1" applyBorder="1" applyAlignment="1">
      <alignment horizontal="center"/>
    </xf>
    <xf numFmtId="0" fontId="61" fillId="11" borderId="0" xfId="0" applyFont="1" applyFill="1" applyAlignment="1">
      <alignment horizontal="center"/>
    </xf>
    <xf numFmtId="0" fontId="61" fillId="11" borderId="10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wrapText="1"/>
    </xf>
    <xf numFmtId="0" fontId="37" fillId="7" borderId="7" xfId="0" applyFont="1" applyFill="1" applyBorder="1" applyAlignment="1">
      <alignment horizontal="center" wrapText="1"/>
    </xf>
    <xf numFmtId="0" fontId="37" fillId="7" borderId="16" xfId="0" applyFont="1" applyFill="1" applyBorder="1" applyAlignment="1">
      <alignment horizontal="center" wrapText="1"/>
    </xf>
    <xf numFmtId="0" fontId="61" fillId="34" borderId="19" xfId="0" applyFont="1" applyFill="1" applyBorder="1" applyAlignment="1">
      <alignment horizontal="center"/>
    </xf>
    <xf numFmtId="0" fontId="61" fillId="34" borderId="0" xfId="0" applyFont="1" applyFill="1" applyAlignment="1">
      <alignment horizontal="center"/>
    </xf>
    <xf numFmtId="0" fontId="61" fillId="34" borderId="10" xfId="0" applyFont="1" applyFill="1" applyBorder="1" applyAlignment="1">
      <alignment horizontal="center"/>
    </xf>
    <xf numFmtId="0" fontId="5" fillId="34" borderId="8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61" fillId="18" borderId="19" xfId="0" applyFont="1" applyFill="1" applyBorder="1" applyAlignment="1">
      <alignment horizontal="center"/>
    </xf>
    <xf numFmtId="0" fontId="61" fillId="18" borderId="0" xfId="0" applyFont="1" applyFill="1" applyAlignment="1">
      <alignment horizontal="center"/>
    </xf>
    <xf numFmtId="0" fontId="61" fillId="18" borderId="10" xfId="0" applyFont="1" applyFill="1" applyBorder="1" applyAlignment="1">
      <alignment horizontal="center"/>
    </xf>
    <xf numFmtId="0" fontId="61" fillId="10" borderId="19" xfId="0" applyFont="1" applyFill="1" applyBorder="1" applyAlignment="1">
      <alignment horizontal="center"/>
    </xf>
    <xf numFmtId="0" fontId="61" fillId="10" borderId="0" xfId="0" applyFont="1" applyFill="1" applyAlignment="1">
      <alignment horizontal="center"/>
    </xf>
    <xf numFmtId="0" fontId="61" fillId="10" borderId="10" xfId="0" applyFont="1" applyFill="1" applyBorder="1" applyAlignment="1">
      <alignment horizontal="center"/>
    </xf>
    <xf numFmtId="0" fontId="61" fillId="9" borderId="19" xfId="0" applyFont="1" applyFill="1" applyBorder="1" applyAlignment="1">
      <alignment horizontal="center"/>
    </xf>
    <xf numFmtId="0" fontId="61" fillId="9" borderId="0" xfId="0" applyFont="1" applyFill="1" applyAlignment="1">
      <alignment horizontal="center"/>
    </xf>
    <xf numFmtId="0" fontId="61" fillId="9" borderId="1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3" fillId="7" borderId="17" xfId="0" applyFont="1" applyFill="1" applyBorder="1" applyAlignment="1" applyProtection="1">
      <alignment horizontal="left" vertical="top"/>
      <protection locked="0"/>
    </xf>
    <xf numFmtId="0" fontId="43" fillId="7" borderId="18" xfId="0" applyFont="1" applyFill="1" applyBorder="1" applyAlignment="1" applyProtection="1">
      <alignment horizontal="left" vertical="top"/>
      <protection locked="0"/>
    </xf>
    <xf numFmtId="0" fontId="43" fillId="7" borderId="21" xfId="0" applyFont="1" applyFill="1" applyBorder="1" applyAlignment="1" applyProtection="1">
      <alignment horizontal="left" vertical="top"/>
      <protection locked="0"/>
    </xf>
    <xf numFmtId="0" fontId="43" fillId="7" borderId="15" xfId="0" applyFont="1" applyFill="1" applyBorder="1" applyAlignment="1" applyProtection="1">
      <alignment horizontal="left" vertical="top"/>
      <protection locked="0"/>
    </xf>
    <xf numFmtId="0" fontId="43" fillId="7" borderId="0" xfId="0" applyFont="1" applyFill="1" applyAlignment="1" applyProtection="1">
      <alignment horizontal="left" vertical="top"/>
      <protection locked="0"/>
    </xf>
    <xf numFmtId="0" fontId="43" fillId="7" borderId="10" xfId="0" applyFont="1" applyFill="1" applyBorder="1" applyAlignment="1" applyProtection="1">
      <alignment horizontal="left" vertical="top"/>
      <protection locked="0"/>
    </xf>
    <xf numFmtId="0" fontId="43" fillId="7" borderId="12" xfId="0" applyFont="1" applyFill="1" applyBorder="1" applyAlignment="1" applyProtection="1">
      <alignment horizontal="left" vertical="top"/>
      <protection locked="0"/>
    </xf>
    <xf numFmtId="0" fontId="43" fillId="7" borderId="36" xfId="0" applyFont="1" applyFill="1" applyBorder="1" applyAlignment="1" applyProtection="1">
      <alignment horizontal="left" vertical="top"/>
      <protection locked="0"/>
    </xf>
    <xf numFmtId="0" fontId="43" fillId="7" borderId="23" xfId="0" applyFont="1" applyFill="1" applyBorder="1" applyAlignment="1" applyProtection="1">
      <alignment horizontal="left" vertical="top"/>
      <protection locked="0"/>
    </xf>
    <xf numFmtId="0" fontId="5" fillId="18" borderId="8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3" borderId="7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61" fillId="33" borderId="19" xfId="0" applyFont="1" applyFill="1" applyBorder="1" applyAlignment="1">
      <alignment horizontal="center"/>
    </xf>
    <xf numFmtId="0" fontId="61" fillId="33" borderId="0" xfId="0" applyFont="1" applyFill="1" applyAlignment="1">
      <alignment horizontal="center"/>
    </xf>
    <xf numFmtId="0" fontId="61" fillId="33" borderId="10" xfId="0" applyFont="1" applyFill="1" applyBorder="1" applyAlignment="1">
      <alignment horizontal="center"/>
    </xf>
    <xf numFmtId="0" fontId="61" fillId="8" borderId="0" xfId="0" applyFont="1" applyFill="1" applyAlignment="1">
      <alignment horizont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</cellXfs>
  <cellStyles count="561">
    <cellStyle name="Comma" xfId="558" builtinId="3"/>
    <cellStyle name="Comma 10" xfId="2" xr:uid="{00000000-0005-0000-0000-000001000000}"/>
    <cellStyle name="Comma 11" xfId="3" xr:uid="{00000000-0005-0000-0000-000002000000}"/>
    <cellStyle name="Comma 11 2" xfId="4" xr:uid="{00000000-0005-0000-0000-000003000000}"/>
    <cellStyle name="Comma 12" xfId="5" xr:uid="{00000000-0005-0000-0000-000004000000}"/>
    <cellStyle name="Comma 13" xfId="6" xr:uid="{00000000-0005-0000-0000-000005000000}"/>
    <cellStyle name="Comma 14" xfId="7" xr:uid="{00000000-0005-0000-0000-000006000000}"/>
    <cellStyle name="Comma 15" xfId="8" xr:uid="{00000000-0005-0000-0000-000007000000}"/>
    <cellStyle name="Comma 2" xfId="9" xr:uid="{00000000-0005-0000-0000-000008000000}"/>
    <cellStyle name="Comma 2 2" xfId="10" xr:uid="{00000000-0005-0000-0000-000009000000}"/>
    <cellStyle name="Comma 2 2 2" xfId="11" xr:uid="{00000000-0005-0000-0000-00000A000000}"/>
    <cellStyle name="Comma 2 3" xfId="12" xr:uid="{00000000-0005-0000-0000-00000B000000}"/>
    <cellStyle name="Comma 2 4" xfId="13" xr:uid="{00000000-0005-0000-0000-00000C000000}"/>
    <cellStyle name="Comma 2 5" xfId="14" xr:uid="{00000000-0005-0000-0000-00000D000000}"/>
    <cellStyle name="Comma 3" xfId="15" xr:uid="{00000000-0005-0000-0000-00000E000000}"/>
    <cellStyle name="Comma 3 2" xfId="16" xr:uid="{00000000-0005-0000-0000-00000F000000}"/>
    <cellStyle name="Comma 3 2 2" xfId="17" xr:uid="{00000000-0005-0000-0000-000010000000}"/>
    <cellStyle name="Comma 4" xfId="18" xr:uid="{00000000-0005-0000-0000-000011000000}"/>
    <cellStyle name="Comma 4 2" xfId="19" xr:uid="{00000000-0005-0000-0000-000012000000}"/>
    <cellStyle name="Comma 4 3" xfId="20" xr:uid="{00000000-0005-0000-0000-000013000000}"/>
    <cellStyle name="Comma 5" xfId="21" xr:uid="{00000000-0005-0000-0000-000014000000}"/>
    <cellStyle name="Comma 5 2" xfId="22" xr:uid="{00000000-0005-0000-0000-000015000000}"/>
    <cellStyle name="Comma 6" xfId="23" xr:uid="{00000000-0005-0000-0000-000016000000}"/>
    <cellStyle name="Comma 6 2" xfId="24" xr:uid="{00000000-0005-0000-0000-000017000000}"/>
    <cellStyle name="Comma 7" xfId="25" xr:uid="{00000000-0005-0000-0000-000018000000}"/>
    <cellStyle name="Comma 7 2" xfId="26" xr:uid="{00000000-0005-0000-0000-000019000000}"/>
    <cellStyle name="Comma 7 3" xfId="27" xr:uid="{00000000-0005-0000-0000-00001A000000}"/>
    <cellStyle name="Comma 8" xfId="28" xr:uid="{00000000-0005-0000-0000-00001B000000}"/>
    <cellStyle name="Comma 9" xfId="29" xr:uid="{00000000-0005-0000-0000-00001C000000}"/>
    <cellStyle name="Comma 9 2" xfId="30" xr:uid="{00000000-0005-0000-0000-00001D000000}"/>
    <cellStyle name="Currency" xfId="560" builtinId="4"/>
    <cellStyle name="Currency 2" xfId="31" xr:uid="{00000000-0005-0000-0000-00001E000000}"/>
    <cellStyle name="Currency 2 2" xfId="32" xr:uid="{00000000-0005-0000-0000-00001F000000}"/>
    <cellStyle name="Currency 2 2 2" xfId="33" xr:uid="{00000000-0005-0000-0000-000020000000}"/>
    <cellStyle name="Currency 2 3" xfId="34" xr:uid="{00000000-0005-0000-0000-000021000000}"/>
    <cellStyle name="Currency 2 4" xfId="35" xr:uid="{00000000-0005-0000-0000-000022000000}"/>
    <cellStyle name="Currency 2 4 2" xfId="36" xr:uid="{00000000-0005-0000-0000-000023000000}"/>
    <cellStyle name="Currency 2 5" xfId="37" xr:uid="{00000000-0005-0000-0000-000024000000}"/>
    <cellStyle name="Currency 3" xfId="38" xr:uid="{00000000-0005-0000-0000-000025000000}"/>
    <cellStyle name="Currency 3 2" xfId="39" xr:uid="{00000000-0005-0000-0000-000026000000}"/>
    <cellStyle name="Currency 4" xfId="40" xr:uid="{00000000-0005-0000-0000-000027000000}"/>
    <cellStyle name="Currency 4 2" xfId="41" xr:uid="{00000000-0005-0000-0000-000028000000}"/>
    <cellStyle name="Currency 4 3" xfId="42" xr:uid="{00000000-0005-0000-0000-000029000000}"/>
    <cellStyle name="Currency 5" xfId="43" xr:uid="{00000000-0005-0000-0000-00002A000000}"/>
    <cellStyle name="Currency 6" xfId="44" xr:uid="{00000000-0005-0000-0000-00002B000000}"/>
    <cellStyle name="Currency 6 2" xfId="45" xr:uid="{00000000-0005-0000-0000-00002C000000}"/>
    <cellStyle name="Currency 7" xfId="46" xr:uid="{00000000-0005-0000-0000-00002D000000}"/>
    <cellStyle name="Followed Hyperlink 2" xfId="47" xr:uid="{00000000-0005-0000-0000-00002E000000}"/>
    <cellStyle name="Hyperlink 2" xfId="48" xr:uid="{00000000-0005-0000-0000-00002F000000}"/>
    <cellStyle name="Hyperlink 2 2" xfId="49" xr:uid="{00000000-0005-0000-0000-000030000000}"/>
    <cellStyle name="Hyperlink 3" xfId="50" xr:uid="{00000000-0005-0000-0000-000031000000}"/>
    <cellStyle name="Hyperlink 4" xfId="51" xr:uid="{00000000-0005-0000-0000-000032000000}"/>
    <cellStyle name="Hyperlink 5" xfId="52" xr:uid="{00000000-0005-0000-0000-000033000000}"/>
    <cellStyle name="Normal" xfId="0" builtinId="0"/>
    <cellStyle name="Normal 10" xfId="53" xr:uid="{00000000-0005-0000-0000-000035000000}"/>
    <cellStyle name="Normal 10 2" xfId="54" xr:uid="{00000000-0005-0000-0000-000036000000}"/>
    <cellStyle name="Normal 10 3" xfId="55" xr:uid="{00000000-0005-0000-0000-000037000000}"/>
    <cellStyle name="Normal 10 4" xfId="56" xr:uid="{00000000-0005-0000-0000-000038000000}"/>
    <cellStyle name="Normal 100" xfId="57" xr:uid="{00000000-0005-0000-0000-000039000000}"/>
    <cellStyle name="Normal 101" xfId="58" xr:uid="{00000000-0005-0000-0000-00003A000000}"/>
    <cellStyle name="Normal 102" xfId="59" xr:uid="{00000000-0005-0000-0000-00003B000000}"/>
    <cellStyle name="Normal 103" xfId="60" xr:uid="{00000000-0005-0000-0000-00003C000000}"/>
    <cellStyle name="Normal 104" xfId="61" xr:uid="{00000000-0005-0000-0000-00003D000000}"/>
    <cellStyle name="Normal 105" xfId="62" xr:uid="{00000000-0005-0000-0000-00003E000000}"/>
    <cellStyle name="Normal 106" xfId="63" xr:uid="{00000000-0005-0000-0000-00003F000000}"/>
    <cellStyle name="Normal 107" xfId="64" xr:uid="{00000000-0005-0000-0000-000040000000}"/>
    <cellStyle name="Normal 108" xfId="65" xr:uid="{00000000-0005-0000-0000-000041000000}"/>
    <cellStyle name="Normal 109" xfId="66" xr:uid="{00000000-0005-0000-0000-000042000000}"/>
    <cellStyle name="Normal 11" xfId="67" xr:uid="{00000000-0005-0000-0000-000043000000}"/>
    <cellStyle name="Normal 11 2" xfId="68" xr:uid="{00000000-0005-0000-0000-000044000000}"/>
    <cellStyle name="Normal 110" xfId="69" xr:uid="{00000000-0005-0000-0000-000045000000}"/>
    <cellStyle name="Normal 111" xfId="70" xr:uid="{00000000-0005-0000-0000-000046000000}"/>
    <cellStyle name="Normal 112" xfId="71" xr:uid="{00000000-0005-0000-0000-000047000000}"/>
    <cellStyle name="Normal 113" xfId="72" xr:uid="{00000000-0005-0000-0000-000048000000}"/>
    <cellStyle name="Normal 114" xfId="73" xr:uid="{00000000-0005-0000-0000-000049000000}"/>
    <cellStyle name="Normal 115" xfId="74" xr:uid="{00000000-0005-0000-0000-00004A000000}"/>
    <cellStyle name="Normal 116" xfId="75" xr:uid="{00000000-0005-0000-0000-00004B000000}"/>
    <cellStyle name="Normal 117" xfId="76" xr:uid="{00000000-0005-0000-0000-00004C000000}"/>
    <cellStyle name="Normal 118" xfId="77" xr:uid="{00000000-0005-0000-0000-00004D000000}"/>
    <cellStyle name="Normal 119" xfId="78" xr:uid="{00000000-0005-0000-0000-00004E000000}"/>
    <cellStyle name="Normal 12" xfId="79" xr:uid="{00000000-0005-0000-0000-00004F000000}"/>
    <cellStyle name="Normal 120" xfId="80" xr:uid="{00000000-0005-0000-0000-000050000000}"/>
    <cellStyle name="Normal 121" xfId="81" xr:uid="{00000000-0005-0000-0000-000051000000}"/>
    <cellStyle name="Normal 122" xfId="82" xr:uid="{00000000-0005-0000-0000-000052000000}"/>
    <cellStyle name="Normal 123" xfId="83" xr:uid="{00000000-0005-0000-0000-000053000000}"/>
    <cellStyle name="Normal 124" xfId="84" xr:uid="{00000000-0005-0000-0000-000054000000}"/>
    <cellStyle name="Normal 125" xfId="85" xr:uid="{00000000-0005-0000-0000-000055000000}"/>
    <cellStyle name="Normal 126" xfId="86" xr:uid="{00000000-0005-0000-0000-000056000000}"/>
    <cellStyle name="Normal 127" xfId="87" xr:uid="{00000000-0005-0000-0000-000057000000}"/>
    <cellStyle name="Normal 128" xfId="88" xr:uid="{00000000-0005-0000-0000-000058000000}"/>
    <cellStyle name="Normal 129" xfId="89" xr:uid="{00000000-0005-0000-0000-000059000000}"/>
    <cellStyle name="Normal 13" xfId="90" xr:uid="{00000000-0005-0000-0000-00005A000000}"/>
    <cellStyle name="Normal 13 2" xfId="91" xr:uid="{00000000-0005-0000-0000-00005B000000}"/>
    <cellStyle name="Normal 130" xfId="92" xr:uid="{00000000-0005-0000-0000-00005C000000}"/>
    <cellStyle name="Normal 131" xfId="93" xr:uid="{00000000-0005-0000-0000-00005D000000}"/>
    <cellStyle name="Normal 132" xfId="94" xr:uid="{00000000-0005-0000-0000-00005E000000}"/>
    <cellStyle name="Normal 133" xfId="95" xr:uid="{00000000-0005-0000-0000-00005F000000}"/>
    <cellStyle name="Normal 134" xfId="96" xr:uid="{00000000-0005-0000-0000-000060000000}"/>
    <cellStyle name="Normal 135" xfId="97" xr:uid="{00000000-0005-0000-0000-000061000000}"/>
    <cellStyle name="Normal 136" xfId="98" xr:uid="{00000000-0005-0000-0000-000062000000}"/>
    <cellStyle name="Normal 137" xfId="99" xr:uid="{00000000-0005-0000-0000-000063000000}"/>
    <cellStyle name="Normal 138" xfId="100" xr:uid="{00000000-0005-0000-0000-000064000000}"/>
    <cellStyle name="Normal 139" xfId="101" xr:uid="{00000000-0005-0000-0000-000065000000}"/>
    <cellStyle name="Normal 14" xfId="102" xr:uid="{00000000-0005-0000-0000-000066000000}"/>
    <cellStyle name="Normal 140" xfId="103" xr:uid="{00000000-0005-0000-0000-000067000000}"/>
    <cellStyle name="Normal 141" xfId="104" xr:uid="{00000000-0005-0000-0000-000068000000}"/>
    <cellStyle name="Normal 142" xfId="105" xr:uid="{00000000-0005-0000-0000-000069000000}"/>
    <cellStyle name="Normal 143" xfId="106" xr:uid="{00000000-0005-0000-0000-00006A000000}"/>
    <cellStyle name="Normal 144" xfId="107" xr:uid="{00000000-0005-0000-0000-00006B000000}"/>
    <cellStyle name="Normal 145" xfId="108" xr:uid="{00000000-0005-0000-0000-00006C000000}"/>
    <cellStyle name="Normal 146" xfId="109" xr:uid="{00000000-0005-0000-0000-00006D000000}"/>
    <cellStyle name="Normal 147" xfId="110" xr:uid="{00000000-0005-0000-0000-00006E000000}"/>
    <cellStyle name="Normal 148" xfId="111" xr:uid="{00000000-0005-0000-0000-00006F000000}"/>
    <cellStyle name="Normal 149" xfId="112" xr:uid="{00000000-0005-0000-0000-000070000000}"/>
    <cellStyle name="Normal 15" xfId="113" xr:uid="{00000000-0005-0000-0000-000071000000}"/>
    <cellStyle name="Normal 150" xfId="114" xr:uid="{00000000-0005-0000-0000-000072000000}"/>
    <cellStyle name="Normal 151" xfId="115" xr:uid="{00000000-0005-0000-0000-000073000000}"/>
    <cellStyle name="Normal 152" xfId="116" xr:uid="{00000000-0005-0000-0000-000074000000}"/>
    <cellStyle name="Normal 153" xfId="117" xr:uid="{00000000-0005-0000-0000-000075000000}"/>
    <cellStyle name="Normal 154" xfId="118" xr:uid="{00000000-0005-0000-0000-000076000000}"/>
    <cellStyle name="Normal 155" xfId="119" xr:uid="{00000000-0005-0000-0000-000077000000}"/>
    <cellStyle name="Normal 156" xfId="120" xr:uid="{00000000-0005-0000-0000-000078000000}"/>
    <cellStyle name="Normal 157" xfId="121" xr:uid="{00000000-0005-0000-0000-000079000000}"/>
    <cellStyle name="Normal 158" xfId="122" xr:uid="{00000000-0005-0000-0000-00007A000000}"/>
    <cellStyle name="Normal 159" xfId="123" xr:uid="{00000000-0005-0000-0000-00007B000000}"/>
    <cellStyle name="Normal 16" xfId="124" xr:uid="{00000000-0005-0000-0000-00007C000000}"/>
    <cellStyle name="Normal 160" xfId="125" xr:uid="{00000000-0005-0000-0000-00007D000000}"/>
    <cellStyle name="Normal 161" xfId="126" xr:uid="{00000000-0005-0000-0000-00007E000000}"/>
    <cellStyle name="Normal 162" xfId="127" xr:uid="{00000000-0005-0000-0000-00007F000000}"/>
    <cellStyle name="Normal 163" xfId="128" xr:uid="{00000000-0005-0000-0000-000080000000}"/>
    <cellStyle name="Normal 164" xfId="129" xr:uid="{00000000-0005-0000-0000-000081000000}"/>
    <cellStyle name="Normal 165" xfId="130" xr:uid="{00000000-0005-0000-0000-000082000000}"/>
    <cellStyle name="Normal 166" xfId="131" xr:uid="{00000000-0005-0000-0000-000083000000}"/>
    <cellStyle name="Normal 167" xfId="132" xr:uid="{00000000-0005-0000-0000-000084000000}"/>
    <cellStyle name="Normal 168" xfId="133" xr:uid="{00000000-0005-0000-0000-000085000000}"/>
    <cellStyle name="Normal 169" xfId="134" xr:uid="{00000000-0005-0000-0000-000086000000}"/>
    <cellStyle name="Normal 17" xfId="135" xr:uid="{00000000-0005-0000-0000-000087000000}"/>
    <cellStyle name="Normal 170" xfId="136" xr:uid="{00000000-0005-0000-0000-000088000000}"/>
    <cellStyle name="Normal 171" xfId="137" xr:uid="{00000000-0005-0000-0000-000089000000}"/>
    <cellStyle name="Normal 172" xfId="138" xr:uid="{00000000-0005-0000-0000-00008A000000}"/>
    <cellStyle name="Normal 173" xfId="139" xr:uid="{00000000-0005-0000-0000-00008B000000}"/>
    <cellStyle name="Normal 174" xfId="140" xr:uid="{00000000-0005-0000-0000-00008C000000}"/>
    <cellStyle name="Normal 175" xfId="141" xr:uid="{00000000-0005-0000-0000-00008D000000}"/>
    <cellStyle name="Normal 176" xfId="142" xr:uid="{00000000-0005-0000-0000-00008E000000}"/>
    <cellStyle name="Normal 177" xfId="143" xr:uid="{00000000-0005-0000-0000-00008F000000}"/>
    <cellStyle name="Normal 178" xfId="144" xr:uid="{00000000-0005-0000-0000-000090000000}"/>
    <cellStyle name="Normal 179" xfId="145" xr:uid="{00000000-0005-0000-0000-000091000000}"/>
    <cellStyle name="Normal 18" xfId="146" xr:uid="{00000000-0005-0000-0000-000092000000}"/>
    <cellStyle name="Normal 180" xfId="147" xr:uid="{00000000-0005-0000-0000-000093000000}"/>
    <cellStyle name="Normal 181" xfId="148" xr:uid="{00000000-0005-0000-0000-000094000000}"/>
    <cellStyle name="Normal 182" xfId="149" xr:uid="{00000000-0005-0000-0000-000095000000}"/>
    <cellStyle name="Normal 183" xfId="150" xr:uid="{00000000-0005-0000-0000-000096000000}"/>
    <cellStyle name="Normal 184" xfId="151" xr:uid="{00000000-0005-0000-0000-000097000000}"/>
    <cellStyle name="Normal 185" xfId="152" xr:uid="{00000000-0005-0000-0000-000098000000}"/>
    <cellStyle name="Normal 186" xfId="153" xr:uid="{00000000-0005-0000-0000-000099000000}"/>
    <cellStyle name="Normal 187" xfId="154" xr:uid="{00000000-0005-0000-0000-00009A000000}"/>
    <cellStyle name="Normal 188" xfId="155" xr:uid="{00000000-0005-0000-0000-00009B000000}"/>
    <cellStyle name="Normal 189" xfId="156" xr:uid="{00000000-0005-0000-0000-00009C000000}"/>
    <cellStyle name="Normal 19" xfId="157" xr:uid="{00000000-0005-0000-0000-00009D000000}"/>
    <cellStyle name="Normal 190" xfId="158" xr:uid="{00000000-0005-0000-0000-00009E000000}"/>
    <cellStyle name="Normal 191" xfId="159" xr:uid="{00000000-0005-0000-0000-00009F000000}"/>
    <cellStyle name="Normal 192" xfId="160" xr:uid="{00000000-0005-0000-0000-0000A0000000}"/>
    <cellStyle name="Normal 193" xfId="161" xr:uid="{00000000-0005-0000-0000-0000A1000000}"/>
    <cellStyle name="Normal 194" xfId="162" xr:uid="{00000000-0005-0000-0000-0000A2000000}"/>
    <cellStyle name="Normal 195" xfId="163" xr:uid="{00000000-0005-0000-0000-0000A3000000}"/>
    <cellStyle name="Normal 196" xfId="164" xr:uid="{00000000-0005-0000-0000-0000A4000000}"/>
    <cellStyle name="Normal 197" xfId="165" xr:uid="{00000000-0005-0000-0000-0000A5000000}"/>
    <cellStyle name="Normal 198" xfId="166" xr:uid="{00000000-0005-0000-0000-0000A6000000}"/>
    <cellStyle name="Normal 199" xfId="167" xr:uid="{00000000-0005-0000-0000-0000A7000000}"/>
    <cellStyle name="Normal 2" xfId="168" xr:uid="{00000000-0005-0000-0000-0000A8000000}"/>
    <cellStyle name="Normal 2 10" xfId="169" xr:uid="{00000000-0005-0000-0000-0000A9000000}"/>
    <cellStyle name="Normal 2 10 2" xfId="170" xr:uid="{00000000-0005-0000-0000-0000AA000000}"/>
    <cellStyle name="Normal 2 11" xfId="171" xr:uid="{00000000-0005-0000-0000-0000AB000000}"/>
    <cellStyle name="Normal 2 11 2" xfId="172" xr:uid="{00000000-0005-0000-0000-0000AC000000}"/>
    <cellStyle name="Normal 2 2" xfId="173" xr:uid="{00000000-0005-0000-0000-0000AD000000}"/>
    <cellStyle name="Normal 2 2 2" xfId="174" xr:uid="{00000000-0005-0000-0000-0000AE000000}"/>
    <cellStyle name="Normal 2 2 2 2" xfId="175" xr:uid="{00000000-0005-0000-0000-0000AF000000}"/>
    <cellStyle name="Normal 2 2 3" xfId="176" xr:uid="{00000000-0005-0000-0000-0000B0000000}"/>
    <cellStyle name="Normal 2 2 4" xfId="177" xr:uid="{00000000-0005-0000-0000-0000B1000000}"/>
    <cellStyle name="Normal 2 2 5" xfId="178" xr:uid="{00000000-0005-0000-0000-0000B2000000}"/>
    <cellStyle name="Normal 2 3" xfId="179" xr:uid="{00000000-0005-0000-0000-0000B3000000}"/>
    <cellStyle name="Normal 2 3 2" xfId="180" xr:uid="{00000000-0005-0000-0000-0000B4000000}"/>
    <cellStyle name="Normal 2 3 3" xfId="181" xr:uid="{00000000-0005-0000-0000-0000B5000000}"/>
    <cellStyle name="Normal 2 4" xfId="182" xr:uid="{00000000-0005-0000-0000-0000B6000000}"/>
    <cellStyle name="Normal 2 5" xfId="183" xr:uid="{00000000-0005-0000-0000-0000B7000000}"/>
    <cellStyle name="Normal 2 6" xfId="1" xr:uid="{00000000-0005-0000-0000-0000B8000000}"/>
    <cellStyle name="Normal 2 6 2" xfId="184" xr:uid="{00000000-0005-0000-0000-0000B9000000}"/>
    <cellStyle name="Normal 2 7" xfId="185" xr:uid="{00000000-0005-0000-0000-0000BA000000}"/>
    <cellStyle name="Normal 2 8" xfId="186" xr:uid="{00000000-0005-0000-0000-0000BB000000}"/>
    <cellStyle name="Normal 2 8 2" xfId="187" xr:uid="{00000000-0005-0000-0000-0000BC000000}"/>
    <cellStyle name="Normal 2 9" xfId="188" xr:uid="{00000000-0005-0000-0000-0000BD000000}"/>
    <cellStyle name="Normal 20" xfId="189" xr:uid="{00000000-0005-0000-0000-0000BE000000}"/>
    <cellStyle name="Normal 200" xfId="190" xr:uid="{00000000-0005-0000-0000-0000BF000000}"/>
    <cellStyle name="Normal 201" xfId="191" xr:uid="{00000000-0005-0000-0000-0000C0000000}"/>
    <cellStyle name="Normal 202" xfId="192" xr:uid="{00000000-0005-0000-0000-0000C1000000}"/>
    <cellStyle name="Normal 203" xfId="193" xr:uid="{00000000-0005-0000-0000-0000C2000000}"/>
    <cellStyle name="Normal 204" xfId="194" xr:uid="{00000000-0005-0000-0000-0000C3000000}"/>
    <cellStyle name="Normal 205" xfId="195" xr:uid="{00000000-0005-0000-0000-0000C4000000}"/>
    <cellStyle name="Normal 206" xfId="196" xr:uid="{00000000-0005-0000-0000-0000C5000000}"/>
    <cellStyle name="Normal 207" xfId="197" xr:uid="{00000000-0005-0000-0000-0000C6000000}"/>
    <cellStyle name="Normal 208" xfId="198" xr:uid="{00000000-0005-0000-0000-0000C7000000}"/>
    <cellStyle name="Normal 209" xfId="199" xr:uid="{00000000-0005-0000-0000-0000C8000000}"/>
    <cellStyle name="Normal 21" xfId="200" xr:uid="{00000000-0005-0000-0000-0000C9000000}"/>
    <cellStyle name="Normal 210" xfId="201" xr:uid="{00000000-0005-0000-0000-0000CA000000}"/>
    <cellStyle name="Normal 211" xfId="202" xr:uid="{00000000-0005-0000-0000-0000CB000000}"/>
    <cellStyle name="Normal 212" xfId="203" xr:uid="{00000000-0005-0000-0000-0000CC000000}"/>
    <cellStyle name="Normal 213" xfId="204" xr:uid="{00000000-0005-0000-0000-0000CD000000}"/>
    <cellStyle name="Normal 214" xfId="205" xr:uid="{00000000-0005-0000-0000-0000CE000000}"/>
    <cellStyle name="Normal 215" xfId="206" xr:uid="{00000000-0005-0000-0000-0000CF000000}"/>
    <cellStyle name="Normal 216" xfId="207" xr:uid="{00000000-0005-0000-0000-0000D0000000}"/>
    <cellStyle name="Normal 217" xfId="208" xr:uid="{00000000-0005-0000-0000-0000D1000000}"/>
    <cellStyle name="Normal 218" xfId="209" xr:uid="{00000000-0005-0000-0000-0000D2000000}"/>
    <cellStyle name="Normal 219" xfId="210" xr:uid="{00000000-0005-0000-0000-0000D3000000}"/>
    <cellStyle name="Normal 22" xfId="211" xr:uid="{00000000-0005-0000-0000-0000D4000000}"/>
    <cellStyle name="Normal 220" xfId="212" xr:uid="{00000000-0005-0000-0000-0000D5000000}"/>
    <cellStyle name="Normal 221" xfId="213" xr:uid="{00000000-0005-0000-0000-0000D6000000}"/>
    <cellStyle name="Normal 222" xfId="214" xr:uid="{00000000-0005-0000-0000-0000D7000000}"/>
    <cellStyle name="Normal 223" xfId="215" xr:uid="{00000000-0005-0000-0000-0000D8000000}"/>
    <cellStyle name="Normal 224" xfId="216" xr:uid="{00000000-0005-0000-0000-0000D9000000}"/>
    <cellStyle name="Normal 225" xfId="217" xr:uid="{00000000-0005-0000-0000-0000DA000000}"/>
    <cellStyle name="Normal 226" xfId="218" xr:uid="{00000000-0005-0000-0000-0000DB000000}"/>
    <cellStyle name="Normal 227" xfId="219" xr:uid="{00000000-0005-0000-0000-0000DC000000}"/>
    <cellStyle name="Normal 228" xfId="220" xr:uid="{00000000-0005-0000-0000-0000DD000000}"/>
    <cellStyle name="Normal 229" xfId="221" xr:uid="{00000000-0005-0000-0000-0000DE000000}"/>
    <cellStyle name="Normal 23" xfId="222" xr:uid="{00000000-0005-0000-0000-0000DF000000}"/>
    <cellStyle name="Normal 230" xfId="223" xr:uid="{00000000-0005-0000-0000-0000E0000000}"/>
    <cellStyle name="Normal 231" xfId="224" xr:uid="{00000000-0005-0000-0000-0000E1000000}"/>
    <cellStyle name="Normal 232" xfId="225" xr:uid="{00000000-0005-0000-0000-0000E2000000}"/>
    <cellStyle name="Normal 233" xfId="226" xr:uid="{00000000-0005-0000-0000-0000E3000000}"/>
    <cellStyle name="Normal 234" xfId="227" xr:uid="{00000000-0005-0000-0000-0000E4000000}"/>
    <cellStyle name="Normal 235" xfId="228" xr:uid="{00000000-0005-0000-0000-0000E5000000}"/>
    <cellStyle name="Normal 236" xfId="229" xr:uid="{00000000-0005-0000-0000-0000E6000000}"/>
    <cellStyle name="Normal 237" xfId="230" xr:uid="{00000000-0005-0000-0000-0000E7000000}"/>
    <cellStyle name="Normal 238" xfId="231" xr:uid="{00000000-0005-0000-0000-0000E8000000}"/>
    <cellStyle name="Normal 239" xfId="232" xr:uid="{00000000-0005-0000-0000-0000E9000000}"/>
    <cellStyle name="Normal 24" xfId="233" xr:uid="{00000000-0005-0000-0000-0000EA000000}"/>
    <cellStyle name="Normal 240" xfId="234" xr:uid="{00000000-0005-0000-0000-0000EB000000}"/>
    <cellStyle name="Normal 241" xfId="235" xr:uid="{00000000-0005-0000-0000-0000EC000000}"/>
    <cellStyle name="Normal 242" xfId="236" xr:uid="{00000000-0005-0000-0000-0000ED000000}"/>
    <cellStyle name="Normal 243" xfId="237" xr:uid="{00000000-0005-0000-0000-0000EE000000}"/>
    <cellStyle name="Normal 244" xfId="238" xr:uid="{00000000-0005-0000-0000-0000EF000000}"/>
    <cellStyle name="Normal 245" xfId="239" xr:uid="{00000000-0005-0000-0000-0000F0000000}"/>
    <cellStyle name="Normal 246" xfId="240" xr:uid="{00000000-0005-0000-0000-0000F1000000}"/>
    <cellStyle name="Normal 247" xfId="241" xr:uid="{00000000-0005-0000-0000-0000F2000000}"/>
    <cellStyle name="Normal 248" xfId="242" xr:uid="{00000000-0005-0000-0000-0000F3000000}"/>
    <cellStyle name="Normal 249" xfId="243" xr:uid="{00000000-0005-0000-0000-0000F4000000}"/>
    <cellStyle name="Normal 25" xfId="244" xr:uid="{00000000-0005-0000-0000-0000F5000000}"/>
    <cellStyle name="Normal 250" xfId="245" xr:uid="{00000000-0005-0000-0000-0000F6000000}"/>
    <cellStyle name="Normal 251" xfId="246" xr:uid="{00000000-0005-0000-0000-0000F7000000}"/>
    <cellStyle name="Normal 252" xfId="247" xr:uid="{00000000-0005-0000-0000-0000F8000000}"/>
    <cellStyle name="Normal 253" xfId="248" xr:uid="{00000000-0005-0000-0000-0000F9000000}"/>
    <cellStyle name="Normal 254" xfId="249" xr:uid="{00000000-0005-0000-0000-0000FA000000}"/>
    <cellStyle name="Normal 255" xfId="250" xr:uid="{00000000-0005-0000-0000-0000FB000000}"/>
    <cellStyle name="Normal 256" xfId="251" xr:uid="{00000000-0005-0000-0000-0000FC000000}"/>
    <cellStyle name="Normal 257" xfId="252" xr:uid="{00000000-0005-0000-0000-0000FD000000}"/>
    <cellStyle name="Normal 258" xfId="253" xr:uid="{00000000-0005-0000-0000-0000FE000000}"/>
    <cellStyle name="Normal 259" xfId="254" xr:uid="{00000000-0005-0000-0000-0000FF000000}"/>
    <cellStyle name="Normal 26" xfId="255" xr:uid="{00000000-0005-0000-0000-000000010000}"/>
    <cellStyle name="Normal 260" xfId="256" xr:uid="{00000000-0005-0000-0000-000001010000}"/>
    <cellStyle name="Normal 261" xfId="257" xr:uid="{00000000-0005-0000-0000-000002010000}"/>
    <cellStyle name="Normal 262" xfId="258" xr:uid="{00000000-0005-0000-0000-000003010000}"/>
    <cellStyle name="Normal 263" xfId="259" xr:uid="{00000000-0005-0000-0000-000004010000}"/>
    <cellStyle name="Normal 264" xfId="260" xr:uid="{00000000-0005-0000-0000-000005010000}"/>
    <cellStyle name="Normal 265" xfId="261" xr:uid="{00000000-0005-0000-0000-000006010000}"/>
    <cellStyle name="Normal 266" xfId="262" xr:uid="{00000000-0005-0000-0000-000007010000}"/>
    <cellStyle name="Normal 267" xfId="263" xr:uid="{00000000-0005-0000-0000-000008010000}"/>
    <cellStyle name="Normal 268" xfId="264" xr:uid="{00000000-0005-0000-0000-000009010000}"/>
    <cellStyle name="Normal 269" xfId="265" xr:uid="{00000000-0005-0000-0000-00000A010000}"/>
    <cellStyle name="Normal 27" xfId="266" xr:uid="{00000000-0005-0000-0000-00000B010000}"/>
    <cellStyle name="Normal 270" xfId="267" xr:uid="{00000000-0005-0000-0000-00000C010000}"/>
    <cellStyle name="Normal 271" xfId="268" xr:uid="{00000000-0005-0000-0000-00000D010000}"/>
    <cellStyle name="Normal 272" xfId="269" xr:uid="{00000000-0005-0000-0000-00000E010000}"/>
    <cellStyle name="Normal 273" xfId="270" xr:uid="{00000000-0005-0000-0000-00000F010000}"/>
    <cellStyle name="Normal 274" xfId="271" xr:uid="{00000000-0005-0000-0000-000010010000}"/>
    <cellStyle name="Normal 275" xfId="272" xr:uid="{00000000-0005-0000-0000-000011010000}"/>
    <cellStyle name="Normal 276" xfId="273" xr:uid="{00000000-0005-0000-0000-000012010000}"/>
    <cellStyle name="Normal 277" xfId="274" xr:uid="{00000000-0005-0000-0000-000013010000}"/>
    <cellStyle name="Normal 278" xfId="275" xr:uid="{00000000-0005-0000-0000-000014010000}"/>
    <cellStyle name="Normal 279" xfId="276" xr:uid="{00000000-0005-0000-0000-000015010000}"/>
    <cellStyle name="Normal 28" xfId="277" xr:uid="{00000000-0005-0000-0000-000016010000}"/>
    <cellStyle name="Normal 280" xfId="278" xr:uid="{00000000-0005-0000-0000-000017010000}"/>
    <cellStyle name="Normal 281" xfId="279" xr:uid="{00000000-0005-0000-0000-000018010000}"/>
    <cellStyle name="Normal 282" xfId="280" xr:uid="{00000000-0005-0000-0000-000019010000}"/>
    <cellStyle name="Normal 283" xfId="281" xr:uid="{00000000-0005-0000-0000-00001A010000}"/>
    <cellStyle name="Normal 284" xfId="282" xr:uid="{00000000-0005-0000-0000-00001B010000}"/>
    <cellStyle name="Normal 285" xfId="283" xr:uid="{00000000-0005-0000-0000-00001C010000}"/>
    <cellStyle name="Normal 286" xfId="284" xr:uid="{00000000-0005-0000-0000-00001D010000}"/>
    <cellStyle name="Normal 287" xfId="285" xr:uid="{00000000-0005-0000-0000-00001E010000}"/>
    <cellStyle name="Normal 288" xfId="286" xr:uid="{00000000-0005-0000-0000-00001F010000}"/>
    <cellStyle name="Normal 289" xfId="287" xr:uid="{00000000-0005-0000-0000-000020010000}"/>
    <cellStyle name="Normal 29" xfId="288" xr:uid="{00000000-0005-0000-0000-000021010000}"/>
    <cellStyle name="Normal 290" xfId="289" xr:uid="{00000000-0005-0000-0000-000022010000}"/>
    <cellStyle name="Normal 291" xfId="290" xr:uid="{00000000-0005-0000-0000-000023010000}"/>
    <cellStyle name="Normal 292" xfId="291" xr:uid="{00000000-0005-0000-0000-000024010000}"/>
    <cellStyle name="Normal 293" xfId="292" xr:uid="{00000000-0005-0000-0000-000025010000}"/>
    <cellStyle name="Normal 294" xfId="293" xr:uid="{00000000-0005-0000-0000-000026010000}"/>
    <cellStyle name="Normal 295" xfId="294" xr:uid="{00000000-0005-0000-0000-000027010000}"/>
    <cellStyle name="Normal 296" xfId="295" xr:uid="{00000000-0005-0000-0000-000028010000}"/>
    <cellStyle name="Normal 297" xfId="296" xr:uid="{00000000-0005-0000-0000-000029010000}"/>
    <cellStyle name="Normal 298" xfId="297" xr:uid="{00000000-0005-0000-0000-00002A010000}"/>
    <cellStyle name="Normal 299" xfId="298" xr:uid="{00000000-0005-0000-0000-00002B010000}"/>
    <cellStyle name="Normal 3" xfId="299" xr:uid="{00000000-0005-0000-0000-00002C010000}"/>
    <cellStyle name="Normal 3 10" xfId="300" xr:uid="{00000000-0005-0000-0000-00002D010000}"/>
    <cellStyle name="Normal 3 100" xfId="301" xr:uid="{00000000-0005-0000-0000-00002E010000}"/>
    <cellStyle name="Normal 3 101" xfId="302" xr:uid="{00000000-0005-0000-0000-00002F010000}"/>
    <cellStyle name="Normal 3 102" xfId="303" xr:uid="{00000000-0005-0000-0000-000030010000}"/>
    <cellStyle name="Normal 3 103" xfId="304" xr:uid="{00000000-0005-0000-0000-000031010000}"/>
    <cellStyle name="Normal 3 104" xfId="305" xr:uid="{00000000-0005-0000-0000-000032010000}"/>
    <cellStyle name="Normal 3 105" xfId="306" xr:uid="{00000000-0005-0000-0000-000033010000}"/>
    <cellStyle name="Normal 3 106" xfId="307" xr:uid="{00000000-0005-0000-0000-000034010000}"/>
    <cellStyle name="Normal 3 107" xfId="308" xr:uid="{00000000-0005-0000-0000-000035010000}"/>
    <cellStyle name="Normal 3 108" xfId="309" xr:uid="{00000000-0005-0000-0000-000036010000}"/>
    <cellStyle name="Normal 3 109" xfId="310" xr:uid="{00000000-0005-0000-0000-000037010000}"/>
    <cellStyle name="Normal 3 11" xfId="311" xr:uid="{00000000-0005-0000-0000-000038010000}"/>
    <cellStyle name="Normal 3 110" xfId="312" xr:uid="{00000000-0005-0000-0000-000039010000}"/>
    <cellStyle name="Normal 3 111" xfId="313" xr:uid="{00000000-0005-0000-0000-00003A010000}"/>
    <cellStyle name="Normal 3 112" xfId="314" xr:uid="{00000000-0005-0000-0000-00003B010000}"/>
    <cellStyle name="Normal 3 113" xfId="315" xr:uid="{00000000-0005-0000-0000-00003C010000}"/>
    <cellStyle name="Normal 3 114" xfId="316" xr:uid="{00000000-0005-0000-0000-00003D010000}"/>
    <cellStyle name="Normal 3 115" xfId="317" xr:uid="{00000000-0005-0000-0000-00003E010000}"/>
    <cellStyle name="Normal 3 116" xfId="318" xr:uid="{00000000-0005-0000-0000-00003F010000}"/>
    <cellStyle name="Normal 3 117" xfId="319" xr:uid="{00000000-0005-0000-0000-000040010000}"/>
    <cellStyle name="Normal 3 118" xfId="320" xr:uid="{00000000-0005-0000-0000-000041010000}"/>
    <cellStyle name="Normal 3 119" xfId="321" xr:uid="{00000000-0005-0000-0000-000042010000}"/>
    <cellStyle name="Normal 3 12" xfId="322" xr:uid="{00000000-0005-0000-0000-000043010000}"/>
    <cellStyle name="Normal 3 120" xfId="323" xr:uid="{00000000-0005-0000-0000-000044010000}"/>
    <cellStyle name="Normal 3 121" xfId="324" xr:uid="{00000000-0005-0000-0000-000045010000}"/>
    <cellStyle name="Normal 3 122" xfId="325" xr:uid="{00000000-0005-0000-0000-000046010000}"/>
    <cellStyle name="Normal 3 123" xfId="326" xr:uid="{00000000-0005-0000-0000-000047010000}"/>
    <cellStyle name="Normal 3 124" xfId="327" xr:uid="{00000000-0005-0000-0000-000048010000}"/>
    <cellStyle name="Normal 3 125" xfId="328" xr:uid="{00000000-0005-0000-0000-000049010000}"/>
    <cellStyle name="Normal 3 126" xfId="329" xr:uid="{00000000-0005-0000-0000-00004A010000}"/>
    <cellStyle name="Normal 3 127" xfId="330" xr:uid="{00000000-0005-0000-0000-00004B010000}"/>
    <cellStyle name="Normal 3 128" xfId="331" xr:uid="{00000000-0005-0000-0000-00004C010000}"/>
    <cellStyle name="Normal 3 128 2" xfId="332" xr:uid="{00000000-0005-0000-0000-00004D010000}"/>
    <cellStyle name="Normal 3 129" xfId="333" xr:uid="{00000000-0005-0000-0000-00004E010000}"/>
    <cellStyle name="Normal 3 13" xfId="334" xr:uid="{00000000-0005-0000-0000-00004F010000}"/>
    <cellStyle name="Normal 3 14" xfId="335" xr:uid="{00000000-0005-0000-0000-000050010000}"/>
    <cellStyle name="Normal 3 15" xfId="336" xr:uid="{00000000-0005-0000-0000-000051010000}"/>
    <cellStyle name="Normal 3 16" xfId="337" xr:uid="{00000000-0005-0000-0000-000052010000}"/>
    <cellStyle name="Normal 3 17" xfId="338" xr:uid="{00000000-0005-0000-0000-000053010000}"/>
    <cellStyle name="Normal 3 18" xfId="339" xr:uid="{00000000-0005-0000-0000-000054010000}"/>
    <cellStyle name="Normal 3 19" xfId="340" xr:uid="{00000000-0005-0000-0000-000055010000}"/>
    <cellStyle name="Normal 3 2" xfId="341" xr:uid="{00000000-0005-0000-0000-000056010000}"/>
    <cellStyle name="Normal 3 20" xfId="342" xr:uid="{00000000-0005-0000-0000-000057010000}"/>
    <cellStyle name="Normal 3 21" xfId="343" xr:uid="{00000000-0005-0000-0000-000058010000}"/>
    <cellStyle name="Normal 3 22" xfId="344" xr:uid="{00000000-0005-0000-0000-000059010000}"/>
    <cellStyle name="Normal 3 23" xfId="345" xr:uid="{00000000-0005-0000-0000-00005A010000}"/>
    <cellStyle name="Normal 3 24" xfId="346" xr:uid="{00000000-0005-0000-0000-00005B010000}"/>
    <cellStyle name="Normal 3 25" xfId="347" xr:uid="{00000000-0005-0000-0000-00005C010000}"/>
    <cellStyle name="Normal 3 26" xfId="348" xr:uid="{00000000-0005-0000-0000-00005D010000}"/>
    <cellStyle name="Normal 3 27" xfId="349" xr:uid="{00000000-0005-0000-0000-00005E010000}"/>
    <cellStyle name="Normal 3 28" xfId="350" xr:uid="{00000000-0005-0000-0000-00005F010000}"/>
    <cellStyle name="Normal 3 29" xfId="351" xr:uid="{00000000-0005-0000-0000-000060010000}"/>
    <cellStyle name="Normal 3 3" xfId="352" xr:uid="{00000000-0005-0000-0000-000061010000}"/>
    <cellStyle name="Normal 3 30" xfId="353" xr:uid="{00000000-0005-0000-0000-000062010000}"/>
    <cellStyle name="Normal 3 31" xfId="354" xr:uid="{00000000-0005-0000-0000-000063010000}"/>
    <cellStyle name="Normal 3 32" xfId="355" xr:uid="{00000000-0005-0000-0000-000064010000}"/>
    <cellStyle name="Normal 3 33" xfId="356" xr:uid="{00000000-0005-0000-0000-000065010000}"/>
    <cellStyle name="Normal 3 34" xfId="357" xr:uid="{00000000-0005-0000-0000-000066010000}"/>
    <cellStyle name="Normal 3 35" xfId="358" xr:uid="{00000000-0005-0000-0000-000067010000}"/>
    <cellStyle name="Normal 3 36" xfId="359" xr:uid="{00000000-0005-0000-0000-000068010000}"/>
    <cellStyle name="Normal 3 37" xfId="360" xr:uid="{00000000-0005-0000-0000-000069010000}"/>
    <cellStyle name="Normal 3 38" xfId="361" xr:uid="{00000000-0005-0000-0000-00006A010000}"/>
    <cellStyle name="Normal 3 39" xfId="362" xr:uid="{00000000-0005-0000-0000-00006B010000}"/>
    <cellStyle name="Normal 3 4" xfId="363" xr:uid="{00000000-0005-0000-0000-00006C010000}"/>
    <cellStyle name="Normal 3 40" xfId="364" xr:uid="{00000000-0005-0000-0000-00006D010000}"/>
    <cellStyle name="Normal 3 41" xfId="365" xr:uid="{00000000-0005-0000-0000-00006E010000}"/>
    <cellStyle name="Normal 3 42" xfId="366" xr:uid="{00000000-0005-0000-0000-00006F010000}"/>
    <cellStyle name="Normal 3 43" xfId="367" xr:uid="{00000000-0005-0000-0000-000070010000}"/>
    <cellStyle name="Normal 3 44" xfId="368" xr:uid="{00000000-0005-0000-0000-000071010000}"/>
    <cellStyle name="Normal 3 45" xfId="369" xr:uid="{00000000-0005-0000-0000-000072010000}"/>
    <cellStyle name="Normal 3 46" xfId="370" xr:uid="{00000000-0005-0000-0000-000073010000}"/>
    <cellStyle name="Normal 3 47" xfId="371" xr:uid="{00000000-0005-0000-0000-000074010000}"/>
    <cellStyle name="Normal 3 48" xfId="372" xr:uid="{00000000-0005-0000-0000-000075010000}"/>
    <cellStyle name="Normal 3 49" xfId="373" xr:uid="{00000000-0005-0000-0000-000076010000}"/>
    <cellStyle name="Normal 3 5" xfId="374" xr:uid="{00000000-0005-0000-0000-000077010000}"/>
    <cellStyle name="Normal 3 50" xfId="375" xr:uid="{00000000-0005-0000-0000-000078010000}"/>
    <cellStyle name="Normal 3 51" xfId="376" xr:uid="{00000000-0005-0000-0000-000079010000}"/>
    <cellStyle name="Normal 3 52" xfId="377" xr:uid="{00000000-0005-0000-0000-00007A010000}"/>
    <cellStyle name="Normal 3 53" xfId="378" xr:uid="{00000000-0005-0000-0000-00007B010000}"/>
    <cellStyle name="Normal 3 54" xfId="379" xr:uid="{00000000-0005-0000-0000-00007C010000}"/>
    <cellStyle name="Normal 3 55" xfId="380" xr:uid="{00000000-0005-0000-0000-00007D010000}"/>
    <cellStyle name="Normal 3 56" xfId="381" xr:uid="{00000000-0005-0000-0000-00007E010000}"/>
    <cellStyle name="Normal 3 57" xfId="382" xr:uid="{00000000-0005-0000-0000-00007F010000}"/>
    <cellStyle name="Normal 3 58" xfId="383" xr:uid="{00000000-0005-0000-0000-000080010000}"/>
    <cellStyle name="Normal 3 59" xfId="384" xr:uid="{00000000-0005-0000-0000-000081010000}"/>
    <cellStyle name="Normal 3 6" xfId="385" xr:uid="{00000000-0005-0000-0000-000082010000}"/>
    <cellStyle name="Normal 3 60" xfId="386" xr:uid="{00000000-0005-0000-0000-000083010000}"/>
    <cellStyle name="Normal 3 61" xfId="387" xr:uid="{00000000-0005-0000-0000-000084010000}"/>
    <cellStyle name="Normal 3 62" xfId="388" xr:uid="{00000000-0005-0000-0000-000085010000}"/>
    <cellStyle name="Normal 3 63" xfId="389" xr:uid="{00000000-0005-0000-0000-000086010000}"/>
    <cellStyle name="Normal 3 64" xfId="390" xr:uid="{00000000-0005-0000-0000-000087010000}"/>
    <cellStyle name="Normal 3 65" xfId="391" xr:uid="{00000000-0005-0000-0000-000088010000}"/>
    <cellStyle name="Normal 3 66" xfId="392" xr:uid="{00000000-0005-0000-0000-000089010000}"/>
    <cellStyle name="Normal 3 67" xfId="393" xr:uid="{00000000-0005-0000-0000-00008A010000}"/>
    <cellStyle name="Normal 3 68" xfId="394" xr:uid="{00000000-0005-0000-0000-00008B010000}"/>
    <cellStyle name="Normal 3 69" xfId="395" xr:uid="{00000000-0005-0000-0000-00008C010000}"/>
    <cellStyle name="Normal 3 7" xfId="396" xr:uid="{00000000-0005-0000-0000-00008D010000}"/>
    <cellStyle name="Normal 3 70" xfId="397" xr:uid="{00000000-0005-0000-0000-00008E010000}"/>
    <cellStyle name="Normal 3 71" xfId="398" xr:uid="{00000000-0005-0000-0000-00008F010000}"/>
    <cellStyle name="Normal 3 72" xfId="399" xr:uid="{00000000-0005-0000-0000-000090010000}"/>
    <cellStyle name="Normal 3 73" xfId="400" xr:uid="{00000000-0005-0000-0000-000091010000}"/>
    <cellStyle name="Normal 3 74" xfId="401" xr:uid="{00000000-0005-0000-0000-000092010000}"/>
    <cellStyle name="Normal 3 75" xfId="402" xr:uid="{00000000-0005-0000-0000-000093010000}"/>
    <cellStyle name="Normal 3 76" xfId="403" xr:uid="{00000000-0005-0000-0000-000094010000}"/>
    <cellStyle name="Normal 3 77" xfId="404" xr:uid="{00000000-0005-0000-0000-000095010000}"/>
    <cellStyle name="Normal 3 78" xfId="405" xr:uid="{00000000-0005-0000-0000-000096010000}"/>
    <cellStyle name="Normal 3 79" xfId="406" xr:uid="{00000000-0005-0000-0000-000097010000}"/>
    <cellStyle name="Normal 3 8" xfId="407" xr:uid="{00000000-0005-0000-0000-000098010000}"/>
    <cellStyle name="Normal 3 80" xfId="408" xr:uid="{00000000-0005-0000-0000-000099010000}"/>
    <cellStyle name="Normal 3 81" xfId="409" xr:uid="{00000000-0005-0000-0000-00009A010000}"/>
    <cellStyle name="Normal 3 82" xfId="410" xr:uid="{00000000-0005-0000-0000-00009B010000}"/>
    <cellStyle name="Normal 3 83" xfId="411" xr:uid="{00000000-0005-0000-0000-00009C010000}"/>
    <cellStyle name="Normal 3 84" xfId="412" xr:uid="{00000000-0005-0000-0000-00009D010000}"/>
    <cellStyle name="Normal 3 85" xfId="413" xr:uid="{00000000-0005-0000-0000-00009E010000}"/>
    <cellStyle name="Normal 3 86" xfId="414" xr:uid="{00000000-0005-0000-0000-00009F010000}"/>
    <cellStyle name="Normal 3 87" xfId="415" xr:uid="{00000000-0005-0000-0000-0000A0010000}"/>
    <cellStyle name="Normal 3 88" xfId="416" xr:uid="{00000000-0005-0000-0000-0000A1010000}"/>
    <cellStyle name="Normal 3 89" xfId="417" xr:uid="{00000000-0005-0000-0000-0000A2010000}"/>
    <cellStyle name="Normal 3 9" xfId="418" xr:uid="{00000000-0005-0000-0000-0000A3010000}"/>
    <cellStyle name="Normal 3 90" xfId="419" xr:uid="{00000000-0005-0000-0000-0000A4010000}"/>
    <cellStyle name="Normal 3 91" xfId="420" xr:uid="{00000000-0005-0000-0000-0000A5010000}"/>
    <cellStyle name="Normal 3 92" xfId="421" xr:uid="{00000000-0005-0000-0000-0000A6010000}"/>
    <cellStyle name="Normal 3 93" xfId="422" xr:uid="{00000000-0005-0000-0000-0000A7010000}"/>
    <cellStyle name="Normal 3 94" xfId="423" xr:uid="{00000000-0005-0000-0000-0000A8010000}"/>
    <cellStyle name="Normal 3 95" xfId="424" xr:uid="{00000000-0005-0000-0000-0000A9010000}"/>
    <cellStyle name="Normal 3 96" xfId="425" xr:uid="{00000000-0005-0000-0000-0000AA010000}"/>
    <cellStyle name="Normal 3 97" xfId="426" xr:uid="{00000000-0005-0000-0000-0000AB010000}"/>
    <cellStyle name="Normal 3 98" xfId="427" xr:uid="{00000000-0005-0000-0000-0000AC010000}"/>
    <cellStyle name="Normal 3 99" xfId="428" xr:uid="{00000000-0005-0000-0000-0000AD010000}"/>
    <cellStyle name="Normal 30" xfId="429" xr:uid="{00000000-0005-0000-0000-0000AE010000}"/>
    <cellStyle name="Normal 300" xfId="430" xr:uid="{00000000-0005-0000-0000-0000AF010000}"/>
    <cellStyle name="Normal 301" xfId="431" xr:uid="{00000000-0005-0000-0000-0000B0010000}"/>
    <cellStyle name="Normal 302" xfId="432" xr:uid="{00000000-0005-0000-0000-0000B1010000}"/>
    <cellStyle name="Normal 303" xfId="433" xr:uid="{00000000-0005-0000-0000-0000B2010000}"/>
    <cellStyle name="Normal 304" xfId="434" xr:uid="{00000000-0005-0000-0000-0000B3010000}"/>
    <cellStyle name="Normal 305" xfId="435" xr:uid="{00000000-0005-0000-0000-0000B4010000}"/>
    <cellStyle name="Normal 306" xfId="436" xr:uid="{00000000-0005-0000-0000-0000B5010000}"/>
    <cellStyle name="Normal 307" xfId="437" xr:uid="{00000000-0005-0000-0000-0000B6010000}"/>
    <cellStyle name="Normal 308" xfId="438" xr:uid="{00000000-0005-0000-0000-0000B7010000}"/>
    <cellStyle name="Normal 309" xfId="439" xr:uid="{00000000-0005-0000-0000-0000B8010000}"/>
    <cellStyle name="Normal 31" xfId="440" xr:uid="{00000000-0005-0000-0000-0000B9010000}"/>
    <cellStyle name="Normal 310" xfId="441" xr:uid="{00000000-0005-0000-0000-0000BA010000}"/>
    <cellStyle name="Normal 311" xfId="442" xr:uid="{00000000-0005-0000-0000-0000BB010000}"/>
    <cellStyle name="Normal 312" xfId="443" xr:uid="{00000000-0005-0000-0000-0000BC010000}"/>
    <cellStyle name="Normal 313" xfId="444" xr:uid="{00000000-0005-0000-0000-0000BD010000}"/>
    <cellStyle name="Normal 314" xfId="445" xr:uid="{00000000-0005-0000-0000-0000BE010000}"/>
    <cellStyle name="Normal 315" xfId="446" xr:uid="{00000000-0005-0000-0000-0000BF010000}"/>
    <cellStyle name="Normal 316" xfId="447" xr:uid="{00000000-0005-0000-0000-0000C0010000}"/>
    <cellStyle name="Normal 317" xfId="448" xr:uid="{00000000-0005-0000-0000-0000C1010000}"/>
    <cellStyle name="Normal 318" xfId="449" xr:uid="{00000000-0005-0000-0000-0000C2010000}"/>
    <cellStyle name="Normal 319" xfId="450" xr:uid="{00000000-0005-0000-0000-0000C3010000}"/>
    <cellStyle name="Normal 319 2" xfId="451" xr:uid="{00000000-0005-0000-0000-0000C4010000}"/>
    <cellStyle name="Normal 32" xfId="452" xr:uid="{00000000-0005-0000-0000-0000C5010000}"/>
    <cellStyle name="Normal 320" xfId="453" xr:uid="{00000000-0005-0000-0000-0000C6010000}"/>
    <cellStyle name="Normal 321" xfId="454" xr:uid="{00000000-0005-0000-0000-0000C7010000}"/>
    <cellStyle name="Normal 322" xfId="455" xr:uid="{00000000-0005-0000-0000-0000C8010000}"/>
    <cellStyle name="Normal 323" xfId="456" xr:uid="{00000000-0005-0000-0000-0000C9010000}"/>
    <cellStyle name="Normal 324" xfId="457" xr:uid="{00000000-0005-0000-0000-0000CA010000}"/>
    <cellStyle name="Normal 325" xfId="557" xr:uid="{00000000-0005-0000-0000-0000CB010000}"/>
    <cellStyle name="Normal 33" xfId="458" xr:uid="{00000000-0005-0000-0000-0000CC010000}"/>
    <cellStyle name="Normal 34" xfId="459" xr:uid="{00000000-0005-0000-0000-0000CD010000}"/>
    <cellStyle name="Normal 35" xfId="460" xr:uid="{00000000-0005-0000-0000-0000CE010000}"/>
    <cellStyle name="Normal 36" xfId="461" xr:uid="{00000000-0005-0000-0000-0000CF010000}"/>
    <cellStyle name="Normal 37" xfId="462" xr:uid="{00000000-0005-0000-0000-0000D0010000}"/>
    <cellStyle name="Normal 38" xfId="463" xr:uid="{00000000-0005-0000-0000-0000D1010000}"/>
    <cellStyle name="Normal 39" xfId="464" xr:uid="{00000000-0005-0000-0000-0000D2010000}"/>
    <cellStyle name="Normal 4" xfId="465" xr:uid="{00000000-0005-0000-0000-0000D3010000}"/>
    <cellStyle name="Normal 4 2" xfId="466" xr:uid="{00000000-0005-0000-0000-0000D4010000}"/>
    <cellStyle name="Normal 4 3" xfId="467" xr:uid="{00000000-0005-0000-0000-0000D5010000}"/>
    <cellStyle name="Normal 40" xfId="468" xr:uid="{00000000-0005-0000-0000-0000D6010000}"/>
    <cellStyle name="Normal 41" xfId="469" xr:uid="{00000000-0005-0000-0000-0000D7010000}"/>
    <cellStyle name="Normal 42" xfId="470" xr:uid="{00000000-0005-0000-0000-0000D8010000}"/>
    <cellStyle name="Normal 43" xfId="471" xr:uid="{00000000-0005-0000-0000-0000D9010000}"/>
    <cellStyle name="Normal 44" xfId="472" xr:uid="{00000000-0005-0000-0000-0000DA010000}"/>
    <cellStyle name="Normal 45" xfId="473" xr:uid="{00000000-0005-0000-0000-0000DB010000}"/>
    <cellStyle name="Normal 46" xfId="474" xr:uid="{00000000-0005-0000-0000-0000DC010000}"/>
    <cellStyle name="Normal 47" xfId="475" xr:uid="{00000000-0005-0000-0000-0000DD010000}"/>
    <cellStyle name="Normal 48" xfId="476" xr:uid="{00000000-0005-0000-0000-0000DE010000}"/>
    <cellStyle name="Normal 49" xfId="477" xr:uid="{00000000-0005-0000-0000-0000DF010000}"/>
    <cellStyle name="Normal 5" xfId="478" xr:uid="{00000000-0005-0000-0000-0000E0010000}"/>
    <cellStyle name="Normal 5 2" xfId="479" xr:uid="{00000000-0005-0000-0000-0000E1010000}"/>
    <cellStyle name="Normal 50" xfId="480" xr:uid="{00000000-0005-0000-0000-0000E2010000}"/>
    <cellStyle name="Normal 51" xfId="481" xr:uid="{00000000-0005-0000-0000-0000E3010000}"/>
    <cellStyle name="Normal 52" xfId="482" xr:uid="{00000000-0005-0000-0000-0000E4010000}"/>
    <cellStyle name="Normal 53" xfId="483" xr:uid="{00000000-0005-0000-0000-0000E5010000}"/>
    <cellStyle name="Normal 54" xfId="484" xr:uid="{00000000-0005-0000-0000-0000E6010000}"/>
    <cellStyle name="Normal 55" xfId="485" xr:uid="{00000000-0005-0000-0000-0000E7010000}"/>
    <cellStyle name="Normal 56" xfId="486" xr:uid="{00000000-0005-0000-0000-0000E8010000}"/>
    <cellStyle name="Normal 57" xfId="487" xr:uid="{00000000-0005-0000-0000-0000E9010000}"/>
    <cellStyle name="Normal 58" xfId="488" xr:uid="{00000000-0005-0000-0000-0000EA010000}"/>
    <cellStyle name="Normal 59" xfId="489" xr:uid="{00000000-0005-0000-0000-0000EB010000}"/>
    <cellStyle name="Normal 6" xfId="490" xr:uid="{00000000-0005-0000-0000-0000EC010000}"/>
    <cellStyle name="Normal 6 2" xfId="491" xr:uid="{00000000-0005-0000-0000-0000ED010000}"/>
    <cellStyle name="Normal 6 3" xfId="492" xr:uid="{00000000-0005-0000-0000-0000EE010000}"/>
    <cellStyle name="Normal 6 4" xfId="493" xr:uid="{00000000-0005-0000-0000-0000EF010000}"/>
    <cellStyle name="Normal 6 4 2" xfId="494" xr:uid="{00000000-0005-0000-0000-0000F0010000}"/>
    <cellStyle name="Normal 6 5" xfId="495" xr:uid="{00000000-0005-0000-0000-0000F1010000}"/>
    <cellStyle name="Normal 60" xfId="496" xr:uid="{00000000-0005-0000-0000-0000F2010000}"/>
    <cellStyle name="Normal 61" xfId="497" xr:uid="{00000000-0005-0000-0000-0000F3010000}"/>
    <cellStyle name="Normal 62" xfId="498" xr:uid="{00000000-0005-0000-0000-0000F4010000}"/>
    <cellStyle name="Normal 63" xfId="499" xr:uid="{00000000-0005-0000-0000-0000F5010000}"/>
    <cellStyle name="Normal 64" xfId="500" xr:uid="{00000000-0005-0000-0000-0000F6010000}"/>
    <cellStyle name="Normal 65" xfId="501" xr:uid="{00000000-0005-0000-0000-0000F7010000}"/>
    <cellStyle name="Normal 66" xfId="502" xr:uid="{00000000-0005-0000-0000-0000F8010000}"/>
    <cellStyle name="Normal 67" xfId="503" xr:uid="{00000000-0005-0000-0000-0000F9010000}"/>
    <cellStyle name="Normal 68" xfId="504" xr:uid="{00000000-0005-0000-0000-0000FA010000}"/>
    <cellStyle name="Normal 69" xfId="505" xr:uid="{00000000-0005-0000-0000-0000FB010000}"/>
    <cellStyle name="Normal 7" xfId="506" xr:uid="{00000000-0005-0000-0000-0000FC010000}"/>
    <cellStyle name="Normal 7 2" xfId="507" xr:uid="{00000000-0005-0000-0000-0000FD010000}"/>
    <cellStyle name="Normal 70" xfId="508" xr:uid="{00000000-0005-0000-0000-0000FE010000}"/>
    <cellStyle name="Normal 71" xfId="509" xr:uid="{00000000-0005-0000-0000-0000FF010000}"/>
    <cellStyle name="Normal 72" xfId="510" xr:uid="{00000000-0005-0000-0000-000000020000}"/>
    <cellStyle name="Normal 73" xfId="511" xr:uid="{00000000-0005-0000-0000-000001020000}"/>
    <cellStyle name="Normal 74" xfId="512" xr:uid="{00000000-0005-0000-0000-000002020000}"/>
    <cellStyle name="Normal 75" xfId="513" xr:uid="{00000000-0005-0000-0000-000003020000}"/>
    <cellStyle name="Normal 76" xfId="514" xr:uid="{00000000-0005-0000-0000-000004020000}"/>
    <cellStyle name="Normal 77" xfId="515" xr:uid="{00000000-0005-0000-0000-000005020000}"/>
    <cellStyle name="Normal 78" xfId="516" xr:uid="{00000000-0005-0000-0000-000006020000}"/>
    <cellStyle name="Normal 79" xfId="517" xr:uid="{00000000-0005-0000-0000-000007020000}"/>
    <cellStyle name="Normal 8" xfId="518" xr:uid="{00000000-0005-0000-0000-000008020000}"/>
    <cellStyle name="Normal 8 2" xfId="519" xr:uid="{00000000-0005-0000-0000-000009020000}"/>
    <cellStyle name="Normal 80" xfId="520" xr:uid="{00000000-0005-0000-0000-00000A020000}"/>
    <cellStyle name="Normal 81" xfId="521" xr:uid="{00000000-0005-0000-0000-00000B020000}"/>
    <cellStyle name="Normal 82" xfId="522" xr:uid="{00000000-0005-0000-0000-00000C020000}"/>
    <cellStyle name="Normal 83" xfId="523" xr:uid="{00000000-0005-0000-0000-00000D020000}"/>
    <cellStyle name="Normal 84" xfId="524" xr:uid="{00000000-0005-0000-0000-00000E020000}"/>
    <cellStyle name="Normal 85" xfId="525" xr:uid="{00000000-0005-0000-0000-00000F020000}"/>
    <cellStyle name="Normal 86" xfId="526" xr:uid="{00000000-0005-0000-0000-000010020000}"/>
    <cellStyle name="Normal 87" xfId="527" xr:uid="{00000000-0005-0000-0000-000011020000}"/>
    <cellStyle name="Normal 88" xfId="528" xr:uid="{00000000-0005-0000-0000-000012020000}"/>
    <cellStyle name="Normal 89" xfId="529" xr:uid="{00000000-0005-0000-0000-000013020000}"/>
    <cellStyle name="Normal 9" xfId="530" xr:uid="{00000000-0005-0000-0000-000014020000}"/>
    <cellStyle name="Normal 9 2" xfId="531" xr:uid="{00000000-0005-0000-0000-000015020000}"/>
    <cellStyle name="Normal 9 3" xfId="532" xr:uid="{00000000-0005-0000-0000-000016020000}"/>
    <cellStyle name="Normal 90" xfId="533" xr:uid="{00000000-0005-0000-0000-000017020000}"/>
    <cellStyle name="Normal 91" xfId="534" xr:uid="{00000000-0005-0000-0000-000018020000}"/>
    <cellStyle name="Normal 92" xfId="535" xr:uid="{00000000-0005-0000-0000-000019020000}"/>
    <cellStyle name="Normal 93" xfId="536" xr:uid="{00000000-0005-0000-0000-00001A020000}"/>
    <cellStyle name="Normal 94" xfId="537" xr:uid="{00000000-0005-0000-0000-00001B020000}"/>
    <cellStyle name="Normal 95" xfId="538" xr:uid="{00000000-0005-0000-0000-00001C020000}"/>
    <cellStyle name="Normal 96" xfId="539" xr:uid="{00000000-0005-0000-0000-00001D020000}"/>
    <cellStyle name="Normal 97" xfId="540" xr:uid="{00000000-0005-0000-0000-00001E020000}"/>
    <cellStyle name="Normal 98" xfId="541" xr:uid="{00000000-0005-0000-0000-00001F020000}"/>
    <cellStyle name="Normal 99" xfId="542" xr:uid="{00000000-0005-0000-0000-000020020000}"/>
    <cellStyle name="Note 2" xfId="543" xr:uid="{00000000-0005-0000-0000-000021020000}"/>
    <cellStyle name="Note 3" xfId="544" xr:uid="{00000000-0005-0000-0000-000022020000}"/>
    <cellStyle name="Percent" xfId="559" builtinId="5"/>
    <cellStyle name="Percent 2" xfId="545" xr:uid="{00000000-0005-0000-0000-000024020000}"/>
    <cellStyle name="Percent 2 2" xfId="546" xr:uid="{00000000-0005-0000-0000-000025020000}"/>
    <cellStyle name="Percent 2 3" xfId="547" xr:uid="{00000000-0005-0000-0000-000026020000}"/>
    <cellStyle name="Percent 2 4" xfId="548" xr:uid="{00000000-0005-0000-0000-000027020000}"/>
    <cellStyle name="Percent 2 5" xfId="549" xr:uid="{00000000-0005-0000-0000-000028020000}"/>
    <cellStyle name="Percent 2 5 2" xfId="550" xr:uid="{00000000-0005-0000-0000-000029020000}"/>
    <cellStyle name="Percent 3" xfId="551" xr:uid="{00000000-0005-0000-0000-00002A020000}"/>
    <cellStyle name="Percent 3 2" xfId="552" xr:uid="{00000000-0005-0000-0000-00002B020000}"/>
    <cellStyle name="Percent 3 2 2" xfId="553" xr:uid="{00000000-0005-0000-0000-00002C020000}"/>
    <cellStyle name="Percent 4" xfId="554" xr:uid="{00000000-0005-0000-0000-00002D020000}"/>
    <cellStyle name="Percent 4 2" xfId="555" xr:uid="{00000000-0005-0000-0000-00002E020000}"/>
    <cellStyle name="Title 2" xfId="556" xr:uid="{00000000-0005-0000-0000-00002F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W231"/>
  <sheetViews>
    <sheetView tabSelected="1" zoomScaleNormal="100" workbookViewId="0">
      <pane xSplit="3" topLeftCell="AJ1" activePane="topRight" state="frozen"/>
      <selection pane="topRight" activeCell="AW29" sqref="AW29"/>
    </sheetView>
  </sheetViews>
  <sheetFormatPr defaultColWidth="9.140625" defaultRowHeight="14.25"/>
  <cols>
    <col min="1" max="1" width="2.140625" style="20" customWidth="1"/>
    <col min="2" max="2" width="21" style="20" customWidth="1"/>
    <col min="3" max="3" width="23.140625" style="20" customWidth="1"/>
    <col min="4" max="4" width="13.85546875" style="20" hidden="1" customWidth="1"/>
    <col min="5" max="5" width="11.42578125" style="20" hidden="1" customWidth="1"/>
    <col min="6" max="6" width="10.7109375" style="6" hidden="1" customWidth="1"/>
    <col min="7" max="7" width="14.42578125" style="23" hidden="1" customWidth="1"/>
    <col min="8" max="8" width="14.140625" style="20" hidden="1" customWidth="1"/>
    <col min="9" max="9" width="11.42578125" style="20" hidden="1" customWidth="1"/>
    <col min="10" max="10" width="10.7109375" style="6" hidden="1" customWidth="1"/>
    <col min="11" max="11" width="14.42578125" style="23" hidden="1" customWidth="1"/>
    <col min="12" max="12" width="14.140625" style="20" hidden="1" customWidth="1"/>
    <col min="13" max="13" width="11.42578125" style="20" hidden="1" customWidth="1"/>
    <col min="14" max="14" width="10.7109375" style="6" hidden="1" customWidth="1"/>
    <col min="15" max="15" width="14.42578125" style="23" hidden="1" customWidth="1"/>
    <col min="16" max="16" width="14.28515625" style="20" hidden="1" customWidth="1"/>
    <col min="17" max="17" width="11.42578125" style="20" hidden="1" customWidth="1"/>
    <col min="18" max="18" width="10.7109375" style="6" hidden="1" customWidth="1"/>
    <col min="19" max="19" width="14.42578125" style="23" hidden="1" customWidth="1"/>
    <col min="20" max="20" width="14.140625" style="20" hidden="1" customWidth="1"/>
    <col min="21" max="21" width="11.42578125" style="20" hidden="1" customWidth="1"/>
    <col min="22" max="22" width="10.7109375" style="6" hidden="1" customWidth="1"/>
    <col min="23" max="23" width="14.42578125" style="23" hidden="1" customWidth="1"/>
    <col min="24" max="24" width="14.140625" style="20" hidden="1" customWidth="1"/>
    <col min="25" max="25" width="11.42578125" style="20" hidden="1" customWidth="1"/>
    <col min="26" max="26" width="10.7109375" style="6" hidden="1" customWidth="1"/>
    <col min="27" max="27" width="14.42578125" style="23" hidden="1" customWidth="1"/>
    <col min="28" max="28" width="14.140625" style="20" hidden="1" customWidth="1"/>
    <col min="29" max="29" width="11.42578125" style="20" hidden="1" customWidth="1"/>
    <col min="30" max="30" width="10.7109375" style="6" hidden="1" customWidth="1"/>
    <col min="31" max="31" width="14.42578125" style="23" hidden="1" customWidth="1"/>
    <col min="32" max="32" width="14.140625" style="20" hidden="1" customWidth="1"/>
    <col min="33" max="33" width="11.42578125" style="20" hidden="1" customWidth="1"/>
    <col min="34" max="34" width="10.7109375" style="6" hidden="1" customWidth="1"/>
    <col min="35" max="35" width="14.42578125" style="23" hidden="1" customWidth="1"/>
    <col min="36" max="36" width="14.140625" style="20" customWidth="1"/>
    <col min="37" max="37" width="11.42578125" style="20" customWidth="1"/>
    <col min="38" max="38" width="10.7109375" style="6" customWidth="1"/>
    <col min="39" max="39" width="14.42578125" style="23" customWidth="1"/>
    <col min="40" max="40" width="14.140625" style="20" customWidth="1"/>
    <col min="41" max="41" width="11.42578125" style="20" customWidth="1"/>
    <col min="42" max="42" width="10.7109375" style="6" customWidth="1"/>
    <col min="43" max="43" width="14.42578125" style="23" customWidth="1"/>
    <col min="44" max="44" width="14.140625" style="20" customWidth="1"/>
    <col min="45" max="45" width="11.42578125" style="20" customWidth="1"/>
    <col min="46" max="46" width="10.7109375" style="6" customWidth="1"/>
    <col min="47" max="47" width="14.42578125" style="23" customWidth="1"/>
    <col min="48" max="48" width="12.42578125" style="20" bestFit="1" customWidth="1"/>
    <col min="49" max="701" width="9.140625" style="20"/>
    <col min="702" max="702" width="0" style="20" hidden="1" customWidth="1"/>
    <col min="703" max="16384" width="9.140625" style="20"/>
  </cols>
  <sheetData>
    <row r="2" spans="2:47" ht="20.25">
      <c r="B2" s="470" t="s">
        <v>14</v>
      </c>
      <c r="C2" s="471"/>
      <c r="D2" s="422" t="s">
        <v>274</v>
      </c>
      <c r="E2" s="423"/>
      <c r="F2" s="423"/>
      <c r="G2" s="424"/>
      <c r="H2" s="425" t="s">
        <v>275</v>
      </c>
      <c r="I2" s="426"/>
      <c r="J2" s="426"/>
      <c r="K2" s="427"/>
      <c r="L2" s="428" t="s">
        <v>276</v>
      </c>
      <c r="M2" s="429"/>
      <c r="N2" s="429"/>
      <c r="O2" s="430"/>
      <c r="P2" s="431" t="s">
        <v>277</v>
      </c>
      <c r="Q2" s="432"/>
      <c r="R2" s="432"/>
      <c r="S2" s="433"/>
      <c r="T2" s="434" t="s">
        <v>278</v>
      </c>
      <c r="U2" s="435"/>
      <c r="V2" s="435"/>
      <c r="W2" s="436"/>
      <c r="X2" s="437" t="s">
        <v>279</v>
      </c>
      <c r="Y2" s="438"/>
      <c r="Z2" s="438"/>
      <c r="AA2" s="439"/>
      <c r="AB2" s="422" t="s">
        <v>280</v>
      </c>
      <c r="AC2" s="423"/>
      <c r="AD2" s="423"/>
      <c r="AE2" s="424"/>
      <c r="AF2" s="425" t="s">
        <v>281</v>
      </c>
      <c r="AG2" s="426"/>
      <c r="AH2" s="426"/>
      <c r="AI2" s="427"/>
      <c r="AJ2" s="428" t="s">
        <v>282</v>
      </c>
      <c r="AK2" s="429"/>
      <c r="AL2" s="429"/>
      <c r="AM2" s="430"/>
      <c r="AN2" s="431" t="s">
        <v>283</v>
      </c>
      <c r="AO2" s="432"/>
      <c r="AP2" s="432"/>
      <c r="AQ2" s="433"/>
      <c r="AR2" s="434" t="s">
        <v>284</v>
      </c>
      <c r="AS2" s="435"/>
      <c r="AT2" s="435"/>
      <c r="AU2" s="436"/>
    </row>
    <row r="3" spans="2:47" ht="15" customHeight="1">
      <c r="B3" s="7"/>
      <c r="C3" s="7"/>
      <c r="D3" s="462" t="s">
        <v>2</v>
      </c>
      <c r="E3" s="465" t="s">
        <v>3</v>
      </c>
      <c r="F3" s="453" t="s">
        <v>4</v>
      </c>
      <c r="G3" s="456" t="s">
        <v>21</v>
      </c>
      <c r="H3" s="462" t="s">
        <v>2</v>
      </c>
      <c r="I3" s="465" t="s">
        <v>3</v>
      </c>
      <c r="J3" s="453" t="s">
        <v>4</v>
      </c>
      <c r="K3" s="456" t="s">
        <v>21</v>
      </c>
      <c r="L3" s="462" t="s">
        <v>2</v>
      </c>
      <c r="M3" s="465" t="s">
        <v>3</v>
      </c>
      <c r="N3" s="453" t="s">
        <v>4</v>
      </c>
      <c r="O3" s="456" t="s">
        <v>21</v>
      </c>
      <c r="P3" s="462" t="s">
        <v>2</v>
      </c>
      <c r="Q3" s="465" t="s">
        <v>3</v>
      </c>
      <c r="R3" s="453" t="s">
        <v>4</v>
      </c>
      <c r="S3" s="456" t="s">
        <v>21</v>
      </c>
      <c r="T3" s="462" t="s">
        <v>2</v>
      </c>
      <c r="U3" s="465" t="s">
        <v>3</v>
      </c>
      <c r="V3" s="453" t="s">
        <v>4</v>
      </c>
      <c r="W3" s="456" t="s">
        <v>21</v>
      </c>
      <c r="X3" s="462" t="s">
        <v>2</v>
      </c>
      <c r="Y3" s="465" t="s">
        <v>3</v>
      </c>
      <c r="Z3" s="453" t="s">
        <v>4</v>
      </c>
      <c r="AA3" s="456" t="s">
        <v>21</v>
      </c>
      <c r="AB3" s="462" t="s">
        <v>2</v>
      </c>
      <c r="AC3" s="465" t="s">
        <v>3</v>
      </c>
      <c r="AD3" s="453" t="s">
        <v>4</v>
      </c>
      <c r="AE3" s="456" t="s">
        <v>21</v>
      </c>
      <c r="AF3" s="462" t="s">
        <v>2</v>
      </c>
      <c r="AG3" s="465" t="s">
        <v>3</v>
      </c>
      <c r="AH3" s="453" t="s">
        <v>4</v>
      </c>
      <c r="AI3" s="456" t="s">
        <v>21</v>
      </c>
      <c r="AJ3" s="462" t="s">
        <v>2</v>
      </c>
      <c r="AK3" s="465" t="s">
        <v>3</v>
      </c>
      <c r="AL3" s="453" t="s">
        <v>4</v>
      </c>
      <c r="AM3" s="456" t="s">
        <v>21</v>
      </c>
      <c r="AN3" s="462" t="s">
        <v>2</v>
      </c>
      <c r="AO3" s="465" t="s">
        <v>3</v>
      </c>
      <c r="AP3" s="453" t="s">
        <v>4</v>
      </c>
      <c r="AQ3" s="456" t="s">
        <v>21</v>
      </c>
      <c r="AR3" s="462" t="s">
        <v>2</v>
      </c>
      <c r="AS3" s="465" t="s">
        <v>3</v>
      </c>
      <c r="AT3" s="453" t="s">
        <v>4</v>
      </c>
      <c r="AU3" s="456" t="s">
        <v>21</v>
      </c>
    </row>
    <row r="4" spans="2:47">
      <c r="B4" s="7"/>
      <c r="C4" s="7"/>
      <c r="D4" s="463"/>
      <c r="E4" s="466"/>
      <c r="F4" s="454"/>
      <c r="G4" s="457"/>
      <c r="H4" s="463"/>
      <c r="I4" s="466"/>
      <c r="J4" s="454"/>
      <c r="K4" s="457"/>
      <c r="L4" s="463"/>
      <c r="M4" s="466"/>
      <c r="N4" s="454"/>
      <c r="O4" s="457"/>
      <c r="P4" s="463"/>
      <c r="Q4" s="466"/>
      <c r="R4" s="454"/>
      <c r="S4" s="457"/>
      <c r="T4" s="463"/>
      <c r="U4" s="466"/>
      <c r="V4" s="454"/>
      <c r="W4" s="457"/>
      <c r="X4" s="463"/>
      <c r="Y4" s="466"/>
      <c r="Z4" s="454"/>
      <c r="AA4" s="457"/>
      <c r="AB4" s="463"/>
      <c r="AC4" s="466"/>
      <c r="AD4" s="454"/>
      <c r="AE4" s="457"/>
      <c r="AF4" s="463"/>
      <c r="AG4" s="466"/>
      <c r="AH4" s="454"/>
      <c r="AI4" s="457"/>
      <c r="AJ4" s="463"/>
      <c r="AK4" s="466"/>
      <c r="AL4" s="454"/>
      <c r="AM4" s="457"/>
      <c r="AN4" s="463"/>
      <c r="AO4" s="466"/>
      <c r="AP4" s="454"/>
      <c r="AQ4" s="457"/>
      <c r="AR4" s="463"/>
      <c r="AS4" s="466"/>
      <c r="AT4" s="454"/>
      <c r="AU4" s="457"/>
    </row>
    <row r="5" spans="2:47">
      <c r="B5" s="144" t="s">
        <v>5</v>
      </c>
      <c r="C5" s="144" t="s">
        <v>6</v>
      </c>
      <c r="D5" s="464"/>
      <c r="E5" s="467"/>
      <c r="F5" s="455"/>
      <c r="G5" s="458"/>
      <c r="H5" s="464"/>
      <c r="I5" s="467"/>
      <c r="J5" s="455"/>
      <c r="K5" s="458"/>
      <c r="L5" s="464"/>
      <c r="M5" s="467"/>
      <c r="N5" s="455"/>
      <c r="O5" s="458"/>
      <c r="P5" s="464"/>
      <c r="Q5" s="467"/>
      <c r="R5" s="455"/>
      <c r="S5" s="458"/>
      <c r="T5" s="464"/>
      <c r="U5" s="467"/>
      <c r="V5" s="455"/>
      <c r="W5" s="458"/>
      <c r="X5" s="464"/>
      <c r="Y5" s="467"/>
      <c r="Z5" s="455"/>
      <c r="AA5" s="458"/>
      <c r="AB5" s="464"/>
      <c r="AC5" s="467"/>
      <c r="AD5" s="455"/>
      <c r="AE5" s="458"/>
      <c r="AF5" s="464"/>
      <c r="AG5" s="467"/>
      <c r="AH5" s="455"/>
      <c r="AI5" s="458"/>
      <c r="AJ5" s="464"/>
      <c r="AK5" s="467"/>
      <c r="AL5" s="455"/>
      <c r="AM5" s="458"/>
      <c r="AN5" s="464"/>
      <c r="AO5" s="467"/>
      <c r="AP5" s="455"/>
      <c r="AQ5" s="458"/>
      <c r="AR5" s="464"/>
      <c r="AS5" s="467"/>
      <c r="AT5" s="455"/>
      <c r="AU5" s="458"/>
    </row>
    <row r="6" spans="2:47">
      <c r="B6" s="459" t="s">
        <v>7</v>
      </c>
      <c r="C6" s="10" t="s">
        <v>8</v>
      </c>
      <c r="D6" s="113">
        <v>0</v>
      </c>
      <c r="E6" s="114">
        <v>0</v>
      </c>
      <c r="F6" s="3">
        <f>E6/30</f>
        <v>0</v>
      </c>
      <c r="G6" s="27">
        <v>0</v>
      </c>
      <c r="H6" s="113">
        <v>0</v>
      </c>
      <c r="I6" s="114">
        <v>13</v>
      </c>
      <c r="J6" s="3">
        <f>I6/30</f>
        <v>0.43333333333333335</v>
      </c>
      <c r="K6" s="27">
        <v>0</v>
      </c>
      <c r="L6" s="113">
        <v>0</v>
      </c>
      <c r="M6" s="114">
        <v>0</v>
      </c>
      <c r="N6" s="3">
        <f>M6/30</f>
        <v>0</v>
      </c>
      <c r="O6" s="27">
        <v>0</v>
      </c>
      <c r="P6" s="113">
        <v>0</v>
      </c>
      <c r="Q6" s="114">
        <v>0</v>
      </c>
      <c r="R6" s="3">
        <f>Q6/30</f>
        <v>0</v>
      </c>
      <c r="S6" s="27">
        <v>0</v>
      </c>
      <c r="T6" s="113">
        <v>0</v>
      </c>
      <c r="U6" s="114">
        <v>0</v>
      </c>
      <c r="V6" s="3">
        <f>U6/30</f>
        <v>0</v>
      </c>
      <c r="W6" s="27">
        <v>0</v>
      </c>
      <c r="X6" s="113">
        <v>0</v>
      </c>
      <c r="Y6" s="114">
        <v>0</v>
      </c>
      <c r="Z6" s="3">
        <f>Y6/30</f>
        <v>0</v>
      </c>
      <c r="AA6" s="27">
        <v>0</v>
      </c>
      <c r="AB6" s="113">
        <v>0</v>
      </c>
      <c r="AC6" s="114">
        <v>0</v>
      </c>
      <c r="AD6" s="3">
        <f>AC6/30</f>
        <v>0</v>
      </c>
      <c r="AE6" s="27">
        <v>0</v>
      </c>
      <c r="AF6" s="113">
        <v>0</v>
      </c>
      <c r="AG6" s="114">
        <v>0</v>
      </c>
      <c r="AH6" s="3">
        <f>AG6/30</f>
        <v>0</v>
      </c>
      <c r="AI6" s="27">
        <v>0</v>
      </c>
      <c r="AJ6" s="113">
        <v>0</v>
      </c>
      <c r="AK6" s="114">
        <v>0</v>
      </c>
      <c r="AL6" s="3">
        <f>AK6/30</f>
        <v>0</v>
      </c>
      <c r="AM6" s="27">
        <v>0</v>
      </c>
      <c r="AN6" s="113"/>
      <c r="AO6" s="114"/>
      <c r="AP6" s="3">
        <f>AO6/30</f>
        <v>0</v>
      </c>
      <c r="AQ6" s="27">
        <v>0</v>
      </c>
      <c r="AR6" s="1"/>
      <c r="AS6" s="2"/>
      <c r="AT6" s="3">
        <f>AS6/30</f>
        <v>0</v>
      </c>
      <c r="AU6" s="29">
        <v>0</v>
      </c>
    </row>
    <row r="7" spans="2:47">
      <c r="B7" s="460"/>
      <c r="C7" s="10" t="s">
        <v>9</v>
      </c>
      <c r="D7" s="113">
        <v>0</v>
      </c>
      <c r="E7" s="114">
        <v>160</v>
      </c>
      <c r="F7" s="3">
        <f>E7/30</f>
        <v>5.333333333333333</v>
      </c>
      <c r="G7" s="27">
        <v>0</v>
      </c>
      <c r="H7" s="113">
        <v>0</v>
      </c>
      <c r="I7" s="114">
        <v>140</v>
      </c>
      <c r="J7" s="3">
        <f>I7/30</f>
        <v>4.666666666666667</v>
      </c>
      <c r="K7" s="27">
        <v>0</v>
      </c>
      <c r="L7" s="113">
        <v>0</v>
      </c>
      <c r="M7" s="114">
        <v>110</v>
      </c>
      <c r="N7" s="3">
        <f>M7/30</f>
        <v>3.6666666666666665</v>
      </c>
      <c r="O7" s="27">
        <v>0</v>
      </c>
      <c r="P7" s="113">
        <v>0</v>
      </c>
      <c r="Q7" s="114">
        <v>0</v>
      </c>
      <c r="R7" s="3">
        <f>Q7/30</f>
        <v>0</v>
      </c>
      <c r="S7" s="27">
        <v>0</v>
      </c>
      <c r="T7" s="113">
        <v>0</v>
      </c>
      <c r="U7" s="114">
        <v>0</v>
      </c>
      <c r="V7" s="3">
        <f>U7/30</f>
        <v>0</v>
      </c>
      <c r="W7" s="27">
        <v>0</v>
      </c>
      <c r="X7" s="113">
        <v>0</v>
      </c>
      <c r="Y7" s="114">
        <v>0</v>
      </c>
      <c r="Z7" s="3">
        <f>Y7/30</f>
        <v>0</v>
      </c>
      <c r="AA7" s="27">
        <v>0</v>
      </c>
      <c r="AB7" s="113">
        <v>0</v>
      </c>
      <c r="AC7" s="114">
        <v>0</v>
      </c>
      <c r="AD7" s="3">
        <f>AC7/30</f>
        <v>0</v>
      </c>
      <c r="AE7" s="27">
        <v>0</v>
      </c>
      <c r="AF7" s="113">
        <v>0</v>
      </c>
      <c r="AG7" s="114">
        <v>0</v>
      </c>
      <c r="AH7" s="3">
        <f>AG7/30</f>
        <v>0</v>
      </c>
      <c r="AI7" s="27">
        <v>0</v>
      </c>
      <c r="AJ7" s="113">
        <v>0</v>
      </c>
      <c r="AK7" s="114">
        <v>0</v>
      </c>
      <c r="AL7" s="3">
        <f>AK7/30</f>
        <v>0</v>
      </c>
      <c r="AM7" s="27">
        <v>0</v>
      </c>
      <c r="AN7" s="113"/>
      <c r="AO7" s="114"/>
      <c r="AP7" s="3">
        <f>AO7/30</f>
        <v>0</v>
      </c>
      <c r="AQ7" s="27">
        <v>0</v>
      </c>
      <c r="AR7" s="1"/>
      <c r="AS7" s="2"/>
      <c r="AT7" s="3">
        <f>AS7/30</f>
        <v>0</v>
      </c>
      <c r="AU7" s="29">
        <v>0</v>
      </c>
    </row>
    <row r="8" spans="2:47">
      <c r="B8" s="461"/>
      <c r="C8" s="11" t="s">
        <v>10</v>
      </c>
      <c r="D8" s="4">
        <f t="shared" ref="D8:Y8" si="0">SUM(D6:D7)</f>
        <v>0</v>
      </c>
      <c r="E8" s="3">
        <f t="shared" si="0"/>
        <v>160</v>
      </c>
      <c r="F8" s="3">
        <f>SUM(F6:F7)</f>
        <v>5.333333333333333</v>
      </c>
      <c r="G8" s="26">
        <f>SUM(G6:G7)</f>
        <v>0</v>
      </c>
      <c r="H8" s="4">
        <f t="shared" si="0"/>
        <v>0</v>
      </c>
      <c r="I8" s="3">
        <f t="shared" si="0"/>
        <v>153</v>
      </c>
      <c r="J8" s="3">
        <f>SUM(J6:J7)</f>
        <v>5.1000000000000005</v>
      </c>
      <c r="K8" s="26">
        <f>SUM(K6:K7)</f>
        <v>0</v>
      </c>
      <c r="L8" s="4">
        <f t="shared" si="0"/>
        <v>0</v>
      </c>
      <c r="M8" s="3">
        <f t="shared" si="0"/>
        <v>110</v>
      </c>
      <c r="N8" s="3">
        <f>SUM(N6:N7)</f>
        <v>3.6666666666666665</v>
      </c>
      <c r="O8" s="26">
        <f>SUM(O6:O7)</f>
        <v>0</v>
      </c>
      <c r="P8" s="4">
        <f t="shared" si="0"/>
        <v>0</v>
      </c>
      <c r="Q8" s="3">
        <f t="shared" si="0"/>
        <v>0</v>
      </c>
      <c r="R8" s="3">
        <f>SUM(R6:R7)</f>
        <v>0</v>
      </c>
      <c r="S8" s="26">
        <f>SUM(S6:S7)</f>
        <v>0</v>
      </c>
      <c r="T8" s="4">
        <f t="shared" si="0"/>
        <v>0</v>
      </c>
      <c r="U8" s="3">
        <f t="shared" si="0"/>
        <v>0</v>
      </c>
      <c r="V8" s="3">
        <f t="shared" si="0"/>
        <v>0</v>
      </c>
      <c r="W8" s="26">
        <f>SUM(W6:W7)</f>
        <v>0</v>
      </c>
      <c r="X8" s="4">
        <f t="shared" si="0"/>
        <v>0</v>
      </c>
      <c r="Y8" s="3">
        <f t="shared" si="0"/>
        <v>0</v>
      </c>
      <c r="Z8" s="3">
        <f t="shared" ref="Z8:AU8" si="1">SUM(Z6:Z7)</f>
        <v>0</v>
      </c>
      <c r="AA8" s="26">
        <f t="shared" si="1"/>
        <v>0</v>
      </c>
      <c r="AB8" s="4">
        <f t="shared" si="1"/>
        <v>0</v>
      </c>
      <c r="AC8" s="3">
        <f t="shared" si="1"/>
        <v>0</v>
      </c>
      <c r="AD8" s="3">
        <f t="shared" si="1"/>
        <v>0</v>
      </c>
      <c r="AE8" s="26">
        <f t="shared" si="1"/>
        <v>0</v>
      </c>
      <c r="AF8" s="4">
        <f t="shared" si="1"/>
        <v>0</v>
      </c>
      <c r="AG8" s="3">
        <f t="shared" si="1"/>
        <v>0</v>
      </c>
      <c r="AH8" s="3">
        <f t="shared" si="1"/>
        <v>0</v>
      </c>
      <c r="AI8" s="26">
        <f t="shared" si="1"/>
        <v>0</v>
      </c>
      <c r="AJ8" s="4">
        <f t="shared" si="1"/>
        <v>0</v>
      </c>
      <c r="AK8" s="3">
        <f t="shared" si="1"/>
        <v>0</v>
      </c>
      <c r="AL8" s="3">
        <f t="shared" si="1"/>
        <v>0</v>
      </c>
      <c r="AM8" s="26">
        <f t="shared" si="1"/>
        <v>0</v>
      </c>
      <c r="AN8" s="4">
        <f t="shared" si="1"/>
        <v>0</v>
      </c>
      <c r="AO8" s="3">
        <f t="shared" si="1"/>
        <v>0</v>
      </c>
      <c r="AP8" s="3">
        <f t="shared" si="1"/>
        <v>0</v>
      </c>
      <c r="AQ8" s="26">
        <f t="shared" si="1"/>
        <v>0</v>
      </c>
      <c r="AR8" s="4">
        <f t="shared" si="1"/>
        <v>0</v>
      </c>
      <c r="AS8" s="3">
        <f t="shared" si="1"/>
        <v>0</v>
      </c>
      <c r="AT8" s="3">
        <f t="shared" si="1"/>
        <v>0</v>
      </c>
      <c r="AU8" s="26">
        <f t="shared" si="1"/>
        <v>0</v>
      </c>
    </row>
    <row r="9" spans="2:47">
      <c r="B9" s="8"/>
      <c r="C9" s="9"/>
      <c r="D9" s="5"/>
      <c r="E9" s="6"/>
      <c r="H9" s="5"/>
      <c r="I9" s="6"/>
      <c r="L9" s="5"/>
      <c r="M9" s="6"/>
      <c r="P9" s="5"/>
      <c r="Q9" s="6"/>
      <c r="T9" s="5"/>
      <c r="U9" s="6"/>
      <c r="X9" s="5"/>
      <c r="Y9" s="6"/>
      <c r="AB9" s="5"/>
      <c r="AC9" s="6"/>
      <c r="AF9" s="5"/>
      <c r="AG9" s="6"/>
      <c r="AJ9" s="5"/>
      <c r="AK9" s="6"/>
      <c r="AN9" s="5"/>
      <c r="AO9" s="6"/>
      <c r="AR9" s="5"/>
      <c r="AS9" s="6"/>
    </row>
    <row r="10" spans="2:47">
      <c r="B10" s="459" t="s">
        <v>11</v>
      </c>
      <c r="C10" s="10" t="s">
        <v>8</v>
      </c>
      <c r="D10" s="113">
        <v>0</v>
      </c>
      <c r="E10" s="114">
        <v>1801</v>
      </c>
      <c r="F10" s="3">
        <f>E10/24</f>
        <v>75.041666666666671</v>
      </c>
      <c r="G10" s="27">
        <v>13450352</v>
      </c>
      <c r="H10" s="113">
        <v>0</v>
      </c>
      <c r="I10" s="114">
        <v>1636</v>
      </c>
      <c r="J10" s="3">
        <f>I10/24</f>
        <v>68.166666666666671</v>
      </c>
      <c r="K10" s="27">
        <v>13232928</v>
      </c>
      <c r="L10" s="113">
        <v>120</v>
      </c>
      <c r="M10" s="114">
        <v>1759</v>
      </c>
      <c r="N10" s="3">
        <f>M10/24</f>
        <v>73.291666666666671</v>
      </c>
      <c r="O10" s="27">
        <v>13154720</v>
      </c>
      <c r="P10" s="113">
        <v>110</v>
      </c>
      <c r="Q10" s="114">
        <v>1639</v>
      </c>
      <c r="R10" s="3">
        <f>Q10/24</f>
        <v>68.291666666666671</v>
      </c>
      <c r="S10" s="27">
        <v>13118008</v>
      </c>
      <c r="T10" s="113">
        <v>130</v>
      </c>
      <c r="U10" s="114">
        <v>1487</v>
      </c>
      <c r="V10" s="3">
        <f>U10/24</f>
        <v>61.958333333333336</v>
      </c>
      <c r="W10" s="27">
        <f>16486382-2894452</f>
        <v>13591930</v>
      </c>
      <c r="X10" s="113">
        <v>168</v>
      </c>
      <c r="Y10" s="114">
        <v>1810</v>
      </c>
      <c r="Z10" s="3">
        <f>Y10/24</f>
        <v>75.416666666666671</v>
      </c>
      <c r="AA10" s="27">
        <v>322520</v>
      </c>
      <c r="AB10" s="113">
        <v>173</v>
      </c>
      <c r="AC10" s="114">
        <v>1720</v>
      </c>
      <c r="AD10" s="3">
        <f>AC10/24</f>
        <v>71.666666666666671</v>
      </c>
      <c r="AE10" s="27">
        <v>791011</v>
      </c>
      <c r="AF10" s="113">
        <v>154</v>
      </c>
      <c r="AG10" s="113">
        <v>1724</v>
      </c>
      <c r="AH10" s="3">
        <f>AG10/24</f>
        <v>71.833333333333329</v>
      </c>
      <c r="AI10" s="27">
        <v>564671</v>
      </c>
      <c r="AJ10" s="113">
        <v>232</v>
      </c>
      <c r="AK10" s="114">
        <v>2571</v>
      </c>
      <c r="AL10" s="3">
        <f>AK10/24</f>
        <v>107.125</v>
      </c>
      <c r="AM10" s="27">
        <v>710592</v>
      </c>
      <c r="AN10" s="113">
        <v>247</v>
      </c>
      <c r="AO10" s="114">
        <v>2669</v>
      </c>
      <c r="AP10" s="3">
        <f>AO10/24</f>
        <v>111.20833333333333</v>
      </c>
      <c r="AQ10" s="27">
        <v>775097.45</v>
      </c>
      <c r="AR10" s="1">
        <v>249</v>
      </c>
      <c r="AS10" s="2">
        <v>2579</v>
      </c>
      <c r="AT10" s="3">
        <f>AS10/24</f>
        <v>107.45833333333333</v>
      </c>
      <c r="AU10" s="29">
        <v>945948</v>
      </c>
    </row>
    <row r="11" spans="2:47">
      <c r="B11" s="460"/>
      <c r="C11" s="10" t="s">
        <v>9</v>
      </c>
      <c r="D11" s="113">
        <v>0</v>
      </c>
      <c r="E11" s="114">
        <v>4255</v>
      </c>
      <c r="F11" s="3">
        <f>E11/24</f>
        <v>177.29166666666666</v>
      </c>
      <c r="G11" s="27">
        <v>6564208</v>
      </c>
      <c r="H11" s="113">
        <v>0</v>
      </c>
      <c r="I11" s="114">
        <v>3859</v>
      </c>
      <c r="J11" s="3">
        <f>I11/24</f>
        <v>160.79166666666666</v>
      </c>
      <c r="K11" s="27">
        <v>6512962</v>
      </c>
      <c r="L11" s="113">
        <v>215</v>
      </c>
      <c r="M11" s="114">
        <v>3634</v>
      </c>
      <c r="N11" s="3">
        <f>M11/24</f>
        <v>151.41666666666666</v>
      </c>
      <c r="O11" s="27">
        <v>6394060</v>
      </c>
      <c r="P11" s="113">
        <v>208</v>
      </c>
      <c r="Q11" s="114">
        <v>3379</v>
      </c>
      <c r="R11" s="3">
        <f>Q11/24</f>
        <v>140.79166666666666</v>
      </c>
      <c r="S11" s="27">
        <v>6769061</v>
      </c>
      <c r="T11" s="113">
        <v>209</v>
      </c>
      <c r="U11" s="114">
        <v>2908</v>
      </c>
      <c r="V11" s="3">
        <f>U11/24</f>
        <v>121.16666666666667</v>
      </c>
      <c r="W11" s="27">
        <f>7910104-1447226</f>
        <v>6462878</v>
      </c>
      <c r="X11" s="113">
        <v>249</v>
      </c>
      <c r="Y11" s="114">
        <v>3119</v>
      </c>
      <c r="Z11" s="3">
        <f>Y11/24</f>
        <v>129.95833333333334</v>
      </c>
      <c r="AA11" s="27">
        <v>1526845.5</v>
      </c>
      <c r="AB11" s="113">
        <v>269</v>
      </c>
      <c r="AC11" s="114">
        <v>3490</v>
      </c>
      <c r="AD11" s="3">
        <f>AC11/24</f>
        <v>145.41666666666666</v>
      </c>
      <c r="AE11" s="27">
        <v>4090816.6</v>
      </c>
      <c r="AF11" s="113">
        <v>229</v>
      </c>
      <c r="AG11" s="113">
        <v>3973</v>
      </c>
      <c r="AH11" s="3">
        <f>AG11/24</f>
        <v>165.54166666666666</v>
      </c>
      <c r="AI11" s="27">
        <v>3417377</v>
      </c>
      <c r="AJ11" s="113">
        <v>250</v>
      </c>
      <c r="AK11" s="114">
        <v>3512</v>
      </c>
      <c r="AL11" s="3">
        <f>AK11/24</f>
        <v>146.33333333333334</v>
      </c>
      <c r="AM11" s="27">
        <v>3177816</v>
      </c>
      <c r="AN11" s="113">
        <v>266</v>
      </c>
      <c r="AO11" s="114">
        <v>3589</v>
      </c>
      <c r="AP11" s="3">
        <f>AO11/24</f>
        <v>149.54166666666666</v>
      </c>
      <c r="AQ11" s="27">
        <v>3299086</v>
      </c>
      <c r="AR11" s="1">
        <v>232</v>
      </c>
      <c r="AS11" s="2">
        <v>3260</v>
      </c>
      <c r="AT11" s="3">
        <f>AS11/24</f>
        <v>135.83333333333334</v>
      </c>
      <c r="AU11" s="29">
        <v>2538287</v>
      </c>
    </row>
    <row r="12" spans="2:47">
      <c r="B12" s="461"/>
      <c r="C12" s="11" t="s">
        <v>10</v>
      </c>
      <c r="D12" s="4">
        <f t="shared" ref="D12:Y12" si="2">SUM(D10:D11)</f>
        <v>0</v>
      </c>
      <c r="E12" s="3">
        <f t="shared" si="2"/>
        <v>6056</v>
      </c>
      <c r="F12" s="3">
        <f>SUM(F10:F11)</f>
        <v>252.33333333333331</v>
      </c>
      <c r="G12" s="26">
        <f>SUM(G10:G11)</f>
        <v>20014560</v>
      </c>
      <c r="H12" s="4">
        <f t="shared" si="2"/>
        <v>0</v>
      </c>
      <c r="I12" s="3">
        <f t="shared" si="2"/>
        <v>5495</v>
      </c>
      <c r="J12" s="3">
        <f>SUM(J10:J11)</f>
        <v>228.95833333333331</v>
      </c>
      <c r="K12" s="26">
        <f>SUM(K10:K11)</f>
        <v>19745890</v>
      </c>
      <c r="L12" s="4">
        <f t="shared" si="2"/>
        <v>335</v>
      </c>
      <c r="M12" s="3">
        <f t="shared" si="2"/>
        <v>5393</v>
      </c>
      <c r="N12" s="3">
        <f>SUM(N10:N11)</f>
        <v>224.70833333333331</v>
      </c>
      <c r="O12" s="26">
        <f>SUM(O10:O11)</f>
        <v>19548780</v>
      </c>
      <c r="P12" s="4">
        <f t="shared" si="2"/>
        <v>318</v>
      </c>
      <c r="Q12" s="3">
        <f t="shared" si="2"/>
        <v>5018</v>
      </c>
      <c r="R12" s="3">
        <f>SUM(R10:R11)</f>
        <v>209.08333333333331</v>
      </c>
      <c r="S12" s="26">
        <f>SUM(S10:S11)</f>
        <v>19887069</v>
      </c>
      <c r="T12" s="4">
        <f t="shared" si="2"/>
        <v>339</v>
      </c>
      <c r="U12" s="3">
        <f t="shared" si="2"/>
        <v>4395</v>
      </c>
      <c r="V12" s="3">
        <f t="shared" si="2"/>
        <v>183.125</v>
      </c>
      <c r="W12" s="26">
        <f>SUM(W10:W11)</f>
        <v>20054808</v>
      </c>
      <c r="X12" s="4">
        <f t="shared" si="2"/>
        <v>417</v>
      </c>
      <c r="Y12" s="3">
        <f t="shared" si="2"/>
        <v>4929</v>
      </c>
      <c r="Z12" s="3">
        <f t="shared" ref="Z12:AU12" si="3">SUM(Z10:Z11)</f>
        <v>205.375</v>
      </c>
      <c r="AA12" s="26">
        <f t="shared" si="3"/>
        <v>1849365.5</v>
      </c>
      <c r="AB12" s="4">
        <f t="shared" si="3"/>
        <v>442</v>
      </c>
      <c r="AC12" s="3">
        <f t="shared" si="3"/>
        <v>5210</v>
      </c>
      <c r="AD12" s="3">
        <f t="shared" si="3"/>
        <v>217.08333333333331</v>
      </c>
      <c r="AE12" s="26">
        <f t="shared" si="3"/>
        <v>4881827.5999999996</v>
      </c>
      <c r="AF12" s="4">
        <f t="shared" si="3"/>
        <v>383</v>
      </c>
      <c r="AG12" s="3">
        <f t="shared" si="3"/>
        <v>5697</v>
      </c>
      <c r="AH12" s="3">
        <f t="shared" si="3"/>
        <v>237.375</v>
      </c>
      <c r="AI12" s="26">
        <f t="shared" si="3"/>
        <v>3982048</v>
      </c>
      <c r="AJ12" s="4">
        <f t="shared" si="3"/>
        <v>482</v>
      </c>
      <c r="AK12" s="3">
        <f t="shared" si="3"/>
        <v>6083</v>
      </c>
      <c r="AL12" s="3">
        <f t="shared" si="3"/>
        <v>253.45833333333334</v>
      </c>
      <c r="AM12" s="26">
        <f t="shared" si="3"/>
        <v>3888408</v>
      </c>
      <c r="AN12" s="4">
        <f t="shared" si="3"/>
        <v>513</v>
      </c>
      <c r="AO12" s="3">
        <f t="shared" si="3"/>
        <v>6258</v>
      </c>
      <c r="AP12" s="3">
        <f t="shared" si="3"/>
        <v>260.75</v>
      </c>
      <c r="AQ12" s="26">
        <f t="shared" si="3"/>
        <v>4074183.45</v>
      </c>
      <c r="AR12" s="4">
        <f t="shared" si="3"/>
        <v>481</v>
      </c>
      <c r="AS12" s="3">
        <f t="shared" si="3"/>
        <v>5839</v>
      </c>
      <c r="AT12" s="3">
        <f t="shared" si="3"/>
        <v>243.29166666666669</v>
      </c>
      <c r="AU12" s="26">
        <f t="shared" si="3"/>
        <v>3484235</v>
      </c>
    </row>
    <row r="13" spans="2:47">
      <c r="B13" s="8"/>
      <c r="C13" s="9"/>
      <c r="D13" s="5"/>
      <c r="E13" s="6"/>
      <c r="H13" s="5"/>
      <c r="I13" s="6"/>
      <c r="L13" s="5"/>
      <c r="M13" s="6"/>
      <c r="P13" s="5"/>
      <c r="Q13" s="6"/>
      <c r="T13" s="5"/>
      <c r="U13" s="6"/>
      <c r="X13" s="5"/>
      <c r="Y13" s="6"/>
      <c r="Z13" s="153"/>
      <c r="AA13" s="150"/>
      <c r="AB13" s="151"/>
      <c r="AC13" s="149"/>
      <c r="AD13" s="153"/>
      <c r="AE13" s="150"/>
      <c r="AF13" s="151"/>
      <c r="AG13" s="149"/>
      <c r="AH13" s="153"/>
      <c r="AI13" s="150"/>
      <c r="AJ13" s="5"/>
      <c r="AK13" s="6"/>
      <c r="AN13" s="5"/>
      <c r="AO13" s="6"/>
      <c r="AR13" s="5"/>
      <c r="AS13" s="6"/>
    </row>
    <row r="14" spans="2:47">
      <c r="B14" s="459" t="s">
        <v>12</v>
      </c>
      <c r="C14" s="10" t="s">
        <v>8</v>
      </c>
      <c r="D14" s="113">
        <v>0</v>
      </c>
      <c r="E14" s="114">
        <v>19215</v>
      </c>
      <c r="F14" s="3">
        <f>E14/24</f>
        <v>800.625</v>
      </c>
      <c r="G14" s="27"/>
      <c r="H14" s="113">
        <v>0</v>
      </c>
      <c r="I14" s="114">
        <v>18865</v>
      </c>
      <c r="J14" s="3">
        <f>I14/24</f>
        <v>786.04166666666663</v>
      </c>
      <c r="K14" s="27"/>
      <c r="L14" s="113">
        <v>449</v>
      </c>
      <c r="M14" s="114">
        <v>18587</v>
      </c>
      <c r="N14" s="3">
        <f>M14/24</f>
        <v>774.45833333333337</v>
      </c>
      <c r="O14" s="27"/>
      <c r="P14" s="113">
        <v>440</v>
      </c>
      <c r="Q14" s="114">
        <v>18578</v>
      </c>
      <c r="R14" s="3">
        <f>Q14/24</f>
        <v>774.08333333333337</v>
      </c>
      <c r="S14" s="27"/>
      <c r="T14" s="113">
        <v>444</v>
      </c>
      <c r="U14" s="114">
        <v>18570</v>
      </c>
      <c r="V14" s="3">
        <f>U14/24</f>
        <v>773.75</v>
      </c>
      <c r="W14" s="27"/>
      <c r="X14" s="113">
        <v>444</v>
      </c>
      <c r="Y14" s="114">
        <v>17996</v>
      </c>
      <c r="Z14" s="3">
        <f>Y14/24</f>
        <v>749.83333333333337</v>
      </c>
      <c r="AA14" s="27">
        <v>13931870.5</v>
      </c>
      <c r="AB14" s="113">
        <v>455</v>
      </c>
      <c r="AC14" s="114">
        <f>9938+8474.5+10+15+15</f>
        <v>18452.5</v>
      </c>
      <c r="AD14" s="3">
        <f>AC14/24</f>
        <v>768.85416666666663</v>
      </c>
      <c r="AE14" s="27">
        <v>15069448.6</v>
      </c>
      <c r="AF14" s="113">
        <v>456</v>
      </c>
      <c r="AG14" s="113">
        <v>16021</v>
      </c>
      <c r="AH14" s="3">
        <f>AG14/24</f>
        <v>667.54166666666663</v>
      </c>
      <c r="AI14" s="27">
        <v>15377204</v>
      </c>
      <c r="AJ14" s="113">
        <v>462</v>
      </c>
      <c r="AK14" s="114">
        <v>17752.5</v>
      </c>
      <c r="AL14" s="3">
        <f>AK14/24</f>
        <v>739.6875</v>
      </c>
      <c r="AM14" s="27">
        <v>16058413</v>
      </c>
      <c r="AN14" s="113">
        <v>472</v>
      </c>
      <c r="AO14" s="114">
        <v>16082</v>
      </c>
      <c r="AP14" s="3">
        <f>AO14/24</f>
        <v>670.08333333333337</v>
      </c>
      <c r="AQ14" s="27">
        <v>16378062</v>
      </c>
      <c r="AR14" s="1">
        <v>444</v>
      </c>
      <c r="AS14" s="2">
        <v>16323</v>
      </c>
      <c r="AT14" s="3">
        <f>AS14/24</f>
        <v>680.125</v>
      </c>
      <c r="AU14" s="29">
        <v>15559280</v>
      </c>
    </row>
    <row r="15" spans="2:47">
      <c r="B15" s="460"/>
      <c r="C15" s="10" t="s">
        <v>9</v>
      </c>
      <c r="D15" s="113">
        <v>0</v>
      </c>
      <c r="E15" s="114">
        <v>2594</v>
      </c>
      <c r="F15" s="3">
        <f>E15/24</f>
        <v>108.08333333333333</v>
      </c>
      <c r="G15" s="27"/>
      <c r="H15" s="113">
        <v>0</v>
      </c>
      <c r="I15" s="114">
        <v>2524</v>
      </c>
      <c r="J15" s="3">
        <f>I15/24</f>
        <v>105.16666666666667</v>
      </c>
      <c r="K15" s="27"/>
      <c r="L15" s="113">
        <v>62</v>
      </c>
      <c r="M15" s="114">
        <v>2604</v>
      </c>
      <c r="N15" s="3">
        <f>M15/24</f>
        <v>108.5</v>
      </c>
      <c r="O15" s="27"/>
      <c r="P15" s="113">
        <v>80</v>
      </c>
      <c r="Q15" s="114">
        <v>2873</v>
      </c>
      <c r="R15" s="3">
        <f>Q15/24</f>
        <v>119.70833333333333</v>
      </c>
      <c r="S15" s="27"/>
      <c r="T15" s="113">
        <v>76</v>
      </c>
      <c r="U15" s="114">
        <v>3203</v>
      </c>
      <c r="V15" s="3">
        <f>U15/24</f>
        <v>133.45833333333334</v>
      </c>
      <c r="W15" s="27"/>
      <c r="X15" s="113">
        <v>82</v>
      </c>
      <c r="Y15" s="114">
        <v>3075</v>
      </c>
      <c r="Z15" s="3">
        <f>Y15/24</f>
        <v>128.125</v>
      </c>
      <c r="AA15" s="27">
        <v>6028731</v>
      </c>
      <c r="AB15" s="113">
        <v>83</v>
      </c>
      <c r="AC15" s="114">
        <f>1361.5+1551+5+6+6+42+6+12</f>
        <v>2989.5</v>
      </c>
      <c r="AD15" s="3">
        <f>AC15/24</f>
        <v>124.5625</v>
      </c>
      <c r="AE15" s="27">
        <v>3238140</v>
      </c>
      <c r="AF15" s="113">
        <v>71</v>
      </c>
      <c r="AG15" s="113">
        <v>2377</v>
      </c>
      <c r="AH15" s="3">
        <f>AG15/24</f>
        <v>99.041666666666671</v>
      </c>
      <c r="AI15" s="27">
        <v>3575436</v>
      </c>
      <c r="AJ15" s="113">
        <v>64</v>
      </c>
      <c r="AK15" s="114">
        <v>2190.5</v>
      </c>
      <c r="AL15" s="3">
        <f>AK15/24</f>
        <v>91.270833333333329</v>
      </c>
      <c r="AM15" s="27">
        <v>3179483.7</v>
      </c>
      <c r="AN15" s="113">
        <v>62</v>
      </c>
      <c r="AO15" s="114">
        <v>2020</v>
      </c>
      <c r="AP15" s="3">
        <f>AO15/24</f>
        <v>84.166666666666671</v>
      </c>
      <c r="AQ15" s="27">
        <v>2652362</v>
      </c>
      <c r="AR15" s="1">
        <v>78</v>
      </c>
      <c r="AS15" s="2">
        <v>2869</v>
      </c>
      <c r="AT15" s="3">
        <f>AS15/24</f>
        <v>119.54166666666667</v>
      </c>
      <c r="AU15" s="29">
        <v>4136381</v>
      </c>
    </row>
    <row r="16" spans="2:47">
      <c r="B16" s="461"/>
      <c r="C16" s="11" t="s">
        <v>10</v>
      </c>
      <c r="D16" s="4">
        <f t="shared" ref="D16:Y16" si="4">SUM(D14:D15)</f>
        <v>0</v>
      </c>
      <c r="E16" s="3">
        <f t="shared" si="4"/>
        <v>21809</v>
      </c>
      <c r="F16" s="3">
        <f>SUM(F14:F15)</f>
        <v>908.70833333333337</v>
      </c>
      <c r="G16" s="26">
        <f>SUM(G14:G15)</f>
        <v>0</v>
      </c>
      <c r="H16" s="4">
        <f t="shared" si="4"/>
        <v>0</v>
      </c>
      <c r="I16" s="3">
        <f t="shared" si="4"/>
        <v>21389</v>
      </c>
      <c r="J16" s="3">
        <f>SUM(J14:J15)</f>
        <v>891.20833333333326</v>
      </c>
      <c r="K16" s="26">
        <f>SUM(K14:K15)</f>
        <v>0</v>
      </c>
      <c r="L16" s="4">
        <f t="shared" si="4"/>
        <v>511</v>
      </c>
      <c r="M16" s="3">
        <f t="shared" si="4"/>
        <v>21191</v>
      </c>
      <c r="N16" s="3">
        <f>SUM(N14:N15)</f>
        <v>882.95833333333337</v>
      </c>
      <c r="O16" s="26">
        <f>SUM(O14:O15)</f>
        <v>0</v>
      </c>
      <c r="P16" s="4">
        <f t="shared" si="4"/>
        <v>520</v>
      </c>
      <c r="Q16" s="3">
        <f t="shared" si="4"/>
        <v>21451</v>
      </c>
      <c r="R16" s="3">
        <f>SUM(R14:R15)</f>
        <v>893.79166666666674</v>
      </c>
      <c r="S16" s="26">
        <f>SUM(S14:S15)</f>
        <v>0</v>
      </c>
      <c r="T16" s="4">
        <f t="shared" si="4"/>
        <v>520</v>
      </c>
      <c r="U16" s="3">
        <f t="shared" si="4"/>
        <v>21773</v>
      </c>
      <c r="V16" s="3">
        <f t="shared" si="4"/>
        <v>907.20833333333337</v>
      </c>
      <c r="W16" s="26">
        <f>SUM(W14:W15)</f>
        <v>0</v>
      </c>
      <c r="X16" s="4">
        <f t="shared" si="4"/>
        <v>526</v>
      </c>
      <c r="Y16" s="3">
        <f t="shared" si="4"/>
        <v>21071</v>
      </c>
      <c r="Z16" s="3">
        <f t="shared" ref="Z16:AU16" si="5">SUM(Z14:Z15)</f>
        <v>877.95833333333337</v>
      </c>
      <c r="AA16" s="26">
        <f t="shared" si="5"/>
        <v>19960601.5</v>
      </c>
      <c r="AB16" s="4">
        <f t="shared" si="5"/>
        <v>538</v>
      </c>
      <c r="AC16" s="3">
        <f t="shared" si="5"/>
        <v>21442</v>
      </c>
      <c r="AD16" s="3">
        <f t="shared" si="5"/>
        <v>893.41666666666663</v>
      </c>
      <c r="AE16" s="26">
        <f t="shared" si="5"/>
        <v>18307588.600000001</v>
      </c>
      <c r="AF16" s="4">
        <f t="shared" si="5"/>
        <v>527</v>
      </c>
      <c r="AG16" s="3">
        <f t="shared" si="5"/>
        <v>18398</v>
      </c>
      <c r="AH16" s="3">
        <f t="shared" si="5"/>
        <v>766.58333333333326</v>
      </c>
      <c r="AI16" s="26">
        <f t="shared" si="5"/>
        <v>18952640</v>
      </c>
      <c r="AJ16" s="4">
        <f t="shared" si="5"/>
        <v>526</v>
      </c>
      <c r="AK16" s="3">
        <f t="shared" si="5"/>
        <v>19943</v>
      </c>
      <c r="AL16" s="3">
        <f t="shared" si="5"/>
        <v>830.95833333333337</v>
      </c>
      <c r="AM16" s="26">
        <f t="shared" si="5"/>
        <v>19237896.699999999</v>
      </c>
      <c r="AN16" s="4">
        <f t="shared" si="5"/>
        <v>534</v>
      </c>
      <c r="AO16" s="3">
        <f t="shared" si="5"/>
        <v>18102</v>
      </c>
      <c r="AP16" s="3">
        <f t="shared" si="5"/>
        <v>754.25</v>
      </c>
      <c r="AQ16" s="26">
        <f t="shared" si="5"/>
        <v>19030424</v>
      </c>
      <c r="AR16" s="4">
        <f t="shared" si="5"/>
        <v>522</v>
      </c>
      <c r="AS16" s="3">
        <f t="shared" si="5"/>
        <v>19192</v>
      </c>
      <c r="AT16" s="3">
        <f t="shared" si="5"/>
        <v>799.66666666666663</v>
      </c>
      <c r="AU16" s="26">
        <f t="shared" si="5"/>
        <v>19695661</v>
      </c>
    </row>
    <row r="17" spans="2:49">
      <c r="B17" s="8"/>
      <c r="C17" s="9"/>
      <c r="D17" s="5"/>
      <c r="E17" s="6"/>
      <c r="H17" s="5"/>
      <c r="I17" s="6"/>
      <c r="L17" s="5"/>
      <c r="M17" s="6"/>
      <c r="P17" s="5"/>
      <c r="Q17" s="6"/>
      <c r="T17" s="5"/>
      <c r="U17" s="6"/>
      <c r="X17" s="5"/>
      <c r="Y17" s="6"/>
      <c r="Z17" s="153"/>
      <c r="AA17" s="150"/>
      <c r="AB17" s="151"/>
      <c r="AC17" s="149"/>
      <c r="AD17" s="153"/>
      <c r="AE17" s="150"/>
      <c r="AF17" s="151"/>
      <c r="AG17" s="149"/>
      <c r="AH17" s="153"/>
      <c r="AI17" s="152"/>
      <c r="AJ17" s="5"/>
      <c r="AK17" s="6"/>
      <c r="AN17" s="5"/>
      <c r="AO17" s="6"/>
      <c r="AR17" s="5"/>
      <c r="AS17" s="6"/>
    </row>
    <row r="18" spans="2:49">
      <c r="B18" s="459" t="s">
        <v>13</v>
      </c>
      <c r="C18" s="10" t="s">
        <v>8</v>
      </c>
      <c r="D18" s="4">
        <f>D6+D10+D14</f>
        <v>0</v>
      </c>
      <c r="E18" s="3">
        <f>E14+E10+E6</f>
        <v>21016</v>
      </c>
      <c r="F18" s="3">
        <f t="shared" ref="F18:H19" si="6">F6+F10+F14</f>
        <v>875.66666666666663</v>
      </c>
      <c r="G18" s="26">
        <f>G6+G10+G14</f>
        <v>13450352</v>
      </c>
      <c r="H18" s="4">
        <f t="shared" si="6"/>
        <v>0</v>
      </c>
      <c r="I18" s="3">
        <f>I14+I10+I6</f>
        <v>20514</v>
      </c>
      <c r="J18" s="3">
        <f t="shared" ref="J18:L19" si="7">J6+J10+J14</f>
        <v>854.64166666666665</v>
      </c>
      <c r="K18" s="26">
        <f>K6+K10+K14</f>
        <v>13232928</v>
      </c>
      <c r="L18" s="4">
        <f t="shared" si="7"/>
        <v>569</v>
      </c>
      <c r="M18" s="3">
        <f>M14+M10+M6</f>
        <v>20346</v>
      </c>
      <c r="N18" s="3">
        <f t="shared" ref="N18:P19" si="8">N6+N10+N14</f>
        <v>847.75</v>
      </c>
      <c r="O18" s="26">
        <f>O6+O10+O14</f>
        <v>13154720</v>
      </c>
      <c r="P18" s="4">
        <f t="shared" si="8"/>
        <v>550</v>
      </c>
      <c r="Q18" s="3">
        <f>Q14+Q10+Q6</f>
        <v>20217</v>
      </c>
      <c r="R18" s="3">
        <f t="shared" ref="R18:T19" si="9">R6+R10+R14</f>
        <v>842.375</v>
      </c>
      <c r="S18" s="26">
        <f>S6+S10+S14</f>
        <v>13118008</v>
      </c>
      <c r="T18" s="4">
        <f t="shared" si="9"/>
        <v>574</v>
      </c>
      <c r="U18" s="3">
        <f>U14+U10+U6</f>
        <v>20057</v>
      </c>
      <c r="V18" s="3">
        <f t="shared" ref="V18:X19" si="10">V6+V10+V14</f>
        <v>835.70833333333337</v>
      </c>
      <c r="W18" s="26">
        <f>W6+W10+W14</f>
        <v>13591930</v>
      </c>
      <c r="X18" s="4">
        <f t="shared" si="10"/>
        <v>612</v>
      </c>
      <c r="Y18" s="3">
        <f>Y14+Y10+Y6</f>
        <v>19806</v>
      </c>
      <c r="Z18" s="3">
        <f t="shared" ref="Z18:AB19" si="11">Z6+Z10+Z14</f>
        <v>825.25</v>
      </c>
      <c r="AA18" s="26">
        <f t="shared" si="11"/>
        <v>14254390.5</v>
      </c>
      <c r="AB18" s="4">
        <f t="shared" si="11"/>
        <v>628</v>
      </c>
      <c r="AC18" s="3">
        <f>AC14+AC10+AC6</f>
        <v>20172.5</v>
      </c>
      <c r="AD18" s="3">
        <f t="shared" ref="AD18:AF19" si="12">AD6+AD10+AD14</f>
        <v>840.52083333333326</v>
      </c>
      <c r="AE18" s="26">
        <f t="shared" si="12"/>
        <v>15860459.6</v>
      </c>
      <c r="AF18" s="4">
        <f t="shared" si="12"/>
        <v>610</v>
      </c>
      <c r="AG18" s="3">
        <f>AG14+AG10+AG6</f>
        <v>17745</v>
      </c>
      <c r="AH18" s="3">
        <f t="shared" ref="AH18:AJ19" si="13">AH6+AH10+AH14</f>
        <v>739.375</v>
      </c>
      <c r="AI18" s="26">
        <f t="shared" si="13"/>
        <v>15941875</v>
      </c>
      <c r="AJ18" s="4">
        <f t="shared" si="13"/>
        <v>694</v>
      </c>
      <c r="AK18" s="3">
        <f>AK14+AK10+AK6</f>
        <v>20323.5</v>
      </c>
      <c r="AL18" s="3">
        <f t="shared" ref="AL18:AN19" si="14">AL6+AL10+AL14</f>
        <v>846.8125</v>
      </c>
      <c r="AM18" s="26">
        <f t="shared" si="14"/>
        <v>16769005</v>
      </c>
      <c r="AN18" s="4">
        <f t="shared" si="14"/>
        <v>719</v>
      </c>
      <c r="AO18" s="3">
        <f>AO14+AO10+AO6</f>
        <v>18751</v>
      </c>
      <c r="AP18" s="3">
        <f t="shared" ref="AP18:AR19" si="15">AP6+AP10+AP14</f>
        <v>781.29166666666674</v>
      </c>
      <c r="AQ18" s="26">
        <f t="shared" si="15"/>
        <v>17153159.449999999</v>
      </c>
      <c r="AR18" s="4">
        <f t="shared" si="15"/>
        <v>693</v>
      </c>
      <c r="AS18" s="3">
        <f>AS14+AS10+AS6</f>
        <v>18902</v>
      </c>
      <c r="AT18" s="3">
        <f>AT6+AT10+AT14</f>
        <v>787.58333333333337</v>
      </c>
      <c r="AU18" s="26">
        <f>AU6+AU10+AU14</f>
        <v>16505228</v>
      </c>
    </row>
    <row r="19" spans="2:49">
      <c r="B19" s="460"/>
      <c r="C19" s="10" t="s">
        <v>9</v>
      </c>
      <c r="D19" s="4">
        <f>D7+D11+D15</f>
        <v>0</v>
      </c>
      <c r="E19" s="3">
        <f>E15+E11+E7</f>
        <v>7009</v>
      </c>
      <c r="F19" s="3">
        <f t="shared" si="6"/>
        <v>290.70833333333331</v>
      </c>
      <c r="G19" s="26">
        <f>G7+G11+G15</f>
        <v>6564208</v>
      </c>
      <c r="H19" s="4">
        <f t="shared" si="6"/>
        <v>0</v>
      </c>
      <c r="I19" s="3">
        <f>I15+I11+I7</f>
        <v>6523</v>
      </c>
      <c r="J19" s="3">
        <f t="shared" si="7"/>
        <v>270.625</v>
      </c>
      <c r="K19" s="26">
        <f>K7+K11+K15</f>
        <v>6512962</v>
      </c>
      <c r="L19" s="4">
        <f t="shared" si="7"/>
        <v>277</v>
      </c>
      <c r="M19" s="3">
        <f>M15+M11+M7</f>
        <v>6348</v>
      </c>
      <c r="N19" s="3">
        <f t="shared" si="8"/>
        <v>263.58333333333331</v>
      </c>
      <c r="O19" s="26">
        <f>O7+O11+O15</f>
        <v>6394060</v>
      </c>
      <c r="P19" s="4">
        <f t="shared" si="8"/>
        <v>288</v>
      </c>
      <c r="Q19" s="3">
        <f>Q15+Q11+Q7</f>
        <v>6252</v>
      </c>
      <c r="R19" s="3">
        <f t="shared" si="9"/>
        <v>260.5</v>
      </c>
      <c r="S19" s="26">
        <f>S7+S11+S15</f>
        <v>6769061</v>
      </c>
      <c r="T19" s="4">
        <f t="shared" si="9"/>
        <v>285</v>
      </c>
      <c r="U19" s="3">
        <f>U15+U11+U7</f>
        <v>6111</v>
      </c>
      <c r="V19" s="3">
        <f t="shared" si="10"/>
        <v>254.625</v>
      </c>
      <c r="W19" s="26">
        <f>W7+W11+W15</f>
        <v>6462878</v>
      </c>
      <c r="X19" s="4">
        <f t="shared" si="10"/>
        <v>331</v>
      </c>
      <c r="Y19" s="3">
        <f>Y15+Y11+Y7</f>
        <v>6194</v>
      </c>
      <c r="Z19" s="3">
        <f t="shared" si="11"/>
        <v>258.08333333333337</v>
      </c>
      <c r="AA19" s="26">
        <f t="shared" si="11"/>
        <v>7555576.5</v>
      </c>
      <c r="AB19" s="4">
        <f t="shared" si="11"/>
        <v>352</v>
      </c>
      <c r="AC19" s="3">
        <f>AC15+AC11+AC7</f>
        <v>6479.5</v>
      </c>
      <c r="AD19" s="3">
        <f t="shared" si="12"/>
        <v>269.97916666666663</v>
      </c>
      <c r="AE19" s="26">
        <f t="shared" si="12"/>
        <v>7328956.5999999996</v>
      </c>
      <c r="AF19" s="4">
        <f t="shared" si="12"/>
        <v>300</v>
      </c>
      <c r="AG19" s="3">
        <f>AG15+AG11+AG7</f>
        <v>6350</v>
      </c>
      <c r="AH19" s="3">
        <f t="shared" si="13"/>
        <v>264.58333333333331</v>
      </c>
      <c r="AI19" s="26">
        <f t="shared" si="13"/>
        <v>6992813</v>
      </c>
      <c r="AJ19" s="4">
        <f t="shared" si="13"/>
        <v>314</v>
      </c>
      <c r="AK19" s="3">
        <f>AK15+AK11+AK7</f>
        <v>5702.5</v>
      </c>
      <c r="AL19" s="3">
        <f t="shared" si="14"/>
        <v>237.60416666666669</v>
      </c>
      <c r="AM19" s="26">
        <f t="shared" si="14"/>
        <v>6357299.7000000002</v>
      </c>
      <c r="AN19" s="4">
        <f t="shared" si="14"/>
        <v>328</v>
      </c>
      <c r="AO19" s="3">
        <f>AO15+AO11+AO7</f>
        <v>5609</v>
      </c>
      <c r="AP19" s="3">
        <f t="shared" si="15"/>
        <v>233.70833333333331</v>
      </c>
      <c r="AQ19" s="26">
        <f t="shared" si="15"/>
        <v>5951448</v>
      </c>
      <c r="AR19" s="4">
        <f t="shared" si="15"/>
        <v>310</v>
      </c>
      <c r="AS19" s="3">
        <f>AS15+AS11+AS7</f>
        <v>6129</v>
      </c>
      <c r="AT19" s="3">
        <f>AT7+AT11+AT15</f>
        <v>255.375</v>
      </c>
      <c r="AU19" s="26">
        <f>AU7+AU11+AU15</f>
        <v>6674668</v>
      </c>
    </row>
    <row r="20" spans="2:49">
      <c r="B20" s="461"/>
      <c r="C20" s="11" t="s">
        <v>10</v>
      </c>
      <c r="D20" s="4">
        <f t="shared" ref="D20:Y20" si="16">SUM(D18:D19)</f>
        <v>0</v>
      </c>
      <c r="E20" s="3">
        <f t="shared" si="16"/>
        <v>28025</v>
      </c>
      <c r="F20" s="3">
        <f t="shared" si="16"/>
        <v>1166.375</v>
      </c>
      <c r="G20" s="26">
        <f>SUM(G18:G19)</f>
        <v>20014560</v>
      </c>
      <c r="H20" s="4">
        <f t="shared" si="16"/>
        <v>0</v>
      </c>
      <c r="I20" s="3">
        <f t="shared" si="16"/>
        <v>27037</v>
      </c>
      <c r="J20" s="3">
        <f t="shared" si="16"/>
        <v>1125.2666666666667</v>
      </c>
      <c r="K20" s="26">
        <f>SUM(K18:K19)</f>
        <v>19745890</v>
      </c>
      <c r="L20" s="4">
        <f t="shared" si="16"/>
        <v>846</v>
      </c>
      <c r="M20" s="3">
        <f t="shared" si="16"/>
        <v>26694</v>
      </c>
      <c r="N20" s="3">
        <f t="shared" si="16"/>
        <v>1111.3333333333333</v>
      </c>
      <c r="O20" s="26">
        <f>SUM(O18:O19)</f>
        <v>19548780</v>
      </c>
      <c r="P20" s="4">
        <f t="shared" si="16"/>
        <v>838</v>
      </c>
      <c r="Q20" s="3">
        <f t="shared" si="16"/>
        <v>26469</v>
      </c>
      <c r="R20" s="3">
        <f t="shared" si="16"/>
        <v>1102.875</v>
      </c>
      <c r="S20" s="26">
        <f>SUM(S18:S19)</f>
        <v>19887069</v>
      </c>
      <c r="T20" s="4">
        <f t="shared" si="16"/>
        <v>859</v>
      </c>
      <c r="U20" s="3">
        <f t="shared" si="16"/>
        <v>26168</v>
      </c>
      <c r="V20" s="3">
        <f t="shared" si="16"/>
        <v>1090.3333333333335</v>
      </c>
      <c r="W20" s="26">
        <f>SUM(W18:W19)</f>
        <v>20054808</v>
      </c>
      <c r="X20" s="4">
        <f t="shared" si="16"/>
        <v>943</v>
      </c>
      <c r="Y20" s="3">
        <f t="shared" si="16"/>
        <v>26000</v>
      </c>
      <c r="Z20" s="112">
        <f>Z16+Z12+Z8</f>
        <v>1083.3333333333335</v>
      </c>
      <c r="AA20" s="26">
        <f>SUM(AA18:AA19)</f>
        <v>21809967</v>
      </c>
      <c r="AB20" s="4">
        <f>SUM(AB18:AB19)</f>
        <v>980</v>
      </c>
      <c r="AC20" s="3">
        <f>SUM(AC18:AC19)</f>
        <v>26652</v>
      </c>
      <c r="AD20" s="112">
        <f>AD16+AD12+AD8</f>
        <v>1110.5</v>
      </c>
      <c r="AE20" s="26">
        <f>SUM(AE18:AE19)</f>
        <v>23189416.199999999</v>
      </c>
      <c r="AF20" s="4">
        <f>SUM(AF18:AF19)</f>
        <v>910</v>
      </c>
      <c r="AG20" s="3">
        <f>SUM(AG18:AG19)</f>
        <v>24095</v>
      </c>
      <c r="AH20" s="112">
        <f>AH16+AH12+AH8</f>
        <v>1003.9583333333333</v>
      </c>
      <c r="AI20" s="26">
        <f>SUM(AI18:AI19)</f>
        <v>22934688</v>
      </c>
      <c r="AJ20" s="4">
        <f>SUM(AJ18:AJ19)</f>
        <v>1008</v>
      </c>
      <c r="AK20" s="3">
        <f>SUM(AK18:AK19)</f>
        <v>26026</v>
      </c>
      <c r="AL20" s="112">
        <f>AL16+AL12+AL8</f>
        <v>1084.4166666666667</v>
      </c>
      <c r="AM20" s="26">
        <f>SUM(AM18:AM19)</f>
        <v>23126304.699999999</v>
      </c>
      <c r="AN20" s="4">
        <f>SUM(AN18:AN19)</f>
        <v>1047</v>
      </c>
      <c r="AO20" s="3">
        <f>SUM(AO18:AO19)</f>
        <v>24360</v>
      </c>
      <c r="AP20" s="112">
        <f>AP16+AP12+AP8</f>
        <v>1015</v>
      </c>
      <c r="AQ20" s="26">
        <f>SUM(AQ18:AQ19)</f>
        <v>23104607.449999999</v>
      </c>
      <c r="AR20" s="4">
        <f>SUM(AR18:AR19)</f>
        <v>1003</v>
      </c>
      <c r="AS20" s="3">
        <f>SUM(AS18:AS19)</f>
        <v>25031</v>
      </c>
      <c r="AT20" s="402">
        <f>AT16+AT12+AT8</f>
        <v>1042.9583333333333</v>
      </c>
      <c r="AU20" s="26">
        <f>SUM(AU18:AU19)</f>
        <v>23179896</v>
      </c>
    </row>
    <row r="21" spans="2:49" ht="21" customHeight="1">
      <c r="B21" s="7"/>
      <c r="C21" s="71" t="s">
        <v>15</v>
      </c>
      <c r="D21" s="114"/>
      <c r="E21" s="114"/>
      <c r="F21" s="3">
        <f>E21/24</f>
        <v>0</v>
      </c>
      <c r="G21" s="27"/>
      <c r="H21" s="114"/>
      <c r="I21" s="114"/>
      <c r="J21" s="3">
        <f>I21/24</f>
        <v>0</v>
      </c>
      <c r="K21" s="27"/>
      <c r="L21" s="114"/>
      <c r="M21" s="114"/>
      <c r="N21" s="3">
        <f>M21/24</f>
        <v>0</v>
      </c>
      <c r="O21" s="27"/>
      <c r="P21" s="114">
        <v>522</v>
      </c>
      <c r="Q21" s="114">
        <v>16718</v>
      </c>
      <c r="R21" s="3">
        <f>Q21/24</f>
        <v>696.58333333333337</v>
      </c>
      <c r="S21" s="27"/>
      <c r="T21" s="114">
        <v>535</v>
      </c>
      <c r="U21" s="114"/>
      <c r="V21" s="3">
        <f>U21/24</f>
        <v>0</v>
      </c>
      <c r="W21" s="27"/>
      <c r="X21" s="114">
        <v>559</v>
      </c>
      <c r="Y21" s="114"/>
      <c r="Z21" s="3">
        <f>Y21/24</f>
        <v>0</v>
      </c>
      <c r="AA21" s="27"/>
      <c r="AB21" s="114">
        <v>564</v>
      </c>
      <c r="AC21" s="114"/>
      <c r="AD21" s="3">
        <f>AC21/24</f>
        <v>0</v>
      </c>
      <c r="AE21" s="27"/>
      <c r="AF21" s="114">
        <v>582</v>
      </c>
      <c r="AG21" s="114"/>
      <c r="AH21" s="3">
        <f>AG21/24</f>
        <v>0</v>
      </c>
      <c r="AI21" s="27"/>
      <c r="AJ21" s="114">
        <v>616</v>
      </c>
      <c r="AK21" s="114"/>
      <c r="AL21" s="3">
        <f>AK21/24</f>
        <v>0</v>
      </c>
      <c r="AM21" s="27"/>
      <c r="AN21" s="114">
        <v>636</v>
      </c>
      <c r="AO21" s="114"/>
      <c r="AP21" s="3">
        <f>AO21/24</f>
        <v>0</v>
      </c>
      <c r="AQ21" s="27"/>
      <c r="AR21" s="2">
        <v>682</v>
      </c>
      <c r="AS21" s="2"/>
      <c r="AT21" s="3">
        <f>AS21/24</f>
        <v>0</v>
      </c>
      <c r="AU21" s="29"/>
      <c r="AW21" s="6"/>
    </row>
    <row r="22" spans="2:49" ht="24.75" customHeight="1">
      <c r="B22" s="21" t="s">
        <v>22</v>
      </c>
      <c r="D22" s="5"/>
      <c r="E22" s="6"/>
      <c r="G22" s="23">
        <v>20014560</v>
      </c>
      <c r="H22" s="5"/>
      <c r="I22" s="6"/>
      <c r="K22" s="23">
        <v>19745890</v>
      </c>
      <c r="L22" s="5"/>
      <c r="M22" s="6"/>
      <c r="O22" s="23">
        <v>19548780</v>
      </c>
      <c r="P22" s="5"/>
      <c r="Q22" s="6"/>
      <c r="S22" s="23">
        <v>19548780</v>
      </c>
      <c r="T22" s="5"/>
      <c r="U22" s="6"/>
      <c r="X22" s="5"/>
      <c r="Y22" s="6"/>
      <c r="Z22" s="153"/>
      <c r="AA22" s="150"/>
      <c r="AB22" s="151"/>
      <c r="AC22" s="149"/>
      <c r="AD22" s="153"/>
      <c r="AE22" s="150"/>
      <c r="AF22" s="151"/>
      <c r="AG22" s="149"/>
      <c r="AH22" s="153"/>
      <c r="AI22" s="150"/>
      <c r="AJ22" s="5"/>
      <c r="AK22" s="6"/>
      <c r="AN22" s="5"/>
      <c r="AO22" s="6"/>
      <c r="AR22" s="5"/>
      <c r="AS22" s="6"/>
    </row>
    <row r="23" spans="2:49" ht="15">
      <c r="B23" s="28" t="s">
        <v>264</v>
      </c>
      <c r="D23" s="5"/>
      <c r="E23" s="6"/>
      <c r="G23" s="27"/>
      <c r="H23" s="5"/>
      <c r="I23" s="6"/>
      <c r="K23" s="27"/>
      <c r="L23" s="5"/>
      <c r="M23" s="6"/>
      <c r="O23" s="27"/>
      <c r="P23" s="5"/>
      <c r="Q23" s="6"/>
      <c r="S23" s="27"/>
      <c r="T23" s="5"/>
      <c r="U23" s="6"/>
      <c r="W23" s="27"/>
      <c r="X23" s="5"/>
      <c r="Y23" s="6"/>
      <c r="AA23" s="237"/>
      <c r="AB23" s="5"/>
      <c r="AC23" s="6"/>
      <c r="AE23" s="27"/>
      <c r="AF23" s="5"/>
      <c r="AG23" s="6"/>
      <c r="AI23" s="27"/>
      <c r="AJ23" s="5"/>
      <c r="AK23" s="6"/>
      <c r="AM23" s="27"/>
      <c r="AN23" s="5"/>
      <c r="AO23" s="6"/>
      <c r="AQ23" s="27"/>
      <c r="AR23" s="5"/>
      <c r="AS23" s="6"/>
      <c r="AU23" s="29"/>
    </row>
    <row r="24" spans="2:49" ht="15">
      <c r="B24" s="28" t="s">
        <v>265</v>
      </c>
      <c r="D24" s="5"/>
      <c r="E24" s="6"/>
      <c r="G24" s="27"/>
      <c r="H24" s="5"/>
      <c r="I24" s="6"/>
      <c r="K24" s="27"/>
      <c r="L24" s="5"/>
      <c r="M24" s="6"/>
      <c r="O24" s="27"/>
      <c r="P24" s="5"/>
      <c r="Q24" s="6"/>
      <c r="S24" s="27"/>
      <c r="T24" s="5"/>
      <c r="U24" s="6"/>
      <c r="W24" s="27"/>
      <c r="X24" s="5"/>
      <c r="Y24" s="6"/>
      <c r="AA24" s="27">
        <f>4965704</f>
        <v>4965704</v>
      </c>
      <c r="AB24" s="5"/>
      <c r="AC24" s="6"/>
      <c r="AE24" s="27">
        <v>5212499.7</v>
      </c>
      <c r="AF24" s="5"/>
      <c r="AG24" s="6"/>
      <c r="AI24" s="27">
        <v>3770587</v>
      </c>
      <c r="AJ24" s="5"/>
      <c r="AK24" s="6"/>
      <c r="AM24" s="27">
        <v>3237783.3</v>
      </c>
      <c r="AN24" s="5"/>
      <c r="AO24" s="6"/>
      <c r="AQ24" s="27">
        <v>2690013</v>
      </c>
      <c r="AR24" s="5"/>
      <c r="AS24" s="6"/>
      <c r="AU24" s="29">
        <v>2778631</v>
      </c>
    </row>
    <row r="25" spans="2:49" ht="15">
      <c r="B25" s="28" t="s">
        <v>23</v>
      </c>
      <c r="D25" s="5"/>
      <c r="E25" s="6"/>
      <c r="G25" s="26">
        <f>G20-G23-G24</f>
        <v>20014560</v>
      </c>
      <c r="H25" s="5"/>
      <c r="I25" s="6"/>
      <c r="K25" s="26">
        <f>K20-K23-K24</f>
        <v>19745890</v>
      </c>
      <c r="L25" s="5"/>
      <c r="M25" s="6"/>
      <c r="O25" s="26">
        <f>O20-O23-O24</f>
        <v>19548780</v>
      </c>
      <c r="P25" s="5"/>
      <c r="Q25" s="6"/>
      <c r="S25" s="26">
        <f>S20-S23-S24</f>
        <v>19887069</v>
      </c>
      <c r="T25" s="5"/>
      <c r="U25" s="6"/>
      <c r="W25" s="26">
        <f>W20-W23-W24</f>
        <v>20054808</v>
      </c>
      <c r="X25" s="5"/>
      <c r="Y25" s="6"/>
      <c r="AA25" s="26">
        <f>AA20-AA193-AA24</f>
        <v>16812451.620000001</v>
      </c>
      <c r="AB25" s="5"/>
      <c r="AC25" s="6"/>
      <c r="AE25" s="26">
        <f>AE20-AE23-AE24</f>
        <v>17976916.5</v>
      </c>
      <c r="AF25" s="5"/>
      <c r="AG25" s="6"/>
      <c r="AI25" s="26">
        <f>AI20-AI23-AI24</f>
        <v>19164101</v>
      </c>
      <c r="AJ25" s="5"/>
      <c r="AK25" s="6"/>
      <c r="AM25" s="26">
        <f>AM20-AM23-AM24</f>
        <v>19888521.399999999</v>
      </c>
      <c r="AN25" s="5"/>
      <c r="AO25" s="6"/>
      <c r="AQ25" s="26">
        <f>AQ20-AQ23-AQ24</f>
        <v>20414594.449999999</v>
      </c>
      <c r="AR25" s="5"/>
      <c r="AS25" s="6"/>
      <c r="AU25" s="26">
        <f>AU20-AU23-AU24</f>
        <v>20401265</v>
      </c>
    </row>
    <row r="26" spans="2:49">
      <c r="B26" s="7"/>
      <c r="C26" s="7"/>
      <c r="D26" s="7"/>
      <c r="E26" s="7"/>
      <c r="F26" s="53"/>
      <c r="G26" s="25"/>
      <c r="H26" s="14"/>
      <c r="I26" s="7"/>
      <c r="J26" s="53"/>
      <c r="K26" s="25"/>
      <c r="L26" s="14"/>
      <c r="M26" s="7"/>
      <c r="N26" s="53"/>
      <c r="O26" s="25"/>
      <c r="P26" s="14"/>
      <c r="Q26" s="7"/>
      <c r="R26" s="53"/>
      <c r="S26" s="25"/>
      <c r="T26" s="14"/>
      <c r="U26" s="7"/>
      <c r="V26" s="53"/>
      <c r="W26" s="25"/>
      <c r="X26" s="14"/>
      <c r="Y26" s="7"/>
      <c r="Z26" s="53"/>
      <c r="AA26" s="25"/>
      <c r="AB26" s="14"/>
      <c r="AC26" s="7"/>
      <c r="AD26" s="53"/>
      <c r="AE26" s="25"/>
      <c r="AF26" s="14"/>
      <c r="AG26" s="7"/>
      <c r="AH26" s="53"/>
      <c r="AI26" s="25"/>
      <c r="AJ26" s="14"/>
      <c r="AK26" s="7"/>
      <c r="AL26" s="53"/>
      <c r="AM26" s="25"/>
      <c r="AN26" s="14"/>
      <c r="AO26" s="7"/>
      <c r="AP26" s="53"/>
      <c r="AQ26" s="25"/>
      <c r="AR26" s="14"/>
      <c r="AS26" s="7"/>
      <c r="AT26" s="53"/>
      <c r="AU26" s="25"/>
    </row>
    <row r="27" spans="2:49">
      <c r="B27" s="12"/>
      <c r="C27" s="12"/>
      <c r="D27" s="12"/>
      <c r="E27" s="12"/>
      <c r="F27" s="54"/>
      <c r="G27" s="24"/>
      <c r="H27" s="13"/>
      <c r="I27" s="12"/>
      <c r="J27" s="54"/>
      <c r="K27" s="24"/>
      <c r="L27" s="13"/>
      <c r="M27" s="12"/>
      <c r="N27" s="54"/>
      <c r="O27" s="24"/>
      <c r="P27" s="13"/>
      <c r="Q27" s="12"/>
      <c r="R27" s="54"/>
      <c r="S27" s="24"/>
      <c r="T27" s="13"/>
      <c r="U27" s="12"/>
      <c r="V27" s="54"/>
      <c r="W27" s="24"/>
      <c r="X27" s="13"/>
      <c r="Y27" s="12"/>
      <c r="Z27" s="54"/>
      <c r="AA27" s="24"/>
      <c r="AB27" s="13"/>
      <c r="AC27" s="12"/>
      <c r="AD27" s="54"/>
      <c r="AE27" s="24"/>
      <c r="AF27" s="13"/>
      <c r="AG27" s="12"/>
      <c r="AH27" s="54"/>
      <c r="AI27" s="24"/>
      <c r="AJ27" s="13"/>
      <c r="AK27" s="12"/>
      <c r="AL27" s="54"/>
      <c r="AM27" s="24"/>
      <c r="AN27" s="13"/>
      <c r="AO27" s="12"/>
      <c r="AP27" s="54"/>
      <c r="AQ27" s="24"/>
      <c r="AR27" s="13"/>
      <c r="AS27" s="12"/>
      <c r="AT27" s="54"/>
      <c r="AU27" s="24"/>
    </row>
    <row r="28" spans="2:49">
      <c r="B28" s="12"/>
      <c r="C28" s="12"/>
      <c r="D28" s="12"/>
      <c r="E28" s="12"/>
      <c r="F28" s="54"/>
      <c r="G28" s="24"/>
      <c r="H28" s="13"/>
      <c r="I28" s="12"/>
      <c r="J28" s="54"/>
      <c r="K28" s="24"/>
      <c r="L28" s="13"/>
      <c r="M28" s="12"/>
      <c r="N28" s="54"/>
      <c r="O28" s="24"/>
      <c r="P28" s="13"/>
      <c r="Q28" s="12"/>
      <c r="R28" s="54"/>
      <c r="S28" s="24"/>
      <c r="T28" s="13"/>
      <c r="U28" s="12"/>
      <c r="V28" s="54"/>
      <c r="W28" s="24"/>
      <c r="X28" s="13"/>
      <c r="Y28" s="12"/>
      <c r="Z28" s="54"/>
      <c r="AA28" s="24"/>
      <c r="AB28" s="13"/>
      <c r="AC28" s="12"/>
      <c r="AD28" s="54"/>
      <c r="AE28" s="24"/>
      <c r="AF28" s="13"/>
      <c r="AG28" s="12"/>
      <c r="AH28" s="54"/>
      <c r="AI28" s="24"/>
      <c r="AJ28" s="13"/>
      <c r="AK28" s="12"/>
      <c r="AL28" s="54"/>
      <c r="AM28" s="24"/>
      <c r="AN28" s="13"/>
      <c r="AO28" s="12"/>
      <c r="AP28" s="54"/>
      <c r="AQ28" s="24"/>
      <c r="AR28" s="13"/>
      <c r="AS28" s="12"/>
      <c r="AT28" s="54"/>
      <c r="AU28" s="24"/>
    </row>
    <row r="29" spans="2:49">
      <c r="B29" s="7"/>
      <c r="C29" s="7"/>
      <c r="D29" s="7"/>
      <c r="E29" s="7"/>
      <c r="F29" s="53"/>
      <c r="G29" s="25"/>
      <c r="H29" s="14"/>
      <c r="I29" s="7"/>
      <c r="J29" s="53"/>
      <c r="K29" s="25"/>
      <c r="L29" s="14"/>
      <c r="M29" s="7"/>
      <c r="N29" s="53"/>
      <c r="O29" s="25"/>
      <c r="P29" s="14"/>
      <c r="Q29" s="7"/>
      <c r="R29" s="53"/>
      <c r="S29" s="25"/>
      <c r="T29" s="14"/>
      <c r="U29" s="7"/>
      <c r="V29" s="53"/>
      <c r="W29" s="25"/>
      <c r="X29" s="14"/>
      <c r="Y29" s="7"/>
      <c r="Z29" s="53"/>
      <c r="AA29" s="25"/>
      <c r="AB29" s="14"/>
      <c r="AC29" s="7"/>
      <c r="AD29" s="53"/>
      <c r="AE29" s="25"/>
      <c r="AF29" s="14"/>
      <c r="AG29" s="7"/>
      <c r="AH29" s="53"/>
      <c r="AI29" s="25"/>
      <c r="AJ29" s="14"/>
      <c r="AK29" s="7"/>
      <c r="AL29" s="53"/>
      <c r="AM29" s="25"/>
      <c r="AN29" s="14"/>
      <c r="AO29" s="7"/>
      <c r="AP29" s="53"/>
      <c r="AQ29" s="25"/>
      <c r="AR29" s="14"/>
      <c r="AS29" s="7"/>
      <c r="AT29" s="53"/>
      <c r="AU29" s="25"/>
    </row>
    <row r="30" spans="2:49" ht="20.25">
      <c r="B30" s="470" t="s">
        <v>16</v>
      </c>
      <c r="C30" s="471"/>
      <c r="D30" s="422" t="str">
        <f>D$2</f>
        <v>2012-13</v>
      </c>
      <c r="E30" s="423"/>
      <c r="F30" s="423"/>
      <c r="G30" s="424"/>
      <c r="H30" s="425" t="str">
        <f>H$2</f>
        <v>2013-14</v>
      </c>
      <c r="I30" s="426"/>
      <c r="J30" s="426"/>
      <c r="K30" s="427"/>
      <c r="L30" s="428" t="str">
        <f>L$2</f>
        <v>2014-15</v>
      </c>
      <c r="M30" s="429"/>
      <c r="N30" s="429"/>
      <c r="O30" s="430"/>
      <c r="P30" s="431" t="str">
        <f>P$2</f>
        <v>2015-16</v>
      </c>
      <c r="Q30" s="432"/>
      <c r="R30" s="432"/>
      <c r="S30" s="433"/>
      <c r="T30" s="434" t="str">
        <f>T$2</f>
        <v>2016-17</v>
      </c>
      <c r="U30" s="435"/>
      <c r="V30" s="435"/>
      <c r="W30" s="436"/>
      <c r="X30" s="437" t="str">
        <f>X$2</f>
        <v>2017-18</v>
      </c>
      <c r="Y30" s="438"/>
      <c r="Z30" s="438"/>
      <c r="AA30" s="439"/>
      <c r="AB30" s="422" t="str">
        <f>AB$2</f>
        <v>2018-19</v>
      </c>
      <c r="AC30" s="423"/>
      <c r="AD30" s="423"/>
      <c r="AE30" s="424"/>
      <c r="AF30" s="425" t="str">
        <f>AF$2</f>
        <v>2019-20</v>
      </c>
      <c r="AG30" s="426"/>
      <c r="AH30" s="426"/>
      <c r="AI30" s="427"/>
      <c r="AJ30" s="428" t="str">
        <f>AJ$2</f>
        <v>2020-21</v>
      </c>
      <c r="AK30" s="429"/>
      <c r="AL30" s="429"/>
      <c r="AM30" s="430"/>
      <c r="AN30" s="431" t="str">
        <f>AN$2</f>
        <v>2021-22</v>
      </c>
      <c r="AO30" s="432"/>
      <c r="AP30" s="432"/>
      <c r="AQ30" s="433"/>
      <c r="AR30" s="434" t="str">
        <f>AR$2</f>
        <v>2022-23</v>
      </c>
      <c r="AS30" s="435"/>
      <c r="AT30" s="435"/>
      <c r="AU30" s="436"/>
    </row>
    <row r="31" spans="2:49" ht="15" customHeight="1">
      <c r="B31" s="7"/>
      <c r="C31" s="7"/>
      <c r="D31" s="462" t="s">
        <v>2</v>
      </c>
      <c r="E31" s="465" t="s">
        <v>3</v>
      </c>
      <c r="F31" s="453" t="s">
        <v>4</v>
      </c>
      <c r="G31" s="456" t="s">
        <v>21</v>
      </c>
      <c r="H31" s="462" t="s">
        <v>2</v>
      </c>
      <c r="I31" s="465" t="s">
        <v>3</v>
      </c>
      <c r="J31" s="453" t="s">
        <v>4</v>
      </c>
      <c r="K31" s="456" t="s">
        <v>21</v>
      </c>
      <c r="L31" s="462" t="s">
        <v>2</v>
      </c>
      <c r="M31" s="465" t="s">
        <v>3</v>
      </c>
      <c r="N31" s="453" t="s">
        <v>4</v>
      </c>
      <c r="O31" s="456" t="s">
        <v>21</v>
      </c>
      <c r="P31" s="462" t="s">
        <v>2</v>
      </c>
      <c r="Q31" s="465" t="s">
        <v>3</v>
      </c>
      <c r="R31" s="453" t="s">
        <v>4</v>
      </c>
      <c r="S31" s="456" t="s">
        <v>21</v>
      </c>
      <c r="T31" s="462" t="s">
        <v>2</v>
      </c>
      <c r="U31" s="465" t="s">
        <v>3</v>
      </c>
      <c r="V31" s="453" t="s">
        <v>4</v>
      </c>
      <c r="W31" s="456" t="s">
        <v>21</v>
      </c>
      <c r="X31" s="462" t="s">
        <v>2</v>
      </c>
      <c r="Y31" s="465" t="s">
        <v>3</v>
      </c>
      <c r="Z31" s="453" t="s">
        <v>4</v>
      </c>
      <c r="AA31" s="456" t="s">
        <v>21</v>
      </c>
      <c r="AB31" s="462" t="s">
        <v>2</v>
      </c>
      <c r="AC31" s="465" t="s">
        <v>3</v>
      </c>
      <c r="AD31" s="453" t="s">
        <v>4</v>
      </c>
      <c r="AE31" s="456" t="s">
        <v>21</v>
      </c>
      <c r="AF31" s="462" t="s">
        <v>2</v>
      </c>
      <c r="AG31" s="465" t="s">
        <v>3</v>
      </c>
      <c r="AH31" s="453" t="s">
        <v>4</v>
      </c>
      <c r="AI31" s="456" t="s">
        <v>21</v>
      </c>
      <c r="AJ31" s="462" t="s">
        <v>2</v>
      </c>
      <c r="AK31" s="465" t="s">
        <v>3</v>
      </c>
      <c r="AL31" s="453" t="s">
        <v>4</v>
      </c>
      <c r="AM31" s="456" t="s">
        <v>21</v>
      </c>
      <c r="AN31" s="462" t="s">
        <v>2</v>
      </c>
      <c r="AO31" s="465" t="s">
        <v>3</v>
      </c>
      <c r="AP31" s="453" t="s">
        <v>4</v>
      </c>
      <c r="AQ31" s="456" t="s">
        <v>21</v>
      </c>
      <c r="AR31" s="462" t="s">
        <v>2</v>
      </c>
      <c r="AS31" s="465" t="s">
        <v>3</v>
      </c>
      <c r="AT31" s="453" t="s">
        <v>4</v>
      </c>
      <c r="AU31" s="456" t="s">
        <v>21</v>
      </c>
    </row>
    <row r="32" spans="2:49">
      <c r="B32" s="7"/>
      <c r="C32" s="7"/>
      <c r="D32" s="463"/>
      <c r="E32" s="466"/>
      <c r="F32" s="454"/>
      <c r="G32" s="457"/>
      <c r="H32" s="463"/>
      <c r="I32" s="466"/>
      <c r="J32" s="454"/>
      <c r="K32" s="457"/>
      <c r="L32" s="463"/>
      <c r="M32" s="466"/>
      <c r="N32" s="454"/>
      <c r="O32" s="457"/>
      <c r="P32" s="463"/>
      <c r="Q32" s="466"/>
      <c r="R32" s="454"/>
      <c r="S32" s="457"/>
      <c r="T32" s="463"/>
      <c r="U32" s="466"/>
      <c r="V32" s="454"/>
      <c r="W32" s="457"/>
      <c r="X32" s="463"/>
      <c r="Y32" s="466"/>
      <c r="Z32" s="454"/>
      <c r="AA32" s="457"/>
      <c r="AB32" s="463"/>
      <c r="AC32" s="466"/>
      <c r="AD32" s="454"/>
      <c r="AE32" s="457"/>
      <c r="AF32" s="463"/>
      <c r="AG32" s="466"/>
      <c r="AH32" s="454"/>
      <c r="AI32" s="457"/>
      <c r="AJ32" s="463"/>
      <c r="AK32" s="466"/>
      <c r="AL32" s="454"/>
      <c r="AM32" s="457"/>
      <c r="AN32" s="463"/>
      <c r="AO32" s="466"/>
      <c r="AP32" s="454"/>
      <c r="AQ32" s="457"/>
      <c r="AR32" s="463"/>
      <c r="AS32" s="466"/>
      <c r="AT32" s="454"/>
      <c r="AU32" s="457"/>
    </row>
    <row r="33" spans="2:49">
      <c r="B33" s="144" t="s">
        <v>5</v>
      </c>
      <c r="C33" s="144" t="s">
        <v>6</v>
      </c>
      <c r="D33" s="464"/>
      <c r="E33" s="467"/>
      <c r="F33" s="455"/>
      <c r="G33" s="458"/>
      <c r="H33" s="464"/>
      <c r="I33" s="467"/>
      <c r="J33" s="455"/>
      <c r="K33" s="458"/>
      <c r="L33" s="464"/>
      <c r="M33" s="467"/>
      <c r="N33" s="455"/>
      <c r="O33" s="458"/>
      <c r="P33" s="464"/>
      <c r="Q33" s="467"/>
      <c r="R33" s="455"/>
      <c r="S33" s="458"/>
      <c r="T33" s="464"/>
      <c r="U33" s="467"/>
      <c r="V33" s="455"/>
      <c r="W33" s="458"/>
      <c r="X33" s="464"/>
      <c r="Y33" s="467"/>
      <c r="Z33" s="455"/>
      <c r="AA33" s="458"/>
      <c r="AB33" s="464"/>
      <c r="AC33" s="467"/>
      <c r="AD33" s="455"/>
      <c r="AE33" s="458"/>
      <c r="AF33" s="464"/>
      <c r="AG33" s="467"/>
      <c r="AH33" s="455"/>
      <c r="AI33" s="458"/>
      <c r="AJ33" s="464"/>
      <c r="AK33" s="467"/>
      <c r="AL33" s="455"/>
      <c r="AM33" s="458"/>
      <c r="AN33" s="464"/>
      <c r="AO33" s="467"/>
      <c r="AP33" s="455"/>
      <c r="AQ33" s="458"/>
      <c r="AR33" s="464"/>
      <c r="AS33" s="467"/>
      <c r="AT33" s="455"/>
      <c r="AU33" s="458"/>
    </row>
    <row r="34" spans="2:49">
      <c r="B34" s="459" t="s">
        <v>7</v>
      </c>
      <c r="C34" s="10" t="s">
        <v>8</v>
      </c>
      <c r="D34" s="113">
        <v>0</v>
      </c>
      <c r="E34" s="114">
        <v>18179</v>
      </c>
      <c r="F34" s="3">
        <f>E34/30</f>
        <v>605.9666666666667</v>
      </c>
      <c r="G34" s="27">
        <v>5020614</v>
      </c>
      <c r="H34" s="113">
        <v>0</v>
      </c>
      <c r="I34" s="114">
        <v>18460</v>
      </c>
      <c r="J34" s="3">
        <f>I34/30</f>
        <v>615.33333333333337</v>
      </c>
      <c r="K34" s="27">
        <v>5086965</v>
      </c>
      <c r="L34" s="113">
        <v>605</v>
      </c>
      <c r="M34" s="114">
        <v>18550</v>
      </c>
      <c r="N34" s="3">
        <f>M34/30</f>
        <v>618.33333333333337</v>
      </c>
      <c r="O34" s="27">
        <v>5113839</v>
      </c>
      <c r="P34" s="113">
        <v>727</v>
      </c>
      <c r="Q34" s="114">
        <v>19422</v>
      </c>
      <c r="R34" s="3">
        <f>Q34/30</f>
        <v>647.4</v>
      </c>
      <c r="S34" s="27">
        <v>5429617</v>
      </c>
      <c r="T34" s="113">
        <v>732</v>
      </c>
      <c r="U34" s="114">
        <v>20840</v>
      </c>
      <c r="V34" s="3">
        <f>U34/30</f>
        <v>694.66666666666663</v>
      </c>
      <c r="W34" s="27">
        <f>5763861+571</f>
        <v>5764432</v>
      </c>
      <c r="X34" s="113">
        <v>778</v>
      </c>
      <c r="Y34" s="114">
        <v>20013</v>
      </c>
      <c r="Z34" s="3">
        <f>Y34/30</f>
        <v>667.1</v>
      </c>
      <c r="AA34" s="27">
        <v>6085797</v>
      </c>
      <c r="AB34" s="113">
        <v>760</v>
      </c>
      <c r="AC34" s="114">
        <f>3053+2254+1224+1775+822+3041+2347+1134+1762+771+737+293+73+253+90+144</f>
        <v>19773</v>
      </c>
      <c r="AD34" s="3">
        <f>AC34/30</f>
        <v>659.1</v>
      </c>
      <c r="AE34" s="27">
        <v>6834930</v>
      </c>
      <c r="AF34" s="113">
        <v>835</v>
      </c>
      <c r="AG34" s="113">
        <v>21263</v>
      </c>
      <c r="AH34" s="3">
        <f>AG34/30</f>
        <v>708.76666666666665</v>
      </c>
      <c r="AI34" s="27">
        <v>7772963</v>
      </c>
      <c r="AJ34" s="113">
        <v>861</v>
      </c>
      <c r="AK34" s="114">
        <v>22170</v>
      </c>
      <c r="AL34" s="3">
        <f>AK34/30</f>
        <v>739</v>
      </c>
      <c r="AM34" s="27">
        <v>8313930</v>
      </c>
      <c r="AN34" s="113">
        <v>815</v>
      </c>
      <c r="AO34" s="114">
        <v>20771</v>
      </c>
      <c r="AP34" s="3">
        <f>AO34/30</f>
        <v>692.36666666666667</v>
      </c>
      <c r="AQ34" s="27">
        <v>7760980</v>
      </c>
      <c r="AR34" s="1">
        <v>752</v>
      </c>
      <c r="AS34" s="2">
        <v>21015</v>
      </c>
      <c r="AT34" s="3">
        <f>AS34/30</f>
        <v>700.5</v>
      </c>
      <c r="AU34" s="29">
        <v>7126684</v>
      </c>
    </row>
    <row r="35" spans="2:49">
      <c r="B35" s="460"/>
      <c r="C35" s="10" t="s">
        <v>9</v>
      </c>
      <c r="D35" s="113">
        <v>0</v>
      </c>
      <c r="E35" s="114">
        <v>2206</v>
      </c>
      <c r="F35" s="3">
        <f>E35/30</f>
        <v>73.533333333333331</v>
      </c>
      <c r="G35" s="27">
        <v>1749778</v>
      </c>
      <c r="H35" s="113">
        <v>0</v>
      </c>
      <c r="I35" s="114">
        <v>1803</v>
      </c>
      <c r="J35" s="3">
        <f>I35/30</f>
        <v>60.1</v>
      </c>
      <c r="K35" s="27">
        <v>1511766</v>
      </c>
      <c r="L35" s="113">
        <v>58</v>
      </c>
      <c r="M35" s="114">
        <v>1988</v>
      </c>
      <c r="N35" s="3">
        <f>M35/30</f>
        <v>66.266666666666666</v>
      </c>
      <c r="O35" s="27">
        <v>1631043</v>
      </c>
      <c r="P35" s="113">
        <v>65</v>
      </c>
      <c r="Q35" s="114">
        <v>1842</v>
      </c>
      <c r="R35" s="3">
        <f>Q35/30</f>
        <v>61.4</v>
      </c>
      <c r="S35" s="27">
        <v>1476829</v>
      </c>
      <c r="T35" s="113">
        <v>65</v>
      </c>
      <c r="U35" s="114">
        <v>2145</v>
      </c>
      <c r="V35" s="3">
        <f>U35/30</f>
        <v>71.5</v>
      </c>
      <c r="W35" s="27">
        <v>1798948</v>
      </c>
      <c r="X35" s="113">
        <v>79</v>
      </c>
      <c r="Y35" s="114">
        <v>2071</v>
      </c>
      <c r="Z35" s="3">
        <f>Y35/30</f>
        <v>69.033333333333331</v>
      </c>
      <c r="AA35" s="27">
        <v>1817176</v>
      </c>
      <c r="AB35" s="113">
        <v>68</v>
      </c>
      <c r="AC35" s="114">
        <f>197+192+32+74+287+251+178+53+39+363+73+0+21+0+110+3</f>
        <v>1873</v>
      </c>
      <c r="AD35" s="3">
        <f>AC35/30</f>
        <v>62.43333333333333</v>
      </c>
      <c r="AE35" s="27">
        <v>1717784</v>
      </c>
      <c r="AF35" s="113">
        <v>67</v>
      </c>
      <c r="AG35" s="113">
        <v>1901</v>
      </c>
      <c r="AH35" s="3">
        <f>AG35/30</f>
        <v>63.366666666666667</v>
      </c>
      <c r="AI35" s="27">
        <v>1806586</v>
      </c>
      <c r="AJ35" s="113">
        <v>73</v>
      </c>
      <c r="AK35" s="114">
        <v>1804</v>
      </c>
      <c r="AL35" s="3">
        <f>AK35/30</f>
        <v>60.133333333333333</v>
      </c>
      <c r="AM35" s="27">
        <v>1758246</v>
      </c>
      <c r="AN35" s="113">
        <v>65</v>
      </c>
      <c r="AO35" s="114">
        <v>1771</v>
      </c>
      <c r="AP35" s="3">
        <f>AO35/30</f>
        <v>59.033333333333331</v>
      </c>
      <c r="AQ35" s="27">
        <v>1741605</v>
      </c>
      <c r="AR35" s="1">
        <v>72</v>
      </c>
      <c r="AS35" s="2">
        <v>2278</v>
      </c>
      <c r="AT35" s="3">
        <f>AS35/30</f>
        <v>75.933333333333337</v>
      </c>
      <c r="AU35" s="29">
        <v>1996833</v>
      </c>
    </row>
    <row r="36" spans="2:49">
      <c r="B36" s="461"/>
      <c r="C36" s="11" t="s">
        <v>10</v>
      </c>
      <c r="D36" s="4">
        <f t="shared" ref="D36:Y36" si="17">SUM(D34:D35)</f>
        <v>0</v>
      </c>
      <c r="E36" s="3">
        <f t="shared" si="17"/>
        <v>20385</v>
      </c>
      <c r="F36" s="3">
        <f>SUM(F34:F35)</f>
        <v>679.5</v>
      </c>
      <c r="G36" s="26">
        <f>SUM(G34:G35)</f>
        <v>6770392</v>
      </c>
      <c r="H36" s="4">
        <f t="shared" si="17"/>
        <v>0</v>
      </c>
      <c r="I36" s="3">
        <f t="shared" si="17"/>
        <v>20263</v>
      </c>
      <c r="J36" s="3">
        <f>SUM(J34:J35)</f>
        <v>675.43333333333339</v>
      </c>
      <c r="K36" s="26">
        <f>SUM(K34:K35)</f>
        <v>6598731</v>
      </c>
      <c r="L36" s="4">
        <f t="shared" si="17"/>
        <v>663</v>
      </c>
      <c r="M36" s="3">
        <f t="shared" si="17"/>
        <v>20538</v>
      </c>
      <c r="N36" s="3">
        <f>SUM(N34:N35)</f>
        <v>684.6</v>
      </c>
      <c r="O36" s="26">
        <f>SUM(O34:O35)</f>
        <v>6744882</v>
      </c>
      <c r="P36" s="4">
        <f t="shared" si="17"/>
        <v>792</v>
      </c>
      <c r="Q36" s="3">
        <f t="shared" si="17"/>
        <v>21264</v>
      </c>
      <c r="R36" s="3">
        <f>SUM(R34:R35)</f>
        <v>708.8</v>
      </c>
      <c r="S36" s="26">
        <f>SUM(S34:S35)</f>
        <v>6906446</v>
      </c>
      <c r="T36" s="4">
        <f t="shared" si="17"/>
        <v>797</v>
      </c>
      <c r="U36" s="3">
        <f t="shared" si="17"/>
        <v>22985</v>
      </c>
      <c r="V36" s="3">
        <f>SUM(V34:V35)</f>
        <v>766.16666666666663</v>
      </c>
      <c r="W36" s="26">
        <f>SUM(W34:W35)</f>
        <v>7563380</v>
      </c>
      <c r="X36" s="4">
        <f t="shared" si="17"/>
        <v>857</v>
      </c>
      <c r="Y36" s="3">
        <f t="shared" si="17"/>
        <v>22084</v>
      </c>
      <c r="Z36" s="3">
        <f>SUM(Z34:Z35)</f>
        <v>736.13333333333333</v>
      </c>
      <c r="AA36" s="26">
        <f t="shared" ref="AA36" si="18">SUM(AA34:AA35)</f>
        <v>7902973</v>
      </c>
      <c r="AB36" s="4">
        <f>SUM(AB34:AB35)</f>
        <v>828</v>
      </c>
      <c r="AC36" s="3">
        <f>SUM(AC34:AC35)</f>
        <v>21646</v>
      </c>
      <c r="AD36" s="3">
        <f>SUM(AD34:AD35)</f>
        <v>721.5333333333333</v>
      </c>
      <c r="AE36" s="26">
        <f t="shared" ref="AE36" si="19">SUM(AE34:AE35)</f>
        <v>8552714</v>
      </c>
      <c r="AF36" s="4">
        <f>SUM(AF34:AF35)</f>
        <v>902</v>
      </c>
      <c r="AG36" s="3">
        <f>SUM(AG34:AG35)</f>
        <v>23164</v>
      </c>
      <c r="AH36" s="3">
        <f>SUM(AH34:AH35)</f>
        <v>772.13333333333333</v>
      </c>
      <c r="AI36" s="26">
        <f t="shared" ref="AI36" si="20">SUM(AI34:AI35)</f>
        <v>9579549</v>
      </c>
      <c r="AJ36" s="4">
        <f>SUM(AJ34:AJ35)</f>
        <v>934</v>
      </c>
      <c r="AK36" s="3">
        <f>SUM(AK34:AK35)</f>
        <v>23974</v>
      </c>
      <c r="AL36" s="3">
        <f>SUM(AL34:AL35)</f>
        <v>799.13333333333333</v>
      </c>
      <c r="AM36" s="26">
        <f t="shared" ref="AM36" si="21">SUM(AM34:AM35)</f>
        <v>10072176</v>
      </c>
      <c r="AN36" s="4">
        <f>SUM(AN34:AN35)</f>
        <v>880</v>
      </c>
      <c r="AO36" s="3">
        <f>SUM(AO34:AO35)</f>
        <v>22542</v>
      </c>
      <c r="AP36" s="3">
        <f>SUM(AP34:AP35)</f>
        <v>751.4</v>
      </c>
      <c r="AQ36" s="26">
        <f t="shared" ref="AQ36" si="22">SUM(AQ34:AQ35)</f>
        <v>9502585</v>
      </c>
      <c r="AR36" s="4">
        <f t="shared" ref="AR36:AU36" si="23">SUM(AR34:AR35)</f>
        <v>824</v>
      </c>
      <c r="AS36" s="3">
        <f t="shared" si="23"/>
        <v>23293</v>
      </c>
      <c r="AT36" s="3">
        <f t="shared" si="23"/>
        <v>776.43333333333339</v>
      </c>
      <c r="AU36" s="26">
        <f t="shared" si="23"/>
        <v>9123517</v>
      </c>
    </row>
    <row r="37" spans="2:49">
      <c r="B37" s="8"/>
      <c r="C37" s="9"/>
      <c r="D37" s="5"/>
      <c r="E37" s="6"/>
      <c r="G37" s="6"/>
      <c r="H37" s="6"/>
      <c r="I37" s="6"/>
      <c r="K37" s="6"/>
      <c r="L37" s="6"/>
      <c r="M37" s="6"/>
      <c r="O37" s="6"/>
      <c r="P37" s="6"/>
      <c r="Q37" s="6"/>
      <c r="S37" s="6"/>
      <c r="T37" s="6"/>
      <c r="U37" s="6"/>
      <c r="W37" s="6"/>
      <c r="X37" s="6"/>
      <c r="Y37" s="6"/>
      <c r="Z37" s="153"/>
      <c r="AA37" s="150"/>
      <c r="AB37" s="151"/>
      <c r="AC37" s="149"/>
      <c r="AD37" s="153"/>
      <c r="AE37" s="150"/>
      <c r="AF37" s="151"/>
      <c r="AG37" s="149"/>
      <c r="AH37" s="153"/>
      <c r="AI37" s="150"/>
      <c r="AJ37" s="5"/>
      <c r="AK37" s="6"/>
      <c r="AN37" s="5"/>
      <c r="AO37" s="6"/>
      <c r="AR37" s="5"/>
      <c r="AS37" s="6"/>
    </row>
    <row r="38" spans="2:49">
      <c r="B38" s="459" t="s">
        <v>11</v>
      </c>
      <c r="C38" s="10" t="s">
        <v>8</v>
      </c>
      <c r="D38" s="113">
        <v>0</v>
      </c>
      <c r="E38" s="114">
        <v>4373</v>
      </c>
      <c r="F38" s="3">
        <f>E38/24</f>
        <v>182.20833333333334</v>
      </c>
      <c r="G38" s="27">
        <v>1876938</v>
      </c>
      <c r="H38" s="113">
        <v>0</v>
      </c>
      <c r="I38" s="114">
        <v>1985</v>
      </c>
      <c r="J38" s="3">
        <f>I38/24</f>
        <v>82.708333333333329</v>
      </c>
      <c r="K38" s="27">
        <v>1714931</v>
      </c>
      <c r="L38" s="113">
        <v>272</v>
      </c>
      <c r="M38" s="114">
        <v>3504</v>
      </c>
      <c r="N38" s="3">
        <f>M38/24</f>
        <v>146</v>
      </c>
      <c r="O38" s="27">
        <v>1622205</v>
      </c>
      <c r="P38" s="113">
        <v>23</v>
      </c>
      <c r="Q38" s="114">
        <v>282</v>
      </c>
      <c r="R38" s="3">
        <f>Q38/24</f>
        <v>11.75</v>
      </c>
      <c r="S38" s="27">
        <v>1799677</v>
      </c>
      <c r="T38" s="113">
        <v>19</v>
      </c>
      <c r="U38" s="114">
        <v>231</v>
      </c>
      <c r="V38" s="3">
        <f>U38/24</f>
        <v>9.625</v>
      </c>
      <c r="W38" s="27">
        <v>2311075</v>
      </c>
      <c r="X38" s="113">
        <v>17</v>
      </c>
      <c r="Y38" s="114">
        <v>227</v>
      </c>
      <c r="Z38" s="3">
        <f>Y38/24</f>
        <v>9.4583333333333339</v>
      </c>
      <c r="AA38" s="27">
        <v>424924</v>
      </c>
      <c r="AB38" s="113">
        <v>21</v>
      </c>
      <c r="AC38" s="114">
        <v>313</v>
      </c>
      <c r="AD38" s="3">
        <f>AC38/24</f>
        <v>13.041666666666666</v>
      </c>
      <c r="AE38" s="27">
        <v>27067</v>
      </c>
      <c r="AF38" s="113">
        <v>21</v>
      </c>
      <c r="AG38" s="113">
        <v>330</v>
      </c>
      <c r="AH38" s="3">
        <f>AG38/24</f>
        <v>13.75</v>
      </c>
      <c r="AI38" s="27">
        <v>0</v>
      </c>
      <c r="AJ38" s="113">
        <v>24</v>
      </c>
      <c r="AK38" s="114">
        <v>319</v>
      </c>
      <c r="AL38" s="3">
        <f>AK38/24</f>
        <v>13.291666666666666</v>
      </c>
      <c r="AM38" s="27">
        <v>0</v>
      </c>
      <c r="AN38" s="113">
        <v>30</v>
      </c>
      <c r="AO38" s="114">
        <v>328</v>
      </c>
      <c r="AP38" s="3">
        <f>AO38/24</f>
        <v>13.666666666666666</v>
      </c>
      <c r="AQ38" s="27">
        <v>0</v>
      </c>
      <c r="AR38" s="1">
        <v>24</v>
      </c>
      <c r="AS38" s="2">
        <v>237</v>
      </c>
      <c r="AT38" s="3">
        <f>AS38/24</f>
        <v>9.875</v>
      </c>
      <c r="AU38" s="29">
        <v>0</v>
      </c>
    </row>
    <row r="39" spans="2:49">
      <c r="B39" s="460"/>
      <c r="C39" s="10" t="s">
        <v>9</v>
      </c>
      <c r="D39" s="113">
        <v>0</v>
      </c>
      <c r="E39" s="114">
        <v>716</v>
      </c>
      <c r="F39" s="3">
        <f>E39/24</f>
        <v>29.833333333333332</v>
      </c>
      <c r="G39" s="27">
        <v>572302</v>
      </c>
      <c r="H39" s="113">
        <v>0</v>
      </c>
      <c r="I39" s="114">
        <v>416</v>
      </c>
      <c r="J39" s="3">
        <f>I39/24</f>
        <v>17.333333333333332</v>
      </c>
      <c r="K39" s="27">
        <v>609993</v>
      </c>
      <c r="L39" s="113">
        <v>47</v>
      </c>
      <c r="M39" s="114">
        <v>608</v>
      </c>
      <c r="N39" s="3">
        <f>M39/24</f>
        <v>25.333333333333332</v>
      </c>
      <c r="O39" s="27">
        <v>566148</v>
      </c>
      <c r="P39" s="113">
        <v>7</v>
      </c>
      <c r="Q39" s="114">
        <v>82</v>
      </c>
      <c r="R39" s="3">
        <f>Q39/24</f>
        <v>3.4166666666666665</v>
      </c>
      <c r="S39" s="27">
        <v>459864</v>
      </c>
      <c r="T39" s="113">
        <v>12</v>
      </c>
      <c r="U39" s="114">
        <v>80</v>
      </c>
      <c r="V39" s="3">
        <f>U39/24</f>
        <v>3.3333333333333335</v>
      </c>
      <c r="W39" s="27">
        <v>440263</v>
      </c>
      <c r="X39" s="113">
        <v>8</v>
      </c>
      <c r="Y39" s="114">
        <v>84</v>
      </c>
      <c r="Z39" s="3">
        <f>Y39/24</f>
        <v>3.5</v>
      </c>
      <c r="AA39" s="27">
        <v>59745</v>
      </c>
      <c r="AB39" s="113">
        <v>6</v>
      </c>
      <c r="AC39" s="114">
        <v>74</v>
      </c>
      <c r="AD39" s="3">
        <f>AC39/24</f>
        <v>3.0833333333333335</v>
      </c>
      <c r="AE39" s="27">
        <v>25066</v>
      </c>
      <c r="AF39" s="113">
        <v>5</v>
      </c>
      <c r="AG39" s="113">
        <v>95</v>
      </c>
      <c r="AH39" s="3">
        <f>AG39/24</f>
        <v>3.9583333333333335</v>
      </c>
      <c r="AI39" s="27">
        <v>0</v>
      </c>
      <c r="AJ39" s="113">
        <v>4</v>
      </c>
      <c r="AK39" s="114">
        <v>49</v>
      </c>
      <c r="AL39" s="3">
        <f>AK39/24</f>
        <v>2.0416666666666665</v>
      </c>
      <c r="AM39" s="27">
        <v>0</v>
      </c>
      <c r="AN39" s="113">
        <v>4</v>
      </c>
      <c r="AO39" s="114">
        <v>35</v>
      </c>
      <c r="AP39" s="3">
        <f>AO39/24</f>
        <v>1.4583333333333333</v>
      </c>
      <c r="AQ39" s="27">
        <v>0</v>
      </c>
      <c r="AR39" s="1">
        <v>3</v>
      </c>
      <c r="AS39" s="2">
        <v>38</v>
      </c>
      <c r="AT39" s="3">
        <f>AS39/24</f>
        <v>1.5833333333333333</v>
      </c>
      <c r="AU39" s="29">
        <v>0</v>
      </c>
    </row>
    <row r="40" spans="2:49">
      <c r="B40" s="461"/>
      <c r="C40" s="11" t="s">
        <v>10</v>
      </c>
      <c r="D40" s="4">
        <f t="shared" ref="D40:Z40" si="24">SUM(D38:D39)</f>
        <v>0</v>
      </c>
      <c r="E40" s="3">
        <f t="shared" si="24"/>
        <v>5089</v>
      </c>
      <c r="F40" s="3">
        <f t="shared" si="24"/>
        <v>212.04166666666669</v>
      </c>
      <c r="G40" s="26">
        <f>SUM(G38:G39)</f>
        <v>2449240</v>
      </c>
      <c r="H40" s="4">
        <f t="shared" si="24"/>
        <v>0</v>
      </c>
      <c r="I40" s="3">
        <f t="shared" si="24"/>
        <v>2401</v>
      </c>
      <c r="J40" s="3">
        <f t="shared" si="24"/>
        <v>100.04166666666666</v>
      </c>
      <c r="K40" s="26">
        <f>SUM(K38:K39)</f>
        <v>2324924</v>
      </c>
      <c r="L40" s="4">
        <f t="shared" si="24"/>
        <v>319</v>
      </c>
      <c r="M40" s="3">
        <f t="shared" si="24"/>
        <v>4112</v>
      </c>
      <c r="N40" s="3">
        <f t="shared" si="24"/>
        <v>171.33333333333334</v>
      </c>
      <c r="O40" s="26">
        <f>SUM(O38:O39)</f>
        <v>2188353</v>
      </c>
      <c r="P40" s="4">
        <f t="shared" si="24"/>
        <v>30</v>
      </c>
      <c r="Q40" s="3">
        <f t="shared" si="24"/>
        <v>364</v>
      </c>
      <c r="R40" s="3">
        <f t="shared" si="24"/>
        <v>15.166666666666666</v>
      </c>
      <c r="S40" s="26">
        <f>SUM(S38:S39)</f>
        <v>2259541</v>
      </c>
      <c r="T40" s="4">
        <f t="shared" si="24"/>
        <v>31</v>
      </c>
      <c r="U40" s="3">
        <f t="shared" si="24"/>
        <v>311</v>
      </c>
      <c r="V40" s="3">
        <f t="shared" si="24"/>
        <v>12.958333333333334</v>
      </c>
      <c r="W40" s="26">
        <f>SUM(W38:W39)</f>
        <v>2751338</v>
      </c>
      <c r="X40" s="4">
        <f t="shared" si="24"/>
        <v>25</v>
      </c>
      <c r="Y40" s="3">
        <f t="shared" si="24"/>
        <v>311</v>
      </c>
      <c r="Z40" s="3">
        <f t="shared" si="24"/>
        <v>12.958333333333334</v>
      </c>
      <c r="AA40" s="26">
        <f t="shared" ref="AA40" si="25">SUM(AA38:AA39)</f>
        <v>484669</v>
      </c>
      <c r="AB40" s="4">
        <f>SUM(AB38:AB39)</f>
        <v>27</v>
      </c>
      <c r="AC40" s="3">
        <f>SUM(AC38:AC39)</f>
        <v>387</v>
      </c>
      <c r="AD40" s="3">
        <f>SUM(AD38:AD39)</f>
        <v>16.125</v>
      </c>
      <c r="AE40" s="26">
        <f t="shared" ref="AE40" si="26">SUM(AE38:AE39)</f>
        <v>52133</v>
      </c>
      <c r="AF40" s="4">
        <f>SUM(AF38:AF39)</f>
        <v>26</v>
      </c>
      <c r="AG40" s="3">
        <f>SUM(AG38:AG39)</f>
        <v>425</v>
      </c>
      <c r="AH40" s="3">
        <f>SUM(AH38:AH39)</f>
        <v>17.708333333333332</v>
      </c>
      <c r="AI40" s="26">
        <f t="shared" ref="AI40" si="27">SUM(AI38:AI39)</f>
        <v>0</v>
      </c>
      <c r="AJ40" s="4">
        <f>SUM(AJ38:AJ39)</f>
        <v>28</v>
      </c>
      <c r="AK40" s="3">
        <f>SUM(AK38:AK39)</f>
        <v>368</v>
      </c>
      <c r="AL40" s="3">
        <f>SUM(AL38:AL39)</f>
        <v>15.333333333333332</v>
      </c>
      <c r="AM40" s="26">
        <f t="shared" ref="AM40" si="28">SUM(AM38:AM39)</f>
        <v>0</v>
      </c>
      <c r="AN40" s="4">
        <f>SUM(AN38:AN39)</f>
        <v>34</v>
      </c>
      <c r="AO40" s="3">
        <f>SUM(AO38:AO39)</f>
        <v>363</v>
      </c>
      <c r="AP40" s="3">
        <f>SUM(AP38:AP39)</f>
        <v>15.125</v>
      </c>
      <c r="AQ40" s="26">
        <f t="shared" ref="AQ40" si="29">SUM(AQ38:AQ39)</f>
        <v>0</v>
      </c>
      <c r="AR40" s="4">
        <f t="shared" ref="AR40:AU40" si="30">SUM(AR38:AR39)</f>
        <v>27</v>
      </c>
      <c r="AS40" s="3">
        <f t="shared" si="30"/>
        <v>275</v>
      </c>
      <c r="AT40" s="3">
        <f t="shared" si="30"/>
        <v>11.458333333333334</v>
      </c>
      <c r="AU40" s="26">
        <f t="shared" si="30"/>
        <v>0</v>
      </c>
      <c r="AW40" s="6"/>
    </row>
    <row r="41" spans="2:49">
      <c r="B41" s="8"/>
      <c r="C41" s="9"/>
      <c r="D41" s="5"/>
      <c r="E41" s="6"/>
      <c r="G41" s="6"/>
      <c r="H41" s="6"/>
      <c r="I41" s="6"/>
      <c r="K41" s="6"/>
      <c r="L41" s="6"/>
      <c r="M41" s="6"/>
      <c r="O41" s="6"/>
      <c r="P41" s="6"/>
      <c r="Q41" s="6"/>
      <c r="S41" s="6"/>
      <c r="T41" s="6"/>
      <c r="U41" s="6"/>
      <c r="W41" s="27">
        <v>2751338</v>
      </c>
      <c r="X41" s="5"/>
      <c r="Y41" s="6"/>
      <c r="Z41" s="153"/>
      <c r="AA41" s="150"/>
      <c r="AB41" s="5"/>
      <c r="AC41" s="6"/>
      <c r="AD41" s="153"/>
      <c r="AE41" s="150"/>
      <c r="AF41" s="5"/>
      <c r="AG41" s="6"/>
      <c r="AI41" s="150"/>
      <c r="AJ41" s="5"/>
      <c r="AK41" s="6"/>
      <c r="AN41" s="5"/>
      <c r="AO41" s="6"/>
      <c r="AR41" s="5"/>
      <c r="AS41" s="6"/>
    </row>
    <row r="42" spans="2:49">
      <c r="B42" s="459" t="s">
        <v>12</v>
      </c>
      <c r="C42" s="10" t="s">
        <v>8</v>
      </c>
      <c r="D42" s="113">
        <v>0</v>
      </c>
      <c r="E42" s="114">
        <v>0</v>
      </c>
      <c r="F42" s="3">
        <f>E42/24</f>
        <v>0</v>
      </c>
      <c r="G42" s="27"/>
      <c r="H42" s="113">
        <v>0</v>
      </c>
      <c r="I42" s="114">
        <v>1974</v>
      </c>
      <c r="J42" s="3">
        <f>I42/24</f>
        <v>82.25</v>
      </c>
      <c r="K42" s="27">
        <v>0</v>
      </c>
      <c r="L42" s="113">
        <v>18</v>
      </c>
      <c r="M42" s="114">
        <v>212</v>
      </c>
      <c r="N42" s="3">
        <f>M42/24</f>
        <v>8.8333333333333339</v>
      </c>
      <c r="O42" s="27"/>
      <c r="P42" s="113">
        <v>313</v>
      </c>
      <c r="Q42" s="114">
        <v>3924</v>
      </c>
      <c r="R42" s="3">
        <f>Q42/24</f>
        <v>163.5</v>
      </c>
      <c r="S42" s="27"/>
      <c r="T42" s="113">
        <v>364</v>
      </c>
      <c r="U42" s="114">
        <v>5162</v>
      </c>
      <c r="V42" s="3">
        <f>U42/24</f>
        <v>215.08333333333334</v>
      </c>
      <c r="W42" s="27"/>
      <c r="X42" s="113">
        <v>415</v>
      </c>
      <c r="Y42" s="114">
        <v>5533</v>
      </c>
      <c r="Z42" s="3">
        <f>Y42/24</f>
        <v>230.54166666666666</v>
      </c>
      <c r="AA42" s="27">
        <v>2333152</v>
      </c>
      <c r="AB42" s="113">
        <v>365</v>
      </c>
      <c r="AC42" s="114">
        <f>1052+9+89+1007+8+91+34+302+22+414+1209+976</f>
        <v>5213</v>
      </c>
      <c r="AD42" s="3">
        <f>AC42/24</f>
        <v>217.20833333333334</v>
      </c>
      <c r="AE42" s="27">
        <v>1691969</v>
      </c>
      <c r="AF42" s="113">
        <v>348</v>
      </c>
      <c r="AG42" s="113">
        <v>4862</v>
      </c>
      <c r="AH42" s="3">
        <f>AG42/24</f>
        <v>202.58333333333334</v>
      </c>
      <c r="AI42" s="27">
        <v>1715260</v>
      </c>
      <c r="AJ42" s="113">
        <v>339</v>
      </c>
      <c r="AK42" s="114">
        <v>4916</v>
      </c>
      <c r="AL42" s="3">
        <f>AK42/24</f>
        <v>204.83333333333334</v>
      </c>
      <c r="AM42" s="27">
        <v>709034</v>
      </c>
      <c r="AN42" s="113">
        <v>346</v>
      </c>
      <c r="AO42" s="114">
        <v>4827</v>
      </c>
      <c r="AP42" s="3">
        <f>AO42/24</f>
        <v>201.125</v>
      </c>
      <c r="AQ42" s="27">
        <v>2868264</v>
      </c>
      <c r="AR42" s="1">
        <v>314</v>
      </c>
      <c r="AS42" s="2">
        <v>5482</v>
      </c>
      <c r="AT42" s="3">
        <f>AS42/24</f>
        <v>228.41666666666666</v>
      </c>
      <c r="AU42" s="29">
        <v>2752072</v>
      </c>
    </row>
    <row r="43" spans="2:49">
      <c r="B43" s="460"/>
      <c r="C43" s="10" t="s">
        <v>9</v>
      </c>
      <c r="D43" s="113">
        <v>0</v>
      </c>
      <c r="E43" s="114">
        <v>0</v>
      </c>
      <c r="F43" s="3">
        <f>E43/24</f>
        <v>0</v>
      </c>
      <c r="G43" s="27"/>
      <c r="H43" s="113">
        <v>0</v>
      </c>
      <c r="I43" s="114">
        <v>340</v>
      </c>
      <c r="J43" s="3">
        <f>I43/24</f>
        <v>14.166666666666666</v>
      </c>
      <c r="K43" s="27">
        <v>0</v>
      </c>
      <c r="L43" s="113">
        <v>3</v>
      </c>
      <c r="M43" s="114">
        <v>41</v>
      </c>
      <c r="N43" s="3">
        <f>M43/24</f>
        <v>1.7083333333333333</v>
      </c>
      <c r="O43" s="27"/>
      <c r="P43" s="113">
        <v>38</v>
      </c>
      <c r="Q43" s="114">
        <v>425</v>
      </c>
      <c r="R43" s="3">
        <f>Q43/24</f>
        <v>17.708333333333332</v>
      </c>
      <c r="S43" s="27"/>
      <c r="T43" s="113">
        <v>34</v>
      </c>
      <c r="U43" s="114">
        <v>417</v>
      </c>
      <c r="V43" s="3">
        <f>U43/24</f>
        <v>17.375</v>
      </c>
      <c r="W43" s="27"/>
      <c r="X43" s="113">
        <v>40</v>
      </c>
      <c r="Y43" s="114">
        <v>407</v>
      </c>
      <c r="Z43" s="3">
        <f>Y43/24</f>
        <v>16.958333333333332</v>
      </c>
      <c r="AA43" s="27">
        <v>328043</v>
      </c>
      <c r="AB43" s="113">
        <v>32</v>
      </c>
      <c r="AC43" s="114">
        <f>106+11+63+88+6+11+56+6+32+3+28</f>
        <v>410</v>
      </c>
      <c r="AD43" s="3">
        <f>AC43/24</f>
        <v>17.083333333333332</v>
      </c>
      <c r="AE43" s="27">
        <v>1558095</v>
      </c>
      <c r="AF43" s="113">
        <v>37</v>
      </c>
      <c r="AG43" s="113">
        <v>553</v>
      </c>
      <c r="AH43" s="3">
        <f>AG43/24</f>
        <v>23.041666666666668</v>
      </c>
      <c r="AI43" s="27">
        <v>1709476</v>
      </c>
      <c r="AJ43" s="113">
        <v>42</v>
      </c>
      <c r="AK43" s="114">
        <v>635</v>
      </c>
      <c r="AL43" s="3">
        <f>AK43/24</f>
        <v>26.458333333333332</v>
      </c>
      <c r="AM43" s="27">
        <v>2927208</v>
      </c>
      <c r="AN43" s="113">
        <v>39</v>
      </c>
      <c r="AO43" s="114">
        <v>467</v>
      </c>
      <c r="AP43" s="3">
        <f>AO43/24</f>
        <v>19.458333333333332</v>
      </c>
      <c r="AQ43" s="27">
        <v>519354</v>
      </c>
      <c r="AR43" s="1">
        <v>26</v>
      </c>
      <c r="AS43" s="2">
        <v>460</v>
      </c>
      <c r="AT43" s="3">
        <f>AS43/24</f>
        <v>19.166666666666668</v>
      </c>
      <c r="AU43" s="29">
        <v>427122</v>
      </c>
    </row>
    <row r="44" spans="2:49">
      <c r="B44" s="461"/>
      <c r="C44" s="11" t="s">
        <v>10</v>
      </c>
      <c r="D44" s="4">
        <f t="shared" ref="D44:Z44" si="31">SUM(D42:D43)</f>
        <v>0</v>
      </c>
      <c r="E44" s="3">
        <f t="shared" si="31"/>
        <v>0</v>
      </c>
      <c r="F44" s="3">
        <f t="shared" si="31"/>
        <v>0</v>
      </c>
      <c r="G44" s="26">
        <f t="shared" si="31"/>
        <v>0</v>
      </c>
      <c r="H44" s="4">
        <f t="shared" si="31"/>
        <v>0</v>
      </c>
      <c r="I44" s="3">
        <f t="shared" si="31"/>
        <v>2314</v>
      </c>
      <c r="J44" s="3">
        <f t="shared" si="31"/>
        <v>96.416666666666671</v>
      </c>
      <c r="K44" s="26">
        <f>SUM(K42:K43)</f>
        <v>0</v>
      </c>
      <c r="L44" s="4">
        <f t="shared" si="31"/>
        <v>21</v>
      </c>
      <c r="M44" s="3">
        <f t="shared" si="31"/>
        <v>253</v>
      </c>
      <c r="N44" s="3">
        <f t="shared" si="31"/>
        <v>10.541666666666668</v>
      </c>
      <c r="O44" s="26">
        <f>SUM(O42:O43)</f>
        <v>0</v>
      </c>
      <c r="P44" s="4">
        <f t="shared" si="31"/>
        <v>351</v>
      </c>
      <c r="Q44" s="3">
        <f t="shared" si="31"/>
        <v>4349</v>
      </c>
      <c r="R44" s="3">
        <f t="shared" si="31"/>
        <v>181.20833333333334</v>
      </c>
      <c r="S44" s="26">
        <f>SUM(S42:S43)</f>
        <v>0</v>
      </c>
      <c r="T44" s="4">
        <f t="shared" si="31"/>
        <v>398</v>
      </c>
      <c r="U44" s="3">
        <f t="shared" si="31"/>
        <v>5579</v>
      </c>
      <c r="V44" s="3">
        <f t="shared" si="31"/>
        <v>232.45833333333334</v>
      </c>
      <c r="W44" s="26">
        <f>SUM(W42:W43)</f>
        <v>0</v>
      </c>
      <c r="X44" s="4">
        <f t="shared" si="31"/>
        <v>455</v>
      </c>
      <c r="Y44" s="3">
        <f t="shared" si="31"/>
        <v>5940</v>
      </c>
      <c r="Z44" s="3">
        <f t="shared" si="31"/>
        <v>247.5</v>
      </c>
      <c r="AA44" s="26">
        <f t="shared" ref="AA44" si="32">SUM(AA42:AA43)</f>
        <v>2661195</v>
      </c>
      <c r="AB44" s="4">
        <f>SUM(AB42:AB43)</f>
        <v>397</v>
      </c>
      <c r="AC44" s="3">
        <f>SUM(AC42:AC43)</f>
        <v>5623</v>
      </c>
      <c r="AD44" s="3">
        <f>SUM(AD42:AD43)</f>
        <v>234.29166666666669</v>
      </c>
      <c r="AE44" s="26">
        <f t="shared" ref="AE44" si="33">SUM(AE42:AE43)</f>
        <v>3250064</v>
      </c>
      <c r="AF44" s="4">
        <f>SUM(AF42:AF43)</f>
        <v>385</v>
      </c>
      <c r="AG44" s="3">
        <f>SUM(AG42:AG43)</f>
        <v>5415</v>
      </c>
      <c r="AH44" s="3">
        <f>SUM(AH42:AH43)</f>
        <v>225.625</v>
      </c>
      <c r="AI44" s="26">
        <f t="shared" ref="AI44" si="34">SUM(AI42:AI43)</f>
        <v>3424736</v>
      </c>
      <c r="AJ44" s="4">
        <f>SUM(AJ42:AJ43)</f>
        <v>381</v>
      </c>
      <c r="AK44" s="3">
        <f>SUM(AK42:AK43)</f>
        <v>5551</v>
      </c>
      <c r="AL44" s="3">
        <f>SUM(AL42:AL43)</f>
        <v>231.29166666666669</v>
      </c>
      <c r="AM44" s="26">
        <f t="shared" ref="AM44" si="35">SUM(AM42:AM43)</f>
        <v>3636242</v>
      </c>
      <c r="AN44" s="4">
        <f>SUM(AN42:AN43)</f>
        <v>385</v>
      </c>
      <c r="AO44" s="3">
        <f>SUM(AO42:AO43)</f>
        <v>5294</v>
      </c>
      <c r="AP44" s="3">
        <f>SUM(AP42:AP43)</f>
        <v>220.58333333333334</v>
      </c>
      <c r="AQ44" s="26">
        <f t="shared" ref="AQ44" si="36">SUM(AQ42:AQ43)</f>
        <v>3387618</v>
      </c>
      <c r="AR44" s="4">
        <f t="shared" ref="AR44:AU44" si="37">SUM(AR42:AR43)</f>
        <v>340</v>
      </c>
      <c r="AS44" s="3">
        <f t="shared" si="37"/>
        <v>5942</v>
      </c>
      <c r="AT44" s="3">
        <f t="shared" si="37"/>
        <v>247.58333333333331</v>
      </c>
      <c r="AU44" s="26">
        <f t="shared" si="37"/>
        <v>3179194</v>
      </c>
    </row>
    <row r="45" spans="2:49">
      <c r="B45" s="8"/>
      <c r="C45" s="9"/>
      <c r="D45" s="5"/>
      <c r="E45" s="6"/>
      <c r="H45" s="5"/>
      <c r="I45" s="6"/>
      <c r="L45" s="5"/>
      <c r="M45" s="6"/>
      <c r="P45" s="5"/>
      <c r="Q45" s="6"/>
      <c r="T45" s="5"/>
      <c r="U45" s="6"/>
      <c r="X45" s="5"/>
      <c r="Y45" s="6"/>
      <c r="Z45" s="153"/>
      <c r="AA45" s="150"/>
      <c r="AB45" s="5"/>
      <c r="AC45" s="6"/>
      <c r="AD45" s="153"/>
      <c r="AE45" s="150"/>
      <c r="AF45" s="5"/>
      <c r="AG45" s="6"/>
      <c r="AH45" s="153"/>
      <c r="AI45" s="150"/>
      <c r="AJ45" s="5"/>
      <c r="AK45" s="6"/>
      <c r="AN45" s="5"/>
      <c r="AO45" s="6"/>
      <c r="AR45" s="5"/>
      <c r="AS45" s="6"/>
    </row>
    <row r="46" spans="2:49">
      <c r="B46" s="459" t="s">
        <v>13</v>
      </c>
      <c r="C46" s="10" t="s">
        <v>8</v>
      </c>
      <c r="D46" s="4">
        <f>D34+D38+D42</f>
        <v>0</v>
      </c>
      <c r="E46" s="3">
        <f>E42+E38+E34</f>
        <v>22552</v>
      </c>
      <c r="F46" s="3">
        <f t="shared" ref="F46:H47" si="38">F34+F38+F42</f>
        <v>788.17500000000007</v>
      </c>
      <c r="G46" s="26">
        <f>G34+G38+G42</f>
        <v>6897552</v>
      </c>
      <c r="H46" s="4">
        <f t="shared" si="38"/>
        <v>0</v>
      </c>
      <c r="I46" s="3">
        <f>I42+I38+I34</f>
        <v>22419</v>
      </c>
      <c r="J46" s="3">
        <f t="shared" ref="J46:L47" si="39">J34+J38+J42</f>
        <v>780.29166666666674</v>
      </c>
      <c r="K46" s="26">
        <f>K34+K38+K42</f>
        <v>6801896</v>
      </c>
      <c r="L46" s="4">
        <f t="shared" si="39"/>
        <v>895</v>
      </c>
      <c r="M46" s="3">
        <f>M42+M38+M34</f>
        <v>22266</v>
      </c>
      <c r="N46" s="3">
        <f t="shared" ref="N46:P47" si="40">N34+N38+N42</f>
        <v>773.16666666666674</v>
      </c>
      <c r="O46" s="26">
        <f>O34+O38+O42</f>
        <v>6736044</v>
      </c>
      <c r="P46" s="4">
        <f t="shared" si="40"/>
        <v>1063</v>
      </c>
      <c r="Q46" s="3">
        <f>Q42+Q38+Q34</f>
        <v>23628</v>
      </c>
      <c r="R46" s="3">
        <f t="shared" ref="R46:T47" si="41">R34+R38+R42</f>
        <v>822.65</v>
      </c>
      <c r="S46" s="26">
        <f>S34+S38+S42</f>
        <v>7229294</v>
      </c>
      <c r="T46" s="4">
        <f t="shared" si="41"/>
        <v>1115</v>
      </c>
      <c r="U46" s="3">
        <f>U42+U38+U34</f>
        <v>26233</v>
      </c>
      <c r="V46" s="3">
        <f t="shared" ref="V46:X47" si="42">V34+V38+V42</f>
        <v>919.375</v>
      </c>
      <c r="W46" s="26">
        <f>W34+W38+W42</f>
        <v>8075507</v>
      </c>
      <c r="X46" s="4">
        <f t="shared" si="42"/>
        <v>1210</v>
      </c>
      <c r="Y46" s="3">
        <f>Y42+Y38+Y34</f>
        <v>25773</v>
      </c>
      <c r="Z46" s="3">
        <f>Z34+Z38+Z42</f>
        <v>907.1</v>
      </c>
      <c r="AA46" s="26">
        <f t="shared" ref="AA46" si="43">AA34+AA38+AA42</f>
        <v>8843873</v>
      </c>
      <c r="AB46" s="4">
        <f>AB34+AB38+AB42</f>
        <v>1146</v>
      </c>
      <c r="AC46" s="3">
        <f>AC42+AC38+AC34</f>
        <v>25299</v>
      </c>
      <c r="AD46" s="3">
        <f>AD34+AD38+AD42</f>
        <v>889.35</v>
      </c>
      <c r="AE46" s="26">
        <f t="shared" ref="AE46" si="44">AE34+AE38+AE42</f>
        <v>8553966</v>
      </c>
      <c r="AF46" s="4">
        <f>AF34+AF38+AF42</f>
        <v>1204</v>
      </c>
      <c r="AG46" s="3">
        <f>AG42+AG38+AG34</f>
        <v>26455</v>
      </c>
      <c r="AH46" s="3">
        <f>AH34+AH38+AH42</f>
        <v>925.1</v>
      </c>
      <c r="AI46" s="26">
        <f t="shared" ref="AI46" si="45">AI34+AI38+AI42</f>
        <v>9488223</v>
      </c>
      <c r="AJ46" s="4">
        <f>AJ34+AJ38+AJ42</f>
        <v>1224</v>
      </c>
      <c r="AK46" s="3">
        <f>AK42+AK38+AK34</f>
        <v>27405</v>
      </c>
      <c r="AL46" s="3">
        <f>AL34+AL38+AL42</f>
        <v>957.125</v>
      </c>
      <c r="AM46" s="26">
        <f t="shared" ref="AM46" si="46">AM34+AM38+AM42</f>
        <v>9022964</v>
      </c>
      <c r="AN46" s="4">
        <f>AN34+AN38+AN42</f>
        <v>1191</v>
      </c>
      <c r="AO46" s="3">
        <f>AO42+AO38+AO34</f>
        <v>25926</v>
      </c>
      <c r="AP46" s="3">
        <f>AP34+AP38+AP42</f>
        <v>907.1583333333333</v>
      </c>
      <c r="AQ46" s="26">
        <f t="shared" ref="AQ46:AR46" si="47">AQ34+AQ38+AQ42</f>
        <v>10629244</v>
      </c>
      <c r="AR46" s="4">
        <f t="shared" si="47"/>
        <v>1090</v>
      </c>
      <c r="AS46" s="3">
        <f>AS42+AS38+AS34</f>
        <v>26734</v>
      </c>
      <c r="AT46" s="3">
        <f>AT34+AT38+AT42</f>
        <v>938.79166666666663</v>
      </c>
      <c r="AU46" s="26">
        <f>AU34+AU38+AU42</f>
        <v>9878756</v>
      </c>
    </row>
    <row r="47" spans="2:49">
      <c r="B47" s="460"/>
      <c r="C47" s="10" t="s">
        <v>9</v>
      </c>
      <c r="D47" s="4">
        <f>D35+D39+D43</f>
        <v>0</v>
      </c>
      <c r="E47" s="3">
        <f>E43+E39+E35</f>
        <v>2922</v>
      </c>
      <c r="F47" s="3">
        <f t="shared" si="38"/>
        <v>103.36666666666666</v>
      </c>
      <c r="G47" s="26">
        <f>G35+G39+G43</f>
        <v>2322080</v>
      </c>
      <c r="H47" s="4">
        <f t="shared" si="38"/>
        <v>0</v>
      </c>
      <c r="I47" s="3">
        <f>I43+I39+I35</f>
        <v>2559</v>
      </c>
      <c r="J47" s="3">
        <f t="shared" si="39"/>
        <v>91.600000000000009</v>
      </c>
      <c r="K47" s="26">
        <f>K35+K39+K43</f>
        <v>2121759</v>
      </c>
      <c r="L47" s="4">
        <f t="shared" si="39"/>
        <v>108</v>
      </c>
      <c r="M47" s="3">
        <f>M43+M39+M35</f>
        <v>2637</v>
      </c>
      <c r="N47" s="3">
        <f t="shared" si="40"/>
        <v>93.308333333333323</v>
      </c>
      <c r="O47" s="26">
        <f>O35+O39+O43</f>
        <v>2197191</v>
      </c>
      <c r="P47" s="4">
        <f t="shared" si="40"/>
        <v>110</v>
      </c>
      <c r="Q47" s="3">
        <f>Q43+Q39+Q35</f>
        <v>2349</v>
      </c>
      <c r="R47" s="3">
        <f t="shared" si="41"/>
        <v>82.524999999999991</v>
      </c>
      <c r="S47" s="26">
        <f>S35+S39+S43</f>
        <v>1936693</v>
      </c>
      <c r="T47" s="4">
        <f t="shared" si="41"/>
        <v>111</v>
      </c>
      <c r="U47" s="3">
        <f>U43+U39+U35</f>
        <v>2642</v>
      </c>
      <c r="V47" s="3">
        <f t="shared" si="42"/>
        <v>92.208333333333329</v>
      </c>
      <c r="W47" s="26">
        <f>W35+W39+W43</f>
        <v>2239211</v>
      </c>
      <c r="X47" s="4">
        <f t="shared" si="42"/>
        <v>127</v>
      </c>
      <c r="Y47" s="3">
        <f>Y43+Y39+Y35</f>
        <v>2562</v>
      </c>
      <c r="Z47" s="3">
        <f>Z35+Z39+Z43</f>
        <v>89.49166666666666</v>
      </c>
      <c r="AA47" s="26">
        <f t="shared" ref="AA47" si="48">AA35+AA39+AA43</f>
        <v>2204964</v>
      </c>
      <c r="AB47" s="4">
        <f>AB35+AB39+AB43</f>
        <v>106</v>
      </c>
      <c r="AC47" s="3">
        <f>AC43+AC39+AC35</f>
        <v>2357</v>
      </c>
      <c r="AD47" s="3">
        <f>AD35+AD39+AD43</f>
        <v>82.6</v>
      </c>
      <c r="AE47" s="26">
        <f t="shared" ref="AE47" si="49">AE35+AE39+AE43</f>
        <v>3300945</v>
      </c>
      <c r="AF47" s="4">
        <f>AF35+AF39+AF43</f>
        <v>109</v>
      </c>
      <c r="AG47" s="3">
        <f>AG43+AG39+AG35</f>
        <v>2549</v>
      </c>
      <c r="AH47" s="3">
        <f>AH35+AH39+AH43</f>
        <v>90.366666666666674</v>
      </c>
      <c r="AI47" s="26">
        <f t="shared" ref="AI47" si="50">AI35+AI39+AI43</f>
        <v>3516062</v>
      </c>
      <c r="AJ47" s="4">
        <f>AJ35+AJ39+AJ43</f>
        <v>119</v>
      </c>
      <c r="AK47" s="3">
        <f>AK43+AK39+AK35</f>
        <v>2488</v>
      </c>
      <c r="AL47" s="3">
        <f>AL35+AL39+AL43</f>
        <v>88.633333333333326</v>
      </c>
      <c r="AM47" s="26">
        <f t="shared" ref="AM47" si="51">AM35+AM39+AM43</f>
        <v>4685454</v>
      </c>
      <c r="AN47" s="4">
        <f>AN35+AN39+AN43</f>
        <v>108</v>
      </c>
      <c r="AO47" s="3">
        <f>AO43+AO39+AO35</f>
        <v>2273</v>
      </c>
      <c r="AP47" s="3">
        <f>AP35+AP39+AP43</f>
        <v>79.95</v>
      </c>
      <c r="AQ47" s="26">
        <f t="shared" ref="AQ47:AR47" si="52">AQ35+AQ39+AQ43</f>
        <v>2260959</v>
      </c>
      <c r="AR47" s="4">
        <f t="shared" si="52"/>
        <v>101</v>
      </c>
      <c r="AS47" s="3">
        <f>AS43+AS39+AS35</f>
        <v>2776</v>
      </c>
      <c r="AT47" s="3">
        <f>AT35+AT39+AT43</f>
        <v>96.683333333333337</v>
      </c>
      <c r="AU47" s="26">
        <f>AU35+AU39+AU43</f>
        <v>2423955</v>
      </c>
    </row>
    <row r="48" spans="2:49">
      <c r="B48" s="461"/>
      <c r="C48" s="11" t="s">
        <v>10</v>
      </c>
      <c r="D48" s="4">
        <f t="shared" ref="D48:Z48" si="53">SUM(D46:D47)</f>
        <v>0</v>
      </c>
      <c r="E48" s="3">
        <f t="shared" si="53"/>
        <v>25474</v>
      </c>
      <c r="F48" s="3">
        <f t="shared" si="53"/>
        <v>891.54166666666674</v>
      </c>
      <c r="G48" s="26">
        <f>SUM(G46:G47)</f>
        <v>9219632</v>
      </c>
      <c r="H48" s="4">
        <f t="shared" si="53"/>
        <v>0</v>
      </c>
      <c r="I48" s="3">
        <f t="shared" si="53"/>
        <v>24978</v>
      </c>
      <c r="J48" s="3">
        <f t="shared" si="53"/>
        <v>871.89166666666677</v>
      </c>
      <c r="K48" s="26">
        <f>SUM(K46:K47)</f>
        <v>8923655</v>
      </c>
      <c r="L48" s="4">
        <f t="shared" si="53"/>
        <v>1003</v>
      </c>
      <c r="M48" s="3">
        <f t="shared" si="53"/>
        <v>24903</v>
      </c>
      <c r="N48" s="3">
        <f t="shared" si="53"/>
        <v>866.47500000000002</v>
      </c>
      <c r="O48" s="26">
        <f>SUM(O46:O47)</f>
        <v>8933235</v>
      </c>
      <c r="P48" s="4">
        <f t="shared" si="53"/>
        <v>1173</v>
      </c>
      <c r="Q48" s="3">
        <f t="shared" si="53"/>
        <v>25977</v>
      </c>
      <c r="R48" s="3">
        <f t="shared" si="53"/>
        <v>905.17499999999995</v>
      </c>
      <c r="S48" s="26">
        <f>SUM(S46:S47)</f>
        <v>9165987</v>
      </c>
      <c r="T48" s="4">
        <f t="shared" si="53"/>
        <v>1226</v>
      </c>
      <c r="U48" s="3">
        <f t="shared" si="53"/>
        <v>28875</v>
      </c>
      <c r="V48" s="3">
        <f t="shared" si="53"/>
        <v>1011.5833333333334</v>
      </c>
      <c r="W48" s="26">
        <f>SUM(W46:W47)</f>
        <v>10314718</v>
      </c>
      <c r="X48" s="4">
        <f t="shared" si="53"/>
        <v>1337</v>
      </c>
      <c r="Y48" s="3">
        <f t="shared" si="53"/>
        <v>28335</v>
      </c>
      <c r="Z48" s="3">
        <f t="shared" si="53"/>
        <v>996.5916666666667</v>
      </c>
      <c r="AA48" s="26">
        <f t="shared" ref="AA48:AQ48" si="54">SUM(AA46:AA47)</f>
        <v>11048837</v>
      </c>
      <c r="AB48" s="4">
        <f t="shared" si="54"/>
        <v>1252</v>
      </c>
      <c r="AC48" s="3">
        <f t="shared" si="54"/>
        <v>27656</v>
      </c>
      <c r="AD48" s="3">
        <f t="shared" si="54"/>
        <v>971.95</v>
      </c>
      <c r="AE48" s="26">
        <f t="shared" si="54"/>
        <v>11854911</v>
      </c>
      <c r="AF48" s="4">
        <f t="shared" si="54"/>
        <v>1313</v>
      </c>
      <c r="AG48" s="3">
        <f t="shared" si="54"/>
        <v>29004</v>
      </c>
      <c r="AH48" s="3">
        <f t="shared" si="54"/>
        <v>1015.4666666666667</v>
      </c>
      <c r="AI48" s="26">
        <f t="shared" si="54"/>
        <v>13004285</v>
      </c>
      <c r="AJ48" s="4">
        <f t="shared" si="54"/>
        <v>1343</v>
      </c>
      <c r="AK48" s="3">
        <f t="shared" si="54"/>
        <v>29893</v>
      </c>
      <c r="AL48" s="3">
        <f t="shared" si="54"/>
        <v>1045.7583333333332</v>
      </c>
      <c r="AM48" s="26">
        <f t="shared" si="54"/>
        <v>13708418</v>
      </c>
      <c r="AN48" s="4">
        <f t="shared" si="54"/>
        <v>1299</v>
      </c>
      <c r="AO48" s="3">
        <f t="shared" si="54"/>
        <v>28199</v>
      </c>
      <c r="AP48" s="3">
        <f t="shared" si="54"/>
        <v>987.10833333333335</v>
      </c>
      <c r="AQ48" s="26">
        <f t="shared" si="54"/>
        <v>12890203</v>
      </c>
      <c r="AR48" s="4">
        <f>SUM(AR46:AR47)</f>
        <v>1191</v>
      </c>
      <c r="AS48" s="3">
        <f>SUM(AS46:AS47)</f>
        <v>29510</v>
      </c>
      <c r="AT48" s="402">
        <f>AT44+AT40+AT36</f>
        <v>1035.4749999999999</v>
      </c>
      <c r="AU48" s="26">
        <f>SUM(AU46:AU47)</f>
        <v>12302711</v>
      </c>
    </row>
    <row r="49" spans="2:47" ht="21.75" customHeight="1">
      <c r="B49" s="7"/>
      <c r="C49" s="71" t="s">
        <v>15</v>
      </c>
      <c r="D49" s="114"/>
      <c r="E49" s="114"/>
      <c r="F49" s="3">
        <f>E49/24</f>
        <v>0</v>
      </c>
      <c r="G49" s="27"/>
      <c r="H49" s="114"/>
      <c r="I49" s="114"/>
      <c r="J49" s="3">
        <f>I49/24</f>
        <v>0</v>
      </c>
      <c r="K49" s="27"/>
      <c r="L49" s="114"/>
      <c r="M49" s="114"/>
      <c r="N49" s="3">
        <f>M49/24</f>
        <v>0</v>
      </c>
      <c r="O49" s="27"/>
      <c r="P49" s="114"/>
      <c r="Q49" s="114"/>
      <c r="R49" s="3">
        <f>Q49/24</f>
        <v>0</v>
      </c>
      <c r="S49" s="27"/>
      <c r="T49" s="114"/>
      <c r="U49" s="114"/>
      <c r="V49" s="3">
        <f>U49/24</f>
        <v>0</v>
      </c>
      <c r="W49" s="27"/>
      <c r="X49" s="114"/>
      <c r="Y49" s="114"/>
      <c r="Z49" s="3">
        <f>Y49/24</f>
        <v>0</v>
      </c>
      <c r="AA49" s="27"/>
      <c r="AB49" s="114"/>
      <c r="AC49" s="114"/>
      <c r="AD49" s="3">
        <f>AC49/24</f>
        <v>0</v>
      </c>
      <c r="AE49" s="27"/>
      <c r="AF49" s="114"/>
      <c r="AG49" s="114"/>
      <c r="AH49" s="3">
        <f>AG49/24</f>
        <v>0</v>
      </c>
      <c r="AI49" s="27"/>
      <c r="AJ49" s="114"/>
      <c r="AK49" s="114"/>
      <c r="AL49" s="3">
        <f>AK49/24</f>
        <v>0</v>
      </c>
      <c r="AM49" s="27"/>
      <c r="AN49" s="114"/>
      <c r="AO49" s="114"/>
      <c r="AP49" s="3">
        <f>AO49/24</f>
        <v>0</v>
      </c>
      <c r="AQ49" s="27"/>
      <c r="AR49" s="2"/>
      <c r="AS49" s="2"/>
      <c r="AT49" s="3">
        <f>AS49/24</f>
        <v>0</v>
      </c>
      <c r="AU49" s="29"/>
    </row>
    <row r="50" spans="2:47" ht="24.75" customHeight="1">
      <c r="B50" s="21" t="s">
        <v>22</v>
      </c>
      <c r="D50" s="5"/>
      <c r="E50" s="6"/>
      <c r="H50" s="5"/>
      <c r="I50" s="6"/>
      <c r="L50" s="5"/>
      <c r="M50" s="6"/>
      <c r="P50" s="5"/>
      <c r="Q50" s="6"/>
      <c r="T50" s="5"/>
      <c r="U50" s="6"/>
      <c r="X50" s="5"/>
      <c r="Y50" s="6"/>
      <c r="Z50" s="153"/>
      <c r="AA50" s="150"/>
      <c r="AB50" s="5"/>
      <c r="AC50" s="6"/>
      <c r="AD50" s="153"/>
      <c r="AE50" s="150"/>
      <c r="AF50" s="5"/>
      <c r="AG50" s="6"/>
      <c r="AH50" s="153"/>
      <c r="AI50" s="150"/>
      <c r="AJ50" s="5"/>
      <c r="AK50" s="6"/>
      <c r="AN50" s="5"/>
      <c r="AO50" s="6"/>
      <c r="AR50" s="5"/>
      <c r="AS50" s="6"/>
    </row>
    <row r="51" spans="2:47" ht="15">
      <c r="B51" s="28" t="s">
        <v>264</v>
      </c>
      <c r="D51" s="5"/>
      <c r="E51" s="6"/>
      <c r="G51" s="27"/>
      <c r="H51" s="5"/>
      <c r="I51" s="6"/>
      <c r="K51" s="27"/>
      <c r="L51" s="5"/>
      <c r="M51" s="6"/>
      <c r="O51" s="27"/>
      <c r="P51" s="5"/>
      <c r="Q51" s="6"/>
      <c r="S51" s="27"/>
      <c r="T51" s="5"/>
      <c r="U51" s="6"/>
      <c r="W51" s="27"/>
      <c r="X51" s="5"/>
      <c r="Y51" s="6"/>
      <c r="AA51" s="27"/>
      <c r="AB51" s="5"/>
      <c r="AC51" s="6"/>
      <c r="AE51" s="27"/>
      <c r="AF51" s="5"/>
      <c r="AG51" s="6"/>
      <c r="AI51" s="27"/>
      <c r="AJ51" s="5"/>
      <c r="AK51" s="6"/>
      <c r="AM51" s="27"/>
      <c r="AN51" s="5"/>
      <c r="AO51" s="6"/>
      <c r="AQ51" s="27"/>
      <c r="AR51" s="5"/>
      <c r="AS51" s="6"/>
      <c r="AU51" s="29"/>
    </row>
    <row r="52" spans="2:47" ht="15">
      <c r="B52" s="28" t="s">
        <v>265</v>
      </c>
      <c r="D52" s="5"/>
      <c r="E52" s="6"/>
      <c r="G52" s="27"/>
      <c r="H52" s="5"/>
      <c r="I52" s="6"/>
      <c r="K52" s="27"/>
      <c r="L52" s="5"/>
      <c r="M52" s="6"/>
      <c r="O52" s="27"/>
      <c r="P52" s="5"/>
      <c r="Q52" s="6"/>
      <c r="S52" s="27"/>
      <c r="T52" s="5"/>
      <c r="U52" s="6"/>
      <c r="W52" s="27"/>
      <c r="X52" s="5"/>
      <c r="Y52" s="6"/>
      <c r="AA52" s="27">
        <v>1755729.56</v>
      </c>
      <c r="AB52" s="5"/>
      <c r="AC52" s="6"/>
      <c r="AE52" s="27">
        <v>1772074</v>
      </c>
      <c r="AF52" s="5"/>
      <c r="AG52" s="6"/>
      <c r="AI52" s="27">
        <v>1773448</v>
      </c>
      <c r="AJ52" s="5"/>
      <c r="AK52" s="6"/>
      <c r="AM52" s="27">
        <v>1807625</v>
      </c>
      <c r="AN52" s="5"/>
      <c r="AO52" s="6"/>
      <c r="AQ52" s="27">
        <v>1586769</v>
      </c>
      <c r="AR52" s="5"/>
      <c r="AS52" s="6"/>
      <c r="AU52" s="29">
        <v>1497107</v>
      </c>
    </row>
    <row r="53" spans="2:47" ht="15">
      <c r="B53" s="28" t="s">
        <v>23</v>
      </c>
      <c r="D53" s="5"/>
      <c r="E53" s="6"/>
      <c r="G53" s="26">
        <f>G48-G51-G52</f>
        <v>9219632</v>
      </c>
      <c r="H53" s="5"/>
      <c r="I53" s="6"/>
      <c r="K53" s="26">
        <f>K48-K51-K52</f>
        <v>8923655</v>
      </c>
      <c r="L53" s="5"/>
      <c r="M53" s="6"/>
      <c r="O53" s="26">
        <f>O48-O51-O52</f>
        <v>8933235</v>
      </c>
      <c r="P53" s="5"/>
      <c r="Q53" s="6"/>
      <c r="S53" s="26">
        <f>S48-S51-S52</f>
        <v>9165987</v>
      </c>
      <c r="T53" s="5"/>
      <c r="U53" s="6"/>
      <c r="W53" s="26">
        <f>W48-W51-W52</f>
        <v>10314718</v>
      </c>
      <c r="X53" s="5"/>
      <c r="Y53" s="6"/>
      <c r="AA53" s="26">
        <f>AA48-AA51-AA52</f>
        <v>9293107.4399999995</v>
      </c>
      <c r="AB53" s="5"/>
      <c r="AC53" s="6"/>
      <c r="AE53" s="26">
        <f>AE48-AE51-AE52</f>
        <v>10082837</v>
      </c>
      <c r="AF53" s="5"/>
      <c r="AG53" s="6"/>
      <c r="AI53" s="26">
        <f>AI48-AI51-AI52</f>
        <v>11230837</v>
      </c>
      <c r="AJ53" s="5"/>
      <c r="AK53" s="6"/>
      <c r="AM53" s="26">
        <f>AM48-AM51-AM52</f>
        <v>11900793</v>
      </c>
      <c r="AN53" s="5"/>
      <c r="AO53" s="6"/>
      <c r="AQ53" s="26">
        <f>AQ48-AQ51-AQ52</f>
        <v>11303434</v>
      </c>
      <c r="AR53" s="5"/>
      <c r="AS53" s="6"/>
      <c r="AU53" s="26">
        <f>AU48-AU51-AU52</f>
        <v>10805604</v>
      </c>
    </row>
    <row r="54" spans="2:47">
      <c r="D54" s="7"/>
      <c r="E54" s="7"/>
      <c r="F54" s="53"/>
      <c r="G54" s="25"/>
      <c r="H54" s="14"/>
      <c r="I54" s="7"/>
      <c r="J54" s="53"/>
      <c r="K54" s="25"/>
      <c r="L54" s="14"/>
      <c r="M54" s="7"/>
      <c r="N54" s="53"/>
      <c r="O54" s="25"/>
      <c r="P54" s="14"/>
      <c r="Q54" s="7"/>
      <c r="R54" s="53"/>
      <c r="S54" s="25"/>
      <c r="T54" s="14"/>
      <c r="U54" s="7"/>
      <c r="V54" s="53"/>
      <c r="W54" s="25"/>
      <c r="X54" s="14"/>
      <c r="Y54" s="7"/>
      <c r="Z54" s="53"/>
      <c r="AA54" s="25"/>
      <c r="AB54" s="14"/>
      <c r="AC54" s="7"/>
      <c r="AD54" s="53"/>
      <c r="AE54" s="25"/>
      <c r="AF54" s="14"/>
      <c r="AG54" s="7"/>
      <c r="AH54" s="53"/>
      <c r="AI54" s="25"/>
      <c r="AJ54" s="14"/>
      <c r="AK54" s="7"/>
      <c r="AL54" s="53"/>
      <c r="AM54" s="25"/>
      <c r="AN54" s="14"/>
      <c r="AO54" s="7"/>
      <c r="AP54" s="53"/>
      <c r="AQ54" s="25"/>
      <c r="AR54" s="14"/>
      <c r="AS54" s="7"/>
      <c r="AT54" s="53"/>
      <c r="AU54" s="25"/>
    </row>
    <row r="55" spans="2:47">
      <c r="B55" s="7"/>
      <c r="C55" s="7"/>
      <c r="D55" s="7"/>
      <c r="E55" s="7"/>
      <c r="F55" s="53"/>
      <c r="G55" s="25"/>
      <c r="H55" s="14"/>
      <c r="I55" s="7"/>
      <c r="J55" s="53"/>
      <c r="K55" s="25"/>
      <c r="L55" s="14"/>
      <c r="M55" s="7"/>
      <c r="N55" s="53"/>
      <c r="O55" s="25"/>
      <c r="P55" s="14"/>
      <c r="Q55" s="7"/>
      <c r="R55" s="53"/>
      <c r="S55" s="25"/>
      <c r="T55" s="14"/>
      <c r="U55" s="7"/>
      <c r="V55" s="53"/>
      <c r="W55" s="25"/>
      <c r="X55" s="14"/>
      <c r="Y55" s="7"/>
      <c r="Z55" s="53"/>
      <c r="AA55" s="25"/>
      <c r="AB55" s="14"/>
      <c r="AC55" s="7"/>
      <c r="AD55" s="53"/>
      <c r="AE55" s="25"/>
      <c r="AF55" s="14"/>
      <c r="AG55" s="7"/>
      <c r="AH55" s="53"/>
      <c r="AI55" s="25"/>
      <c r="AJ55" s="14"/>
      <c r="AK55" s="7"/>
      <c r="AL55" s="53"/>
      <c r="AM55" s="25"/>
      <c r="AN55" s="14"/>
      <c r="AO55" s="7"/>
      <c r="AP55" s="53"/>
      <c r="AQ55" s="25"/>
      <c r="AR55" s="14"/>
      <c r="AS55" s="7"/>
      <c r="AT55" s="53"/>
      <c r="AU55" s="25"/>
    </row>
    <row r="56" spans="2:47">
      <c r="B56" s="12"/>
      <c r="C56" s="12"/>
      <c r="D56" s="12"/>
      <c r="E56" s="12"/>
      <c r="F56" s="54"/>
      <c r="G56" s="24"/>
      <c r="H56" s="13"/>
      <c r="I56" s="12"/>
      <c r="J56" s="54"/>
      <c r="K56" s="24"/>
      <c r="L56" s="13"/>
      <c r="M56" s="12"/>
      <c r="N56" s="54"/>
      <c r="O56" s="24"/>
      <c r="P56" s="13"/>
      <c r="Q56" s="12"/>
      <c r="R56" s="54"/>
      <c r="S56" s="24"/>
      <c r="T56" s="13"/>
      <c r="U56" s="12"/>
      <c r="V56" s="54"/>
      <c r="W56" s="24"/>
      <c r="X56" s="13"/>
      <c r="Y56" s="12"/>
      <c r="Z56" s="54"/>
      <c r="AA56" s="24"/>
      <c r="AB56" s="13"/>
      <c r="AC56" s="12"/>
      <c r="AD56" s="54"/>
      <c r="AE56" s="24"/>
      <c r="AF56" s="13"/>
      <c r="AG56" s="12"/>
      <c r="AH56" s="54"/>
      <c r="AI56" s="24"/>
      <c r="AJ56" s="13"/>
      <c r="AK56" s="12"/>
      <c r="AL56" s="54"/>
      <c r="AM56" s="24"/>
      <c r="AN56" s="13"/>
      <c r="AO56" s="12"/>
      <c r="AP56" s="54"/>
      <c r="AQ56" s="24"/>
      <c r="AR56" s="13"/>
      <c r="AS56" s="12"/>
      <c r="AT56" s="54"/>
      <c r="AU56" s="24"/>
    </row>
    <row r="57" spans="2:47">
      <c r="B57" s="12"/>
      <c r="C57" s="12"/>
      <c r="D57" s="12"/>
      <c r="E57" s="12"/>
      <c r="F57" s="54"/>
      <c r="G57" s="24"/>
      <c r="H57" s="13"/>
      <c r="I57" s="12"/>
      <c r="J57" s="54"/>
      <c r="K57" s="24"/>
      <c r="L57" s="13"/>
      <c r="M57" s="12"/>
      <c r="N57" s="54"/>
      <c r="O57" s="24"/>
      <c r="P57" s="13"/>
      <c r="Q57" s="12"/>
      <c r="R57" s="54"/>
      <c r="S57" s="24"/>
      <c r="T57" s="13"/>
      <c r="U57" s="12"/>
      <c r="V57" s="54"/>
      <c r="W57" s="24"/>
      <c r="X57" s="13"/>
      <c r="Y57" s="12"/>
      <c r="Z57" s="54"/>
      <c r="AA57" s="24"/>
      <c r="AB57" s="13"/>
      <c r="AC57" s="12"/>
      <c r="AD57" s="54"/>
      <c r="AE57" s="24"/>
      <c r="AF57" s="13"/>
      <c r="AG57" s="12"/>
      <c r="AH57" s="54"/>
      <c r="AI57" s="24"/>
      <c r="AJ57" s="13"/>
      <c r="AK57" s="12"/>
      <c r="AL57" s="54"/>
      <c r="AM57" s="24"/>
      <c r="AN57" s="13"/>
      <c r="AO57" s="12"/>
      <c r="AP57" s="54"/>
      <c r="AQ57" s="24"/>
      <c r="AR57" s="13"/>
      <c r="AS57" s="12"/>
      <c r="AT57" s="54"/>
      <c r="AU57" s="24"/>
    </row>
    <row r="58" spans="2:47">
      <c r="B58" s="7"/>
      <c r="C58" s="7"/>
      <c r="D58" s="7"/>
      <c r="E58" s="7"/>
      <c r="F58" s="53"/>
      <c r="G58" s="25"/>
      <c r="H58" s="14"/>
      <c r="I58" s="7"/>
      <c r="J58" s="53"/>
      <c r="K58" s="25"/>
      <c r="L58" s="14"/>
      <c r="M58" s="7"/>
      <c r="N58" s="53"/>
      <c r="O58" s="25"/>
      <c r="P58" s="14"/>
      <c r="Q58" s="7"/>
      <c r="R58" s="53"/>
      <c r="S58" s="25"/>
      <c r="T58" s="14"/>
      <c r="U58" s="7"/>
      <c r="V58" s="53"/>
      <c r="W58" s="25"/>
      <c r="X58" s="14"/>
      <c r="Y58" s="7"/>
      <c r="Z58" s="53"/>
      <c r="AA58" s="25"/>
      <c r="AB58" s="14"/>
      <c r="AC58" s="7"/>
      <c r="AD58" s="53"/>
      <c r="AE58" s="25"/>
      <c r="AF58" s="14"/>
      <c r="AG58" s="7"/>
      <c r="AH58" s="53"/>
      <c r="AI58" s="25"/>
      <c r="AJ58" s="14"/>
      <c r="AK58" s="7"/>
      <c r="AL58" s="53"/>
      <c r="AM58" s="25"/>
      <c r="AN58" s="14"/>
      <c r="AO58" s="7"/>
      <c r="AP58" s="53"/>
      <c r="AQ58" s="25"/>
      <c r="AR58" s="14"/>
      <c r="AS58" s="7"/>
      <c r="AT58" s="53"/>
      <c r="AU58" s="25"/>
    </row>
    <row r="59" spans="2:47" ht="20.25">
      <c r="B59" s="470" t="s">
        <v>17</v>
      </c>
      <c r="C59" s="471"/>
      <c r="D59" s="422" t="str">
        <f>D$2</f>
        <v>2012-13</v>
      </c>
      <c r="E59" s="423"/>
      <c r="F59" s="423"/>
      <c r="G59" s="424"/>
      <c r="H59" s="425" t="str">
        <f>H$2</f>
        <v>2013-14</v>
      </c>
      <c r="I59" s="426"/>
      <c r="J59" s="426"/>
      <c r="K59" s="427"/>
      <c r="L59" s="428" t="str">
        <f>L$2</f>
        <v>2014-15</v>
      </c>
      <c r="M59" s="429"/>
      <c r="N59" s="429"/>
      <c r="O59" s="430"/>
      <c r="P59" s="431" t="str">
        <f>P$2</f>
        <v>2015-16</v>
      </c>
      <c r="Q59" s="432"/>
      <c r="R59" s="432"/>
      <c r="S59" s="433"/>
      <c r="T59" s="434" t="str">
        <f>T$2</f>
        <v>2016-17</v>
      </c>
      <c r="U59" s="435"/>
      <c r="V59" s="435"/>
      <c r="W59" s="436"/>
      <c r="X59" s="437" t="str">
        <f>X$2</f>
        <v>2017-18</v>
      </c>
      <c r="Y59" s="438"/>
      <c r="Z59" s="438"/>
      <c r="AA59" s="439"/>
      <c r="AB59" s="422" t="str">
        <f>AB$2</f>
        <v>2018-19</v>
      </c>
      <c r="AC59" s="423"/>
      <c r="AD59" s="423"/>
      <c r="AE59" s="424"/>
      <c r="AF59" s="425" t="str">
        <f>AF$2</f>
        <v>2019-20</v>
      </c>
      <c r="AG59" s="426"/>
      <c r="AH59" s="426"/>
      <c r="AI59" s="427"/>
      <c r="AJ59" s="428" t="str">
        <f>AJ$2</f>
        <v>2020-21</v>
      </c>
      <c r="AK59" s="429"/>
      <c r="AL59" s="429"/>
      <c r="AM59" s="430"/>
      <c r="AN59" s="431" t="str">
        <f>AN$2</f>
        <v>2021-22</v>
      </c>
      <c r="AO59" s="432"/>
      <c r="AP59" s="432"/>
      <c r="AQ59" s="433"/>
      <c r="AR59" s="434" t="str">
        <f>AR$2</f>
        <v>2022-23</v>
      </c>
      <c r="AS59" s="435"/>
      <c r="AT59" s="435"/>
      <c r="AU59" s="436"/>
    </row>
    <row r="60" spans="2:47" ht="15" customHeight="1">
      <c r="B60" s="7"/>
      <c r="C60" s="7"/>
      <c r="D60" s="462" t="s">
        <v>2</v>
      </c>
      <c r="E60" s="465" t="s">
        <v>3</v>
      </c>
      <c r="F60" s="453" t="s">
        <v>4</v>
      </c>
      <c r="G60" s="456" t="s">
        <v>21</v>
      </c>
      <c r="H60" s="462" t="s">
        <v>2</v>
      </c>
      <c r="I60" s="465" t="s">
        <v>3</v>
      </c>
      <c r="J60" s="453" t="s">
        <v>4</v>
      </c>
      <c r="K60" s="456" t="s">
        <v>21</v>
      </c>
      <c r="L60" s="462" t="s">
        <v>2</v>
      </c>
      <c r="M60" s="465" t="s">
        <v>3</v>
      </c>
      <c r="N60" s="453" t="s">
        <v>4</v>
      </c>
      <c r="O60" s="456" t="s">
        <v>21</v>
      </c>
      <c r="P60" s="462" t="s">
        <v>2</v>
      </c>
      <c r="Q60" s="465" t="s">
        <v>3</v>
      </c>
      <c r="R60" s="453" t="s">
        <v>4</v>
      </c>
      <c r="S60" s="456" t="s">
        <v>21</v>
      </c>
      <c r="T60" s="462" t="s">
        <v>2</v>
      </c>
      <c r="U60" s="465" t="s">
        <v>3</v>
      </c>
      <c r="V60" s="453" t="s">
        <v>4</v>
      </c>
      <c r="W60" s="456" t="s">
        <v>21</v>
      </c>
      <c r="X60" s="462" t="s">
        <v>2</v>
      </c>
      <c r="Y60" s="465" t="s">
        <v>3</v>
      </c>
      <c r="Z60" s="453" t="s">
        <v>4</v>
      </c>
      <c r="AA60" s="456" t="s">
        <v>21</v>
      </c>
      <c r="AB60" s="462" t="s">
        <v>2</v>
      </c>
      <c r="AC60" s="465" t="s">
        <v>3</v>
      </c>
      <c r="AD60" s="453" t="s">
        <v>4</v>
      </c>
      <c r="AE60" s="456" t="s">
        <v>21</v>
      </c>
      <c r="AF60" s="462" t="s">
        <v>2</v>
      </c>
      <c r="AG60" s="465" t="s">
        <v>3</v>
      </c>
      <c r="AH60" s="453" t="s">
        <v>4</v>
      </c>
      <c r="AI60" s="456" t="s">
        <v>21</v>
      </c>
      <c r="AJ60" s="462" t="s">
        <v>2</v>
      </c>
      <c r="AK60" s="465" t="s">
        <v>3</v>
      </c>
      <c r="AL60" s="453" t="s">
        <v>4</v>
      </c>
      <c r="AM60" s="456" t="s">
        <v>21</v>
      </c>
      <c r="AN60" s="462" t="s">
        <v>2</v>
      </c>
      <c r="AO60" s="465" t="s">
        <v>3</v>
      </c>
      <c r="AP60" s="453" t="s">
        <v>4</v>
      </c>
      <c r="AQ60" s="456" t="s">
        <v>21</v>
      </c>
      <c r="AR60" s="462" t="s">
        <v>2</v>
      </c>
      <c r="AS60" s="465" t="s">
        <v>3</v>
      </c>
      <c r="AT60" s="453" t="s">
        <v>4</v>
      </c>
      <c r="AU60" s="456" t="s">
        <v>21</v>
      </c>
    </row>
    <row r="61" spans="2:47">
      <c r="B61" s="7"/>
      <c r="C61" s="7"/>
      <c r="D61" s="463"/>
      <c r="E61" s="466"/>
      <c r="F61" s="454"/>
      <c r="G61" s="457"/>
      <c r="H61" s="463"/>
      <c r="I61" s="466"/>
      <c r="J61" s="454"/>
      <c r="K61" s="457"/>
      <c r="L61" s="463"/>
      <c r="M61" s="466"/>
      <c r="N61" s="454"/>
      <c r="O61" s="457"/>
      <c r="P61" s="463"/>
      <c r="Q61" s="466"/>
      <c r="R61" s="454"/>
      <c r="S61" s="457"/>
      <c r="T61" s="463"/>
      <c r="U61" s="466"/>
      <c r="V61" s="454"/>
      <c r="W61" s="457"/>
      <c r="X61" s="463"/>
      <c r="Y61" s="466"/>
      <c r="Z61" s="454"/>
      <c r="AA61" s="457"/>
      <c r="AB61" s="463"/>
      <c r="AC61" s="466"/>
      <c r="AD61" s="454"/>
      <c r="AE61" s="457"/>
      <c r="AF61" s="463"/>
      <c r="AG61" s="466"/>
      <c r="AH61" s="454"/>
      <c r="AI61" s="457"/>
      <c r="AJ61" s="463"/>
      <c r="AK61" s="466"/>
      <c r="AL61" s="454"/>
      <c r="AM61" s="457"/>
      <c r="AN61" s="463"/>
      <c r="AO61" s="466"/>
      <c r="AP61" s="454"/>
      <c r="AQ61" s="457"/>
      <c r="AR61" s="463"/>
      <c r="AS61" s="466"/>
      <c r="AT61" s="454"/>
      <c r="AU61" s="457"/>
    </row>
    <row r="62" spans="2:47">
      <c r="B62" s="144" t="s">
        <v>5</v>
      </c>
      <c r="C62" s="144" t="s">
        <v>6</v>
      </c>
      <c r="D62" s="464"/>
      <c r="E62" s="467"/>
      <c r="F62" s="455"/>
      <c r="G62" s="458"/>
      <c r="H62" s="464"/>
      <c r="I62" s="467"/>
      <c r="J62" s="455"/>
      <c r="K62" s="458"/>
      <c r="L62" s="464"/>
      <c r="M62" s="467"/>
      <c r="N62" s="455"/>
      <c r="O62" s="458"/>
      <c r="P62" s="464"/>
      <c r="Q62" s="467"/>
      <c r="R62" s="455"/>
      <c r="S62" s="458"/>
      <c r="T62" s="464"/>
      <c r="U62" s="467"/>
      <c r="V62" s="455"/>
      <c r="W62" s="458"/>
      <c r="X62" s="464"/>
      <c r="Y62" s="467"/>
      <c r="Z62" s="455"/>
      <c r="AA62" s="458"/>
      <c r="AB62" s="464"/>
      <c r="AC62" s="467"/>
      <c r="AD62" s="455"/>
      <c r="AE62" s="458"/>
      <c r="AF62" s="464"/>
      <c r="AG62" s="467"/>
      <c r="AH62" s="455"/>
      <c r="AI62" s="458"/>
      <c r="AJ62" s="464"/>
      <c r="AK62" s="467"/>
      <c r="AL62" s="455"/>
      <c r="AM62" s="458"/>
      <c r="AN62" s="464"/>
      <c r="AO62" s="467"/>
      <c r="AP62" s="455"/>
      <c r="AQ62" s="458"/>
      <c r="AR62" s="464"/>
      <c r="AS62" s="467"/>
      <c r="AT62" s="455"/>
      <c r="AU62" s="458"/>
    </row>
    <row r="63" spans="2:47">
      <c r="B63" s="459" t="s">
        <v>7</v>
      </c>
      <c r="C63" s="10" t="s">
        <v>8</v>
      </c>
      <c r="D63" s="113">
        <v>0</v>
      </c>
      <c r="E63" s="114">
        <v>0</v>
      </c>
      <c r="F63" s="3">
        <f>E63/30</f>
        <v>0</v>
      </c>
      <c r="G63" s="95"/>
      <c r="H63" s="113">
        <v>0</v>
      </c>
      <c r="I63" s="114">
        <v>0</v>
      </c>
      <c r="J63" s="3">
        <f>I63/30</f>
        <v>0</v>
      </c>
      <c r="K63" s="27"/>
      <c r="L63" s="113">
        <v>0</v>
      </c>
      <c r="M63" s="114">
        <v>0</v>
      </c>
      <c r="N63" s="3">
        <f>M63/30</f>
        <v>0</v>
      </c>
      <c r="O63" s="27"/>
      <c r="P63" s="113">
        <v>0</v>
      </c>
      <c r="Q63" s="114">
        <v>0</v>
      </c>
      <c r="R63" s="3">
        <f>Q63/30</f>
        <v>0</v>
      </c>
      <c r="S63" s="27"/>
      <c r="T63" s="113">
        <v>0</v>
      </c>
      <c r="U63" s="114">
        <v>0</v>
      </c>
      <c r="V63" s="3">
        <f>U63/30</f>
        <v>0</v>
      </c>
      <c r="W63" s="27"/>
      <c r="X63" s="113">
        <v>0</v>
      </c>
      <c r="Y63" s="114">
        <v>0</v>
      </c>
      <c r="Z63" s="3">
        <f>Y63/30</f>
        <v>0</v>
      </c>
      <c r="AA63" s="27">
        <v>0</v>
      </c>
      <c r="AB63" s="113">
        <v>0</v>
      </c>
      <c r="AC63" s="114">
        <v>0</v>
      </c>
      <c r="AD63" s="3">
        <f>AC63/30</f>
        <v>0</v>
      </c>
      <c r="AE63" s="27">
        <v>0</v>
      </c>
      <c r="AF63" s="113">
        <v>0</v>
      </c>
      <c r="AG63" s="114">
        <v>0</v>
      </c>
      <c r="AH63" s="3">
        <f>AG63/30</f>
        <v>0</v>
      </c>
      <c r="AI63" s="27">
        <f>-24944+24944</f>
        <v>0</v>
      </c>
      <c r="AJ63" s="113">
        <v>0</v>
      </c>
      <c r="AK63" s="114">
        <v>0</v>
      </c>
      <c r="AL63" s="3">
        <f>AK63/30</f>
        <v>0</v>
      </c>
      <c r="AM63" s="27">
        <f>-19479+19479</f>
        <v>0</v>
      </c>
      <c r="AN63" s="113">
        <v>0</v>
      </c>
      <c r="AO63" s="114">
        <v>0</v>
      </c>
      <c r="AP63" s="3">
        <f>AO63/30</f>
        <v>0</v>
      </c>
      <c r="AQ63" s="27">
        <v>0</v>
      </c>
      <c r="AR63" s="1"/>
      <c r="AS63" s="2"/>
      <c r="AT63" s="3">
        <f>AS63/30</f>
        <v>0</v>
      </c>
      <c r="AU63" s="29">
        <v>0</v>
      </c>
    </row>
    <row r="64" spans="2:47">
      <c r="B64" s="460"/>
      <c r="C64" s="10" t="s">
        <v>9</v>
      </c>
      <c r="D64" s="113">
        <v>0</v>
      </c>
      <c r="E64" s="114">
        <v>0</v>
      </c>
      <c r="F64" s="3">
        <f>E64/30</f>
        <v>0</v>
      </c>
      <c r="G64" s="95"/>
      <c r="H64" s="113">
        <v>0</v>
      </c>
      <c r="I64" s="114">
        <v>0</v>
      </c>
      <c r="J64" s="3">
        <f>I64/30</f>
        <v>0</v>
      </c>
      <c r="K64" s="27"/>
      <c r="L64" s="113">
        <v>0</v>
      </c>
      <c r="M64" s="114">
        <v>0</v>
      </c>
      <c r="N64" s="3">
        <f>M64/30</f>
        <v>0</v>
      </c>
      <c r="O64" s="27"/>
      <c r="P64" s="113">
        <v>0</v>
      </c>
      <c r="Q64" s="114">
        <v>0</v>
      </c>
      <c r="R64" s="3">
        <f>Q64/30</f>
        <v>0</v>
      </c>
      <c r="S64" s="27"/>
      <c r="T64" s="113">
        <v>0</v>
      </c>
      <c r="U64" s="114">
        <v>0</v>
      </c>
      <c r="V64" s="3">
        <f>U64/30</f>
        <v>0</v>
      </c>
      <c r="W64" s="27"/>
      <c r="X64" s="113">
        <v>0</v>
      </c>
      <c r="Y64" s="114">
        <v>0</v>
      </c>
      <c r="Z64" s="3">
        <f>Y64/30</f>
        <v>0</v>
      </c>
      <c r="AA64" s="27">
        <v>0</v>
      </c>
      <c r="AB64" s="113">
        <v>0</v>
      </c>
      <c r="AC64" s="114">
        <v>0</v>
      </c>
      <c r="AD64" s="3">
        <f>AC64/30</f>
        <v>0</v>
      </c>
      <c r="AE64" s="27">
        <v>0</v>
      </c>
      <c r="AF64" s="113">
        <v>0</v>
      </c>
      <c r="AG64" s="114">
        <v>0</v>
      </c>
      <c r="AH64" s="3">
        <f>AG64/30</f>
        <v>0</v>
      </c>
      <c r="AI64" s="27">
        <v>0</v>
      </c>
      <c r="AJ64" s="113">
        <v>0</v>
      </c>
      <c r="AK64" s="114">
        <v>0</v>
      </c>
      <c r="AL64" s="3">
        <f>AK64/30</f>
        <v>0</v>
      </c>
      <c r="AM64" s="27">
        <v>0</v>
      </c>
      <c r="AN64" s="113">
        <v>0</v>
      </c>
      <c r="AO64" s="114">
        <v>0</v>
      </c>
      <c r="AP64" s="3">
        <f>AO64/30</f>
        <v>0</v>
      </c>
      <c r="AQ64" s="27">
        <v>0</v>
      </c>
      <c r="AR64" s="1"/>
      <c r="AS64" s="2"/>
      <c r="AT64" s="3">
        <f>AS64/30</f>
        <v>0</v>
      </c>
      <c r="AU64" s="29">
        <v>0</v>
      </c>
    </row>
    <row r="65" spans="2:47">
      <c r="B65" s="461"/>
      <c r="C65" s="11" t="s">
        <v>10</v>
      </c>
      <c r="D65" s="4">
        <f t="shared" ref="D65:Y65" si="55">SUM(D63:D64)</f>
        <v>0</v>
      </c>
      <c r="E65" s="3">
        <f t="shared" si="55"/>
        <v>0</v>
      </c>
      <c r="F65" s="3">
        <f>SUM(F63:F64)</f>
        <v>0</v>
      </c>
      <c r="G65" s="26">
        <v>0</v>
      </c>
      <c r="H65" s="4">
        <f t="shared" si="55"/>
        <v>0</v>
      </c>
      <c r="I65" s="3">
        <f t="shared" si="55"/>
        <v>0</v>
      </c>
      <c r="J65" s="3">
        <f>SUM(J63:J64)</f>
        <v>0</v>
      </c>
      <c r="K65" s="26">
        <f>SUM(K63:K64)</f>
        <v>0</v>
      </c>
      <c r="L65" s="4">
        <f t="shared" si="55"/>
        <v>0</v>
      </c>
      <c r="M65" s="3">
        <f t="shared" si="55"/>
        <v>0</v>
      </c>
      <c r="N65" s="3">
        <f>SUM(N63:N64)</f>
        <v>0</v>
      </c>
      <c r="O65" s="26">
        <f>SUM(O63:O64)</f>
        <v>0</v>
      </c>
      <c r="P65" s="4">
        <f t="shared" si="55"/>
        <v>0</v>
      </c>
      <c r="Q65" s="3">
        <f t="shared" si="55"/>
        <v>0</v>
      </c>
      <c r="R65" s="3">
        <f>SUM(R63:R64)</f>
        <v>0</v>
      </c>
      <c r="S65" s="26">
        <f>SUM(S63:S64)</f>
        <v>0</v>
      </c>
      <c r="T65" s="4">
        <f t="shared" si="55"/>
        <v>0</v>
      </c>
      <c r="U65" s="3">
        <f t="shared" si="55"/>
        <v>0</v>
      </c>
      <c r="V65" s="3">
        <f>SUM(V63:V64)</f>
        <v>0</v>
      </c>
      <c r="W65" s="26">
        <f>SUM(W63:W64)</f>
        <v>0</v>
      </c>
      <c r="X65" s="4">
        <f t="shared" si="55"/>
        <v>0</v>
      </c>
      <c r="Y65" s="3">
        <f t="shared" si="55"/>
        <v>0</v>
      </c>
      <c r="Z65" s="3">
        <f>SUM(Z63:Z64)</f>
        <v>0</v>
      </c>
      <c r="AA65" s="26">
        <f t="shared" ref="AA65" si="56">SUM(AA63:AA64)</f>
        <v>0</v>
      </c>
      <c r="AB65" s="4">
        <f>SUM(AB63:AB64)</f>
        <v>0</v>
      </c>
      <c r="AC65" s="3">
        <f>SUM(AC63:AC64)</f>
        <v>0</v>
      </c>
      <c r="AD65" s="3">
        <f>SUM(AD63:AD64)</f>
        <v>0</v>
      </c>
      <c r="AE65" s="26">
        <f t="shared" ref="AE65" si="57">SUM(AE63:AE64)</f>
        <v>0</v>
      </c>
      <c r="AF65" s="4">
        <f>SUM(AF63:AF64)</f>
        <v>0</v>
      </c>
      <c r="AG65" s="3">
        <f>SUM(AG63:AG64)</f>
        <v>0</v>
      </c>
      <c r="AH65" s="3">
        <f>SUM(AH63:AH64)</f>
        <v>0</v>
      </c>
      <c r="AI65" s="26">
        <f t="shared" ref="AI65" si="58">SUM(AI63:AI64)</f>
        <v>0</v>
      </c>
      <c r="AJ65" s="4">
        <f>SUM(AJ63:AJ64)</f>
        <v>0</v>
      </c>
      <c r="AK65" s="3">
        <f>SUM(AK63:AK64)</f>
        <v>0</v>
      </c>
      <c r="AL65" s="3">
        <f>SUM(AL63:AL64)</f>
        <v>0</v>
      </c>
      <c r="AM65" s="26">
        <f t="shared" ref="AM65" si="59">SUM(AM63:AM64)</f>
        <v>0</v>
      </c>
      <c r="AN65" s="4">
        <f>SUM(AN63:AN64)</f>
        <v>0</v>
      </c>
      <c r="AO65" s="3">
        <f>SUM(AO63:AO64)</f>
        <v>0</v>
      </c>
      <c r="AP65" s="3">
        <f>SUM(AP63:AP64)</f>
        <v>0</v>
      </c>
      <c r="AQ65" s="26">
        <f t="shared" ref="AQ65:AU65" si="60">SUM(AQ63:AQ64)</f>
        <v>0</v>
      </c>
      <c r="AR65" s="4">
        <f t="shared" si="60"/>
        <v>0</v>
      </c>
      <c r="AS65" s="3">
        <f t="shared" si="60"/>
        <v>0</v>
      </c>
      <c r="AT65" s="3">
        <f t="shared" si="60"/>
        <v>0</v>
      </c>
      <c r="AU65" s="26">
        <f t="shared" si="60"/>
        <v>0</v>
      </c>
    </row>
    <row r="66" spans="2:47">
      <c r="B66" s="8"/>
      <c r="C66" s="9"/>
      <c r="D66" s="5"/>
      <c r="E66" s="6"/>
      <c r="H66" s="5"/>
      <c r="I66" s="6"/>
      <c r="L66" s="5"/>
      <c r="M66" s="6"/>
      <c r="P66" s="5"/>
      <c r="Q66" s="6"/>
      <c r="T66" s="5"/>
      <c r="U66" s="6"/>
      <c r="X66" s="5"/>
      <c r="Y66" s="6"/>
      <c r="AB66" s="5"/>
      <c r="AC66" s="6"/>
      <c r="AF66" s="5"/>
      <c r="AG66" s="6"/>
      <c r="AH66" s="153" t="s">
        <v>299</v>
      </c>
      <c r="AI66" s="150">
        <v>-24944</v>
      </c>
      <c r="AJ66" s="5"/>
      <c r="AK66" s="6"/>
      <c r="AN66" s="5"/>
      <c r="AO66" s="6"/>
      <c r="AR66" s="5"/>
      <c r="AS66" s="6"/>
    </row>
    <row r="67" spans="2:47">
      <c r="B67" s="459" t="s">
        <v>11</v>
      </c>
      <c r="C67" s="10" t="s">
        <v>8</v>
      </c>
      <c r="D67" s="113">
        <v>0</v>
      </c>
      <c r="E67" s="114">
        <v>11</v>
      </c>
      <c r="F67" s="3">
        <f>E67/24</f>
        <v>0.45833333333333331</v>
      </c>
      <c r="G67" s="27">
        <v>3603149</v>
      </c>
      <c r="H67" s="113">
        <v>0</v>
      </c>
      <c r="I67" s="114">
        <v>37</v>
      </c>
      <c r="J67" s="3">
        <f>I67/24</f>
        <v>1.5416666666666667</v>
      </c>
      <c r="K67" s="27">
        <v>3666452</v>
      </c>
      <c r="L67" s="113">
        <v>1</v>
      </c>
      <c r="M67" s="114">
        <v>25</v>
      </c>
      <c r="N67" s="3">
        <f>M67/24</f>
        <v>1.0416666666666667</v>
      </c>
      <c r="O67" s="27">
        <v>3941319</v>
      </c>
      <c r="P67" s="113">
        <v>2</v>
      </c>
      <c r="Q67" s="114">
        <v>41</v>
      </c>
      <c r="R67" s="3">
        <f>Q67/24</f>
        <v>1.7083333333333333</v>
      </c>
      <c r="S67" s="27">
        <v>3785505</v>
      </c>
      <c r="T67" s="113">
        <v>3</v>
      </c>
      <c r="U67" s="114">
        <v>55</v>
      </c>
      <c r="V67" s="3">
        <f>U67/24</f>
        <v>2.2916666666666665</v>
      </c>
      <c r="W67" s="27">
        <v>3883171</v>
      </c>
      <c r="X67" s="113">
        <v>12</v>
      </c>
      <c r="Y67" s="114">
        <v>99</v>
      </c>
      <c r="Z67" s="3">
        <f>Y67/24</f>
        <v>4.125</v>
      </c>
      <c r="AA67" s="27">
        <v>40758</v>
      </c>
      <c r="AB67" s="113">
        <v>0</v>
      </c>
      <c r="AC67" s="114">
        <v>108</v>
      </c>
      <c r="AD67" s="3">
        <f>AC67/24</f>
        <v>4.5</v>
      </c>
      <c r="AE67" s="27">
        <v>35517.5</v>
      </c>
      <c r="AF67" s="113">
        <v>9</v>
      </c>
      <c r="AG67" s="114">
        <v>184</v>
      </c>
      <c r="AH67" s="3">
        <f>AG67/24</f>
        <v>7.666666666666667</v>
      </c>
      <c r="AI67" s="27">
        <v>65817</v>
      </c>
      <c r="AJ67" s="113">
        <v>11</v>
      </c>
      <c r="AK67" s="114">
        <v>185</v>
      </c>
      <c r="AL67" s="3">
        <f>AK67/24</f>
        <v>7.708333333333333</v>
      </c>
      <c r="AM67" s="27">
        <v>45694</v>
      </c>
      <c r="AN67" s="113">
        <v>19</v>
      </c>
      <c r="AO67" s="114">
        <v>215</v>
      </c>
      <c r="AP67" s="3">
        <f>AO67/24</f>
        <v>8.9583333333333339</v>
      </c>
      <c r="AQ67" s="27">
        <v>61893</v>
      </c>
      <c r="AR67" s="1">
        <v>11</v>
      </c>
      <c r="AS67" s="2">
        <v>286</v>
      </c>
      <c r="AT67" s="3">
        <f>AS67/24</f>
        <v>11.916666666666666</v>
      </c>
      <c r="AU67" s="29">
        <v>46548</v>
      </c>
    </row>
    <row r="68" spans="2:47">
      <c r="B68" s="460"/>
      <c r="C68" s="10" t="s">
        <v>9</v>
      </c>
      <c r="D68" s="113">
        <v>0</v>
      </c>
      <c r="E68" s="114">
        <v>801</v>
      </c>
      <c r="F68" s="3">
        <f>E68/24</f>
        <v>33.375</v>
      </c>
      <c r="G68" s="27">
        <v>1889488</v>
      </c>
      <c r="H68" s="113">
        <v>0</v>
      </c>
      <c r="I68" s="114">
        <v>984</v>
      </c>
      <c r="J68" s="3">
        <f>I68/24</f>
        <v>41</v>
      </c>
      <c r="K68" s="27">
        <v>2245166</v>
      </c>
      <c r="L68" s="113">
        <v>46</v>
      </c>
      <c r="M68" s="114">
        <v>1021</v>
      </c>
      <c r="N68" s="3">
        <f>M68/24</f>
        <v>42.541666666666664</v>
      </c>
      <c r="O68" s="27">
        <v>2113604</v>
      </c>
      <c r="P68" s="113">
        <v>57</v>
      </c>
      <c r="Q68" s="114">
        <v>1108</v>
      </c>
      <c r="R68" s="3">
        <f>Q68/24</f>
        <v>46.166666666666664</v>
      </c>
      <c r="S68" s="27">
        <v>2389724</v>
      </c>
      <c r="T68" s="113">
        <v>51</v>
      </c>
      <c r="U68" s="114">
        <v>936</v>
      </c>
      <c r="V68" s="3">
        <f>U68/24</f>
        <v>39</v>
      </c>
      <c r="W68" s="27">
        <v>2010569</v>
      </c>
      <c r="X68" s="113">
        <v>73</v>
      </c>
      <c r="Y68" s="114">
        <v>1022</v>
      </c>
      <c r="Z68" s="3">
        <f>Y68/24</f>
        <v>42.583333333333336</v>
      </c>
      <c r="AA68" s="27">
        <v>985254</v>
      </c>
      <c r="AB68" s="113">
        <v>1</v>
      </c>
      <c r="AC68" s="114">
        <v>902</v>
      </c>
      <c r="AD68" s="3">
        <f>AC68/24</f>
        <v>37.583333333333336</v>
      </c>
      <c r="AE68" s="27">
        <f>725281+4626.25</f>
        <v>729907.25</v>
      </c>
      <c r="AF68" s="113">
        <v>59</v>
      </c>
      <c r="AG68" s="114">
        <v>1057</v>
      </c>
      <c r="AH68" s="3">
        <f>AG68/24</f>
        <v>44.041666666666664</v>
      </c>
      <c r="AI68" s="27">
        <v>906303</v>
      </c>
      <c r="AJ68" s="113">
        <v>50</v>
      </c>
      <c r="AK68" s="114">
        <v>824</v>
      </c>
      <c r="AL68" s="3">
        <f>AK68/24</f>
        <v>34.333333333333336</v>
      </c>
      <c r="AM68" s="27">
        <v>790393</v>
      </c>
      <c r="AN68" s="113">
        <v>53</v>
      </c>
      <c r="AO68" s="114">
        <v>696</v>
      </c>
      <c r="AP68" s="3">
        <f>AO68/24</f>
        <v>29</v>
      </c>
      <c r="AQ68" s="27">
        <v>640448</v>
      </c>
      <c r="AR68" s="1">
        <v>55</v>
      </c>
      <c r="AS68" s="2">
        <v>927</v>
      </c>
      <c r="AT68" s="3">
        <f>AS68/24</f>
        <v>38.625</v>
      </c>
      <c r="AU68" s="29">
        <v>792909</v>
      </c>
    </row>
    <row r="69" spans="2:47">
      <c r="B69" s="461"/>
      <c r="C69" s="11" t="s">
        <v>10</v>
      </c>
      <c r="D69" s="4">
        <f t="shared" ref="D69:AA69" si="61">SUM(D67:D68)</f>
        <v>0</v>
      </c>
      <c r="E69" s="3">
        <f t="shared" si="61"/>
        <v>812</v>
      </c>
      <c r="F69" s="3">
        <f t="shared" si="61"/>
        <v>33.833333333333336</v>
      </c>
      <c r="G69" s="26">
        <f>SUM(G67:G68)</f>
        <v>5492637</v>
      </c>
      <c r="H69" s="4">
        <f t="shared" si="61"/>
        <v>0</v>
      </c>
      <c r="I69" s="3">
        <f t="shared" si="61"/>
        <v>1021</v>
      </c>
      <c r="J69" s="3">
        <f t="shared" si="61"/>
        <v>42.541666666666664</v>
      </c>
      <c r="K69" s="26">
        <f>SUM(K67:K68)</f>
        <v>5911618</v>
      </c>
      <c r="L69" s="4">
        <f t="shared" si="61"/>
        <v>47</v>
      </c>
      <c r="M69" s="3">
        <f t="shared" si="61"/>
        <v>1046</v>
      </c>
      <c r="N69" s="3">
        <f t="shared" si="61"/>
        <v>43.583333333333329</v>
      </c>
      <c r="O69" s="26">
        <f>SUM(O67:O68)</f>
        <v>6054923</v>
      </c>
      <c r="P69" s="4">
        <f t="shared" si="61"/>
        <v>59</v>
      </c>
      <c r="Q69" s="3">
        <f t="shared" si="61"/>
        <v>1149</v>
      </c>
      <c r="R69" s="3">
        <f t="shared" si="61"/>
        <v>47.875</v>
      </c>
      <c r="S69" s="26">
        <f>SUM(S67:S68)</f>
        <v>6175229</v>
      </c>
      <c r="T69" s="4">
        <f t="shared" si="61"/>
        <v>54</v>
      </c>
      <c r="U69" s="3">
        <f t="shared" si="61"/>
        <v>991</v>
      </c>
      <c r="V69" s="3">
        <f t="shared" si="61"/>
        <v>41.291666666666664</v>
      </c>
      <c r="W69" s="26">
        <f>SUM(W67:W68)</f>
        <v>5893740</v>
      </c>
      <c r="X69" s="4">
        <f t="shared" si="61"/>
        <v>85</v>
      </c>
      <c r="Y69" s="3">
        <f t="shared" si="61"/>
        <v>1121</v>
      </c>
      <c r="Z69" s="3">
        <f t="shared" si="61"/>
        <v>46.708333333333336</v>
      </c>
      <c r="AA69" s="26">
        <f t="shared" si="61"/>
        <v>1026012</v>
      </c>
      <c r="AB69" s="4">
        <f>SUM(AB67:AB68)</f>
        <v>1</v>
      </c>
      <c r="AC69" s="3">
        <f>SUM(AC67:AC68)</f>
        <v>1010</v>
      </c>
      <c r="AD69" s="3">
        <f>SUM(AD67:AD68)</f>
        <v>42.083333333333336</v>
      </c>
      <c r="AE69" s="26">
        <f t="shared" ref="AE69" si="62">SUM(AE67:AE68)</f>
        <v>765424.75</v>
      </c>
      <c r="AF69" s="4">
        <f>SUM(AF67:AF68)</f>
        <v>68</v>
      </c>
      <c r="AG69" s="3">
        <f>SUM(AG67:AG68)</f>
        <v>1241</v>
      </c>
      <c r="AH69" s="3">
        <f>SUM(AH67:AH68)</f>
        <v>51.708333333333329</v>
      </c>
      <c r="AI69" s="26">
        <f t="shared" ref="AI69" si="63">SUM(AI67:AI68)</f>
        <v>972120</v>
      </c>
      <c r="AJ69" s="4">
        <f>SUM(AJ67:AJ68)</f>
        <v>61</v>
      </c>
      <c r="AK69" s="3">
        <f>SUM(AK67:AK68)</f>
        <v>1009</v>
      </c>
      <c r="AL69" s="3">
        <f>SUM(AL67:AL68)</f>
        <v>42.041666666666671</v>
      </c>
      <c r="AM69" s="26">
        <f t="shared" ref="AM69" si="64">SUM(AM67:AM68)</f>
        <v>836087</v>
      </c>
      <c r="AN69" s="4">
        <f>SUM(AN67:AN68)</f>
        <v>72</v>
      </c>
      <c r="AO69" s="3">
        <f>SUM(AO67:AO68)</f>
        <v>911</v>
      </c>
      <c r="AP69" s="3">
        <f>SUM(AP67:AP68)</f>
        <v>37.958333333333336</v>
      </c>
      <c r="AQ69" s="26">
        <f t="shared" ref="AQ69" si="65">SUM(AQ67:AQ68)</f>
        <v>702341</v>
      </c>
      <c r="AR69" s="4">
        <f t="shared" ref="AR69:AU69" si="66">SUM(AR67:AR68)</f>
        <v>66</v>
      </c>
      <c r="AS69" s="3">
        <f t="shared" si="66"/>
        <v>1213</v>
      </c>
      <c r="AT69" s="3">
        <f t="shared" si="66"/>
        <v>50.541666666666664</v>
      </c>
      <c r="AU69" s="26">
        <f t="shared" si="66"/>
        <v>839457</v>
      </c>
    </row>
    <row r="70" spans="2:47">
      <c r="B70" s="8"/>
      <c r="C70" s="9"/>
      <c r="D70" s="5"/>
      <c r="E70" s="6"/>
      <c r="G70" s="6"/>
      <c r="H70" s="6"/>
      <c r="I70" s="6"/>
      <c r="K70" s="6"/>
      <c r="L70" s="6"/>
      <c r="M70" s="6"/>
      <c r="O70" s="6"/>
      <c r="P70" s="6"/>
      <c r="Q70" s="6"/>
      <c r="S70" s="6"/>
      <c r="T70" s="6"/>
      <c r="U70" s="6"/>
      <c r="W70" s="6"/>
      <c r="X70" s="6"/>
      <c r="Y70" s="6"/>
      <c r="Z70" s="153"/>
      <c r="AA70" s="150"/>
      <c r="AB70" s="5"/>
      <c r="AC70" s="6"/>
      <c r="AD70" s="153"/>
      <c r="AE70" s="150"/>
      <c r="AF70" s="5"/>
      <c r="AG70" s="6"/>
      <c r="AH70" s="153"/>
      <c r="AI70" s="150"/>
      <c r="AJ70" s="5"/>
      <c r="AK70" s="6"/>
      <c r="AN70" s="5"/>
      <c r="AO70" s="6"/>
      <c r="AR70" s="5"/>
      <c r="AS70" s="6"/>
    </row>
    <row r="71" spans="2:47">
      <c r="B71" s="459" t="s">
        <v>12</v>
      </c>
      <c r="C71" s="10" t="s">
        <v>8</v>
      </c>
      <c r="D71" s="113">
        <v>0</v>
      </c>
      <c r="E71" s="114">
        <v>7915</v>
      </c>
      <c r="F71" s="3">
        <f>E71/24</f>
        <v>329.79166666666669</v>
      </c>
      <c r="G71" s="27"/>
      <c r="H71" s="113">
        <v>0</v>
      </c>
      <c r="I71" s="114">
        <v>7567</v>
      </c>
      <c r="J71" s="3">
        <f>I71/24</f>
        <v>315.29166666666669</v>
      </c>
      <c r="K71" s="27"/>
      <c r="L71" s="113">
        <v>211</v>
      </c>
      <c r="M71" s="114">
        <v>8002</v>
      </c>
      <c r="N71" s="3">
        <f>M71/24</f>
        <v>333.41666666666669</v>
      </c>
      <c r="O71" s="27"/>
      <c r="P71" s="113">
        <v>213</v>
      </c>
      <c r="Q71" s="114">
        <v>8167.5</v>
      </c>
      <c r="R71" s="3">
        <f>Q71/24</f>
        <v>340.3125</v>
      </c>
      <c r="S71" s="27"/>
      <c r="T71" s="113">
        <v>201</v>
      </c>
      <c r="U71" s="114">
        <v>7728</v>
      </c>
      <c r="V71" s="3">
        <f>U71/24</f>
        <v>322</v>
      </c>
      <c r="W71" s="27"/>
      <c r="X71" s="113">
        <v>196</v>
      </c>
      <c r="Y71" s="114">
        <v>7008.5</v>
      </c>
      <c r="Z71" s="3">
        <f>Y71/24</f>
        <v>292.02083333333331</v>
      </c>
      <c r="AA71" s="27">
        <v>4124204.45</v>
      </c>
      <c r="AB71" s="113">
        <v>200</v>
      </c>
      <c r="AC71" s="114">
        <f>4328+3191.5</f>
        <v>7519.5</v>
      </c>
      <c r="AD71" s="3">
        <f>AC71/24</f>
        <v>313.3125</v>
      </c>
      <c r="AE71" s="27">
        <v>4596873.5</v>
      </c>
      <c r="AF71" s="113">
        <v>194</v>
      </c>
      <c r="AG71" s="114">
        <v>7331.5</v>
      </c>
      <c r="AH71" s="3">
        <f>AG71/24</f>
        <v>305.47916666666669</v>
      </c>
      <c r="AI71" s="27">
        <f>4589671-24944</f>
        <v>4564727</v>
      </c>
      <c r="AJ71" s="113">
        <v>197</v>
      </c>
      <c r="AK71" s="114">
        <v>7579</v>
      </c>
      <c r="AL71" s="3">
        <f>AK71/24</f>
        <v>315.79166666666669</v>
      </c>
      <c r="AM71" s="27">
        <f>5323850-19479</f>
        <v>5304371</v>
      </c>
      <c r="AN71" s="113">
        <v>196</v>
      </c>
      <c r="AO71" s="114">
        <v>7641</v>
      </c>
      <c r="AP71" s="3">
        <f>AO71/24</f>
        <v>318.375</v>
      </c>
      <c r="AQ71" s="27">
        <v>5054485.5999999996</v>
      </c>
      <c r="AR71" s="1">
        <v>167</v>
      </c>
      <c r="AS71" s="2">
        <v>6586.5</v>
      </c>
      <c r="AT71" s="3">
        <f>AS71/24</f>
        <v>274.4375</v>
      </c>
      <c r="AU71" s="29">
        <v>4237135</v>
      </c>
    </row>
    <row r="72" spans="2:47">
      <c r="B72" s="460"/>
      <c r="C72" s="10" t="s">
        <v>9</v>
      </c>
      <c r="D72" s="113">
        <v>0</v>
      </c>
      <c r="E72" s="114">
        <v>858</v>
      </c>
      <c r="F72" s="3">
        <f>E72/24</f>
        <v>35.75</v>
      </c>
      <c r="G72" s="27"/>
      <c r="H72" s="113">
        <v>0</v>
      </c>
      <c r="I72" s="114">
        <v>970</v>
      </c>
      <c r="J72" s="3">
        <f>I72/24</f>
        <v>40.416666666666664</v>
      </c>
      <c r="K72" s="27"/>
      <c r="L72" s="113">
        <v>34</v>
      </c>
      <c r="M72" s="114">
        <v>1247</v>
      </c>
      <c r="N72" s="3">
        <f>M72/24</f>
        <v>51.958333333333336</v>
      </c>
      <c r="O72" s="27"/>
      <c r="P72" s="113">
        <v>37</v>
      </c>
      <c r="Q72" s="114">
        <v>1396</v>
      </c>
      <c r="R72" s="3">
        <f>Q72/24</f>
        <v>58.166666666666664</v>
      </c>
      <c r="S72" s="27"/>
      <c r="T72" s="113">
        <v>39</v>
      </c>
      <c r="U72" s="114">
        <v>1524</v>
      </c>
      <c r="V72" s="3">
        <f>U72/24</f>
        <v>63.5</v>
      </c>
      <c r="W72" s="27"/>
      <c r="X72" s="113">
        <v>44</v>
      </c>
      <c r="Y72" s="114">
        <v>1582.5</v>
      </c>
      <c r="Z72" s="3">
        <f>Y72/24</f>
        <v>65.9375</v>
      </c>
      <c r="AA72" s="27">
        <v>1049421</v>
      </c>
      <c r="AB72" s="113">
        <v>45</v>
      </c>
      <c r="AC72" s="114">
        <f>1021.5+731.5+0</f>
        <v>1753</v>
      </c>
      <c r="AD72" s="3">
        <f>AC72/24</f>
        <v>73.041666666666671</v>
      </c>
      <c r="AE72" s="27">
        <v>637171.5</v>
      </c>
      <c r="AF72" s="113">
        <v>42</v>
      </c>
      <c r="AG72" s="114">
        <v>1660.5</v>
      </c>
      <c r="AH72" s="3">
        <f>AG72/24</f>
        <v>69.1875</v>
      </c>
      <c r="AI72" s="27">
        <v>1410107</v>
      </c>
      <c r="AJ72" s="113">
        <v>38</v>
      </c>
      <c r="AK72" s="114">
        <v>1595.5</v>
      </c>
      <c r="AL72" s="3">
        <f>AK72/24</f>
        <v>66.479166666666671</v>
      </c>
      <c r="AM72" s="27">
        <v>1259527.75</v>
      </c>
      <c r="AN72" s="113">
        <v>34</v>
      </c>
      <c r="AO72" s="114">
        <v>1293</v>
      </c>
      <c r="AP72" s="3">
        <f>AO72/24</f>
        <v>53.875</v>
      </c>
      <c r="AQ72" s="27">
        <v>857010</v>
      </c>
      <c r="AR72" s="1">
        <v>25</v>
      </c>
      <c r="AS72" s="2">
        <v>1634</v>
      </c>
      <c r="AT72" s="3">
        <f>AS72/24</f>
        <v>68.083333333333329</v>
      </c>
      <c r="AU72" s="29">
        <v>569225</v>
      </c>
    </row>
    <row r="73" spans="2:47">
      <c r="B73" s="461"/>
      <c r="C73" s="11" t="s">
        <v>10</v>
      </c>
      <c r="D73" s="4">
        <f t="shared" ref="D73:Z73" si="67">SUM(D71:D72)</f>
        <v>0</v>
      </c>
      <c r="E73" s="3">
        <f t="shared" si="67"/>
        <v>8773</v>
      </c>
      <c r="F73" s="3">
        <f t="shared" si="67"/>
        <v>365.54166666666669</v>
      </c>
      <c r="G73" s="26">
        <f>SUM(G71:G72)</f>
        <v>0</v>
      </c>
      <c r="H73" s="4">
        <f t="shared" si="67"/>
        <v>0</v>
      </c>
      <c r="I73" s="3">
        <f t="shared" si="67"/>
        <v>8537</v>
      </c>
      <c r="J73" s="3">
        <f t="shared" si="67"/>
        <v>355.70833333333337</v>
      </c>
      <c r="K73" s="26">
        <f>SUM(K71:K72)</f>
        <v>0</v>
      </c>
      <c r="L73" s="4">
        <f t="shared" si="67"/>
        <v>245</v>
      </c>
      <c r="M73" s="3">
        <f t="shared" si="67"/>
        <v>9249</v>
      </c>
      <c r="N73" s="3">
        <f t="shared" si="67"/>
        <v>385.375</v>
      </c>
      <c r="O73" s="26">
        <f>SUM(O71:O72)</f>
        <v>0</v>
      </c>
      <c r="P73" s="4">
        <f t="shared" si="67"/>
        <v>250</v>
      </c>
      <c r="Q73" s="3">
        <f t="shared" si="67"/>
        <v>9563.5</v>
      </c>
      <c r="R73" s="3">
        <f t="shared" si="67"/>
        <v>398.47916666666669</v>
      </c>
      <c r="S73" s="26">
        <f>SUM(S71:S72)</f>
        <v>0</v>
      </c>
      <c r="T73" s="4">
        <f t="shared" si="67"/>
        <v>240</v>
      </c>
      <c r="U73" s="3">
        <f t="shared" si="67"/>
        <v>9252</v>
      </c>
      <c r="V73" s="3">
        <f t="shared" si="67"/>
        <v>385.5</v>
      </c>
      <c r="W73" s="26">
        <f>SUM(W71:W72)</f>
        <v>0</v>
      </c>
      <c r="X73" s="4">
        <f t="shared" si="67"/>
        <v>240</v>
      </c>
      <c r="Y73" s="3">
        <f t="shared" si="67"/>
        <v>8591</v>
      </c>
      <c r="Z73" s="3">
        <f t="shared" si="67"/>
        <v>357.95833333333331</v>
      </c>
      <c r="AA73" s="26">
        <f t="shared" ref="AA73" si="68">SUM(AA71:AA72)</f>
        <v>5173625.45</v>
      </c>
      <c r="AB73" s="4">
        <f>SUM(AB71:AB72)</f>
        <v>245</v>
      </c>
      <c r="AC73" s="3">
        <f>SUM(AC71:AC72)</f>
        <v>9272.5</v>
      </c>
      <c r="AD73" s="3">
        <f>SUM(AD71:AD72)</f>
        <v>386.35416666666669</v>
      </c>
      <c r="AE73" s="26">
        <f t="shared" ref="AE73" si="69">SUM(AE71:AE72)</f>
        <v>5234045</v>
      </c>
      <c r="AF73" s="4">
        <f>SUM(AF71:AF72)</f>
        <v>236</v>
      </c>
      <c r="AG73" s="3">
        <f>SUM(AG71:AG72)</f>
        <v>8992</v>
      </c>
      <c r="AH73" s="3">
        <f>SUM(AH71:AH72)</f>
        <v>374.66666666666669</v>
      </c>
      <c r="AI73" s="26">
        <f t="shared" ref="AI73" si="70">SUM(AI71:AI72)</f>
        <v>5974834</v>
      </c>
      <c r="AJ73" s="4">
        <f>SUM(AJ71:AJ72)</f>
        <v>235</v>
      </c>
      <c r="AK73" s="3">
        <f>SUM(AK71:AK72)</f>
        <v>9174.5</v>
      </c>
      <c r="AL73" s="3">
        <f>SUM(AL71:AL72)</f>
        <v>382.27083333333337</v>
      </c>
      <c r="AM73" s="26">
        <f t="shared" ref="AM73" si="71">SUM(AM71:AM72)</f>
        <v>6563898.75</v>
      </c>
      <c r="AN73" s="4">
        <f>SUM(AN71:AN72)</f>
        <v>230</v>
      </c>
      <c r="AO73" s="3">
        <f>SUM(AO71:AO72)</f>
        <v>8934</v>
      </c>
      <c r="AP73" s="3">
        <f>SUM(AP71:AP72)</f>
        <v>372.25</v>
      </c>
      <c r="AQ73" s="26">
        <f t="shared" ref="AQ73" si="72">SUM(AQ71:AQ72)</f>
        <v>5911495.5999999996</v>
      </c>
      <c r="AR73" s="4">
        <f t="shared" ref="AR73:AU73" si="73">SUM(AR71:AR72)</f>
        <v>192</v>
      </c>
      <c r="AS73" s="3">
        <f t="shared" si="73"/>
        <v>8220.5</v>
      </c>
      <c r="AT73" s="3">
        <f t="shared" si="73"/>
        <v>342.52083333333331</v>
      </c>
      <c r="AU73" s="26">
        <f t="shared" si="73"/>
        <v>4806360</v>
      </c>
    </row>
    <row r="74" spans="2:47">
      <c r="B74" s="8"/>
      <c r="C74" s="9"/>
      <c r="D74" s="5"/>
      <c r="E74" s="6"/>
      <c r="H74" s="5"/>
      <c r="I74" s="6"/>
      <c r="L74" s="5"/>
      <c r="M74" s="6"/>
      <c r="P74" s="5"/>
      <c r="Q74" s="6"/>
      <c r="T74" s="5"/>
      <c r="U74" s="6"/>
      <c r="X74" s="5"/>
      <c r="Y74" s="6"/>
      <c r="Z74" s="153"/>
      <c r="AA74" s="150"/>
      <c r="AB74" s="5"/>
      <c r="AC74" s="6"/>
      <c r="AD74" s="153"/>
      <c r="AE74" s="150"/>
      <c r="AF74" s="5"/>
      <c r="AG74" s="6"/>
      <c r="AH74" s="153"/>
      <c r="AI74" s="150"/>
      <c r="AJ74" s="5"/>
      <c r="AK74" s="6"/>
      <c r="AN74" s="5"/>
      <c r="AO74" s="6"/>
      <c r="AR74" s="5"/>
      <c r="AS74" s="6"/>
    </row>
    <row r="75" spans="2:47">
      <c r="B75" s="459" t="s">
        <v>13</v>
      </c>
      <c r="C75" s="10" t="s">
        <v>8</v>
      </c>
      <c r="D75" s="4">
        <f>D63+D67+D71</f>
        <v>0</v>
      </c>
      <c r="E75" s="3">
        <f>E71+E67+E63</f>
        <v>7926</v>
      </c>
      <c r="F75" s="3">
        <f t="shared" ref="F75:H76" si="74">F63+F67+F71</f>
        <v>330.25</v>
      </c>
      <c r="G75" s="26">
        <f>G63+G67+G71</f>
        <v>3603149</v>
      </c>
      <c r="H75" s="4">
        <f t="shared" si="74"/>
        <v>0</v>
      </c>
      <c r="I75" s="3">
        <f>I71+I67+I63</f>
        <v>7604</v>
      </c>
      <c r="J75" s="3">
        <f t="shared" ref="J75:L76" si="75">J63+J67+J71</f>
        <v>316.83333333333337</v>
      </c>
      <c r="K75" s="26">
        <f>K63+K67+K71</f>
        <v>3666452</v>
      </c>
      <c r="L75" s="4">
        <f t="shared" si="75"/>
        <v>212</v>
      </c>
      <c r="M75" s="3">
        <f>M71+M67+M63</f>
        <v>8027</v>
      </c>
      <c r="N75" s="3">
        <f t="shared" ref="N75:P76" si="76">N63+N67+N71</f>
        <v>334.45833333333337</v>
      </c>
      <c r="O75" s="26">
        <f>O63+O67+O71</f>
        <v>3941319</v>
      </c>
      <c r="P75" s="4">
        <f t="shared" si="76"/>
        <v>215</v>
      </c>
      <c r="Q75" s="3">
        <f>Q71+Q67+Q63</f>
        <v>8208.5</v>
      </c>
      <c r="R75" s="3">
        <f t="shared" ref="R75:T76" si="77">R63+R67+R71</f>
        <v>342.02083333333331</v>
      </c>
      <c r="S75" s="26">
        <f>S63+S67+S71</f>
        <v>3785505</v>
      </c>
      <c r="T75" s="4">
        <f t="shared" si="77"/>
        <v>204</v>
      </c>
      <c r="U75" s="3">
        <f>U71+U67+U63</f>
        <v>7783</v>
      </c>
      <c r="V75" s="3">
        <f t="shared" ref="V75:X76" si="78">V63+V67+V71</f>
        <v>324.29166666666669</v>
      </c>
      <c r="W75" s="26">
        <f>W63+W67+W71</f>
        <v>3883171</v>
      </c>
      <c r="X75" s="4">
        <f t="shared" si="78"/>
        <v>208</v>
      </c>
      <c r="Y75" s="3">
        <f>Y71+Y67+Y63</f>
        <v>7107.5</v>
      </c>
      <c r="Z75" s="3">
        <f>Z63+Z67+Z71</f>
        <v>296.14583333333331</v>
      </c>
      <c r="AA75" s="26">
        <f t="shared" ref="AA75:AA76" si="79">AA63+AA67+AA71</f>
        <v>4164962.45</v>
      </c>
      <c r="AB75" s="4">
        <f>AB63+AB67+AB71</f>
        <v>200</v>
      </c>
      <c r="AC75" s="3">
        <f>AC71+AC67+AC63</f>
        <v>7627.5</v>
      </c>
      <c r="AD75" s="3">
        <f>AD63+AD67+AD71</f>
        <v>317.8125</v>
      </c>
      <c r="AE75" s="26">
        <f t="shared" ref="AE75:AE76" si="80">AE63+AE67+AE71</f>
        <v>4632391</v>
      </c>
      <c r="AF75" s="4">
        <f>AF63+AF67+AF71</f>
        <v>203</v>
      </c>
      <c r="AG75" s="3">
        <f>AG71+AG67+AG63</f>
        <v>7515.5</v>
      </c>
      <c r="AH75" s="3">
        <f>AH63+AH67+AH71</f>
        <v>313.14583333333337</v>
      </c>
      <c r="AI75" s="26">
        <f t="shared" ref="AI75:AI76" si="81">AI63+AI67+AI71</f>
        <v>4630544</v>
      </c>
      <c r="AJ75" s="4">
        <f>AJ63+AJ67+AJ71</f>
        <v>208</v>
      </c>
      <c r="AK75" s="3">
        <f>AK71+AK67+AK63</f>
        <v>7764</v>
      </c>
      <c r="AL75" s="3">
        <f>AL63+AL67+AL71</f>
        <v>323.5</v>
      </c>
      <c r="AM75" s="26">
        <f t="shared" ref="AM75:AM76" si="82">AM63+AM67+AM71</f>
        <v>5350065</v>
      </c>
      <c r="AN75" s="4">
        <f>AN63+AN67+AN71</f>
        <v>215</v>
      </c>
      <c r="AO75" s="3">
        <f>AO71+AO67+AO63</f>
        <v>7856</v>
      </c>
      <c r="AP75" s="3">
        <f>AP63+AP67+AP71</f>
        <v>327.33333333333331</v>
      </c>
      <c r="AQ75" s="26">
        <f t="shared" ref="AQ75:AR76" si="83">AQ63+AQ67+AQ71</f>
        <v>5116378.5999999996</v>
      </c>
      <c r="AR75" s="4">
        <f t="shared" si="83"/>
        <v>178</v>
      </c>
      <c r="AS75" s="3">
        <f>AS71+AS67+AS63</f>
        <v>6872.5</v>
      </c>
      <c r="AT75" s="3">
        <f>AT63+AT67+AT71</f>
        <v>286.35416666666669</v>
      </c>
      <c r="AU75" s="26">
        <f>AU63+AU67+AU71</f>
        <v>4283683</v>
      </c>
    </row>
    <row r="76" spans="2:47">
      <c r="B76" s="460"/>
      <c r="C76" s="10" t="s">
        <v>9</v>
      </c>
      <c r="D76" s="4">
        <f>D64+D68+D72</f>
        <v>0</v>
      </c>
      <c r="E76" s="3">
        <f>E72+E68+E64</f>
        <v>1659</v>
      </c>
      <c r="F76" s="3">
        <f t="shared" si="74"/>
        <v>69.125</v>
      </c>
      <c r="G76" s="26">
        <f>G64+G68+G72</f>
        <v>1889488</v>
      </c>
      <c r="H76" s="4">
        <f t="shared" si="74"/>
        <v>0</v>
      </c>
      <c r="I76" s="3">
        <f>I72+I68+I64</f>
        <v>1954</v>
      </c>
      <c r="J76" s="3">
        <f t="shared" si="75"/>
        <v>81.416666666666657</v>
      </c>
      <c r="K76" s="26">
        <f>K64+K68+K72</f>
        <v>2245166</v>
      </c>
      <c r="L76" s="4">
        <f t="shared" si="75"/>
        <v>80</v>
      </c>
      <c r="M76" s="3">
        <f>M72+M68+M64</f>
        <v>2268</v>
      </c>
      <c r="N76" s="3">
        <f t="shared" si="76"/>
        <v>94.5</v>
      </c>
      <c r="O76" s="26">
        <f>O64+O68+O72</f>
        <v>2113604</v>
      </c>
      <c r="P76" s="4">
        <f t="shared" si="76"/>
        <v>94</v>
      </c>
      <c r="Q76" s="3">
        <f>Q72+Q68+Q64</f>
        <v>2504</v>
      </c>
      <c r="R76" s="3">
        <f t="shared" si="77"/>
        <v>104.33333333333333</v>
      </c>
      <c r="S76" s="26">
        <f>S64+S68+S72</f>
        <v>2389724</v>
      </c>
      <c r="T76" s="4">
        <f t="shared" si="77"/>
        <v>90</v>
      </c>
      <c r="U76" s="3">
        <f>U72+U68+U64</f>
        <v>2460</v>
      </c>
      <c r="V76" s="3">
        <f t="shared" si="78"/>
        <v>102.5</v>
      </c>
      <c r="W76" s="26">
        <f>W64+W68+W72</f>
        <v>2010569</v>
      </c>
      <c r="X76" s="4">
        <f t="shared" si="78"/>
        <v>117</v>
      </c>
      <c r="Y76" s="3">
        <f>Y72+Y68+Y64</f>
        <v>2604.5</v>
      </c>
      <c r="Z76" s="3">
        <f>Z64+Z68+Z72</f>
        <v>108.52083333333334</v>
      </c>
      <c r="AA76" s="26">
        <f t="shared" si="79"/>
        <v>2034675</v>
      </c>
      <c r="AB76" s="4">
        <f>AB64+AB68+AB72</f>
        <v>46</v>
      </c>
      <c r="AC76" s="3">
        <f>AC72+AC68+AC64</f>
        <v>2655</v>
      </c>
      <c r="AD76" s="3">
        <f>AD64+AD68+AD72</f>
        <v>110.625</v>
      </c>
      <c r="AE76" s="26">
        <f t="shared" si="80"/>
        <v>1367078.75</v>
      </c>
      <c r="AF76" s="4">
        <f>AF64+AF68+AF72</f>
        <v>101</v>
      </c>
      <c r="AG76" s="3">
        <f>AG72+AG68+AG64</f>
        <v>2717.5</v>
      </c>
      <c r="AH76" s="3">
        <f>AH64+AH68+AH72</f>
        <v>113.22916666666666</v>
      </c>
      <c r="AI76" s="26">
        <f t="shared" si="81"/>
        <v>2316410</v>
      </c>
      <c r="AJ76" s="4">
        <f>AJ64+AJ68+AJ72</f>
        <v>88</v>
      </c>
      <c r="AK76" s="3">
        <f>AK72+AK68+AK64</f>
        <v>2419.5</v>
      </c>
      <c r="AL76" s="3">
        <f>AL64+AL68+AL72</f>
        <v>100.8125</v>
      </c>
      <c r="AM76" s="26">
        <f t="shared" si="82"/>
        <v>2049920.75</v>
      </c>
      <c r="AN76" s="4">
        <f>AN64+AN68+AN72</f>
        <v>87</v>
      </c>
      <c r="AO76" s="3">
        <f>AO72+AO68+AO64</f>
        <v>1989</v>
      </c>
      <c r="AP76" s="3">
        <f>AP64+AP68+AP72</f>
        <v>82.875</v>
      </c>
      <c r="AQ76" s="26">
        <f t="shared" si="83"/>
        <v>1497458</v>
      </c>
      <c r="AR76" s="4">
        <f t="shared" si="83"/>
        <v>80</v>
      </c>
      <c r="AS76" s="3">
        <f>AS72+AS68+AS64</f>
        <v>2561</v>
      </c>
      <c r="AT76" s="3">
        <f>AT64+AT68+AT72</f>
        <v>106.70833333333333</v>
      </c>
      <c r="AU76" s="26">
        <f>AU64+AU68+AU72</f>
        <v>1362134</v>
      </c>
    </row>
    <row r="77" spans="2:47">
      <c r="B77" s="461"/>
      <c r="C77" s="11" t="s">
        <v>10</v>
      </c>
      <c r="D77" s="4">
        <f t="shared" ref="D77:Z77" si="84">SUM(D75:D76)</f>
        <v>0</v>
      </c>
      <c r="E77" s="3">
        <f t="shared" si="84"/>
        <v>9585</v>
      </c>
      <c r="F77" s="3">
        <f t="shared" si="84"/>
        <v>399.375</v>
      </c>
      <c r="G77" s="26">
        <f>SUM(G75:G76)</f>
        <v>5492637</v>
      </c>
      <c r="H77" s="4">
        <f t="shared" si="84"/>
        <v>0</v>
      </c>
      <c r="I77" s="3">
        <f t="shared" si="84"/>
        <v>9558</v>
      </c>
      <c r="J77" s="3">
        <f t="shared" si="84"/>
        <v>398.25</v>
      </c>
      <c r="K77" s="26">
        <f>SUM(K75:K76)</f>
        <v>5911618</v>
      </c>
      <c r="L77" s="4">
        <f t="shared" si="84"/>
        <v>292</v>
      </c>
      <c r="M77" s="3">
        <f t="shared" si="84"/>
        <v>10295</v>
      </c>
      <c r="N77" s="3">
        <f t="shared" si="84"/>
        <v>428.95833333333337</v>
      </c>
      <c r="O77" s="26">
        <f>SUM(O75:O76)</f>
        <v>6054923</v>
      </c>
      <c r="P77" s="4">
        <f t="shared" si="84"/>
        <v>309</v>
      </c>
      <c r="Q77" s="3">
        <f t="shared" si="84"/>
        <v>10712.5</v>
      </c>
      <c r="R77" s="3">
        <f t="shared" si="84"/>
        <v>446.35416666666663</v>
      </c>
      <c r="S77" s="26">
        <f>SUM(S75:S76)</f>
        <v>6175229</v>
      </c>
      <c r="T77" s="4">
        <f t="shared" si="84"/>
        <v>294</v>
      </c>
      <c r="U77" s="3">
        <f t="shared" si="84"/>
        <v>10243</v>
      </c>
      <c r="V77" s="3">
        <f t="shared" si="84"/>
        <v>426.79166666666669</v>
      </c>
      <c r="W77" s="26">
        <f>SUM(W75:W76)</f>
        <v>5893740</v>
      </c>
      <c r="X77" s="4">
        <f t="shared" si="84"/>
        <v>325</v>
      </c>
      <c r="Y77" s="3">
        <f>SUM(Y75:Y76)</f>
        <v>9712</v>
      </c>
      <c r="Z77" s="3">
        <f t="shared" si="84"/>
        <v>404.66666666666663</v>
      </c>
      <c r="AA77" s="26">
        <f t="shared" ref="AA77:AQ77" si="85">SUM(AA75:AA76)</f>
        <v>6199637.4500000002</v>
      </c>
      <c r="AB77" s="4">
        <f t="shared" si="85"/>
        <v>246</v>
      </c>
      <c r="AC77" s="3">
        <f t="shared" si="85"/>
        <v>10282.5</v>
      </c>
      <c r="AD77" s="3">
        <f t="shared" si="85"/>
        <v>428.4375</v>
      </c>
      <c r="AE77" s="26">
        <f t="shared" si="85"/>
        <v>5999469.75</v>
      </c>
      <c r="AF77" s="4">
        <f t="shared" si="85"/>
        <v>304</v>
      </c>
      <c r="AG77" s="3">
        <f t="shared" si="85"/>
        <v>10233</v>
      </c>
      <c r="AH77" s="3">
        <f t="shared" si="85"/>
        <v>426.375</v>
      </c>
      <c r="AI77" s="26">
        <f t="shared" si="85"/>
        <v>6946954</v>
      </c>
      <c r="AJ77" s="4">
        <f t="shared" si="85"/>
        <v>296</v>
      </c>
      <c r="AK77" s="3">
        <f t="shared" si="85"/>
        <v>10183.5</v>
      </c>
      <c r="AL77" s="3">
        <f t="shared" si="85"/>
        <v>424.3125</v>
      </c>
      <c r="AM77" s="26">
        <f t="shared" si="85"/>
        <v>7399985.75</v>
      </c>
      <c r="AN77" s="4">
        <f t="shared" si="85"/>
        <v>302</v>
      </c>
      <c r="AO77" s="3">
        <f t="shared" si="85"/>
        <v>9845</v>
      </c>
      <c r="AP77" s="3">
        <f t="shared" si="85"/>
        <v>410.20833333333331</v>
      </c>
      <c r="AQ77" s="26">
        <f t="shared" si="85"/>
        <v>6613836.5999999996</v>
      </c>
      <c r="AR77" s="4">
        <f>SUM(AR75:AR76)</f>
        <v>258</v>
      </c>
      <c r="AS77" s="3">
        <f>SUM(AS75:AS76)</f>
        <v>9433.5</v>
      </c>
      <c r="AT77" s="402">
        <f>AT73+AT69+AT65</f>
        <v>393.0625</v>
      </c>
      <c r="AU77" s="26">
        <f>SUM(AU75:AU76)</f>
        <v>5645817</v>
      </c>
    </row>
    <row r="78" spans="2:47" ht="21.75" customHeight="1">
      <c r="B78" s="7"/>
      <c r="C78" s="71" t="s">
        <v>15</v>
      </c>
      <c r="D78" s="114"/>
      <c r="E78" s="114"/>
      <c r="F78" s="3">
        <f>E78/24</f>
        <v>0</v>
      </c>
      <c r="G78" s="27"/>
      <c r="H78" s="114"/>
      <c r="I78" s="114"/>
      <c r="J78" s="3">
        <f>I78/24</f>
        <v>0</v>
      </c>
      <c r="K78" s="27"/>
      <c r="L78" s="114"/>
      <c r="M78" s="114"/>
      <c r="N78" s="3">
        <f>M78/24</f>
        <v>0</v>
      </c>
      <c r="O78" s="27"/>
      <c r="P78" s="114"/>
      <c r="Q78" s="114"/>
      <c r="R78" s="3">
        <f>Q78/24</f>
        <v>0</v>
      </c>
      <c r="S78" s="27"/>
      <c r="T78" s="114"/>
      <c r="U78" s="114"/>
      <c r="V78" s="3">
        <f>U78/24</f>
        <v>0</v>
      </c>
      <c r="W78" s="27"/>
      <c r="X78" s="114"/>
      <c r="Y78" s="114"/>
      <c r="Z78" s="3">
        <f>Y78/24</f>
        <v>0</v>
      </c>
      <c r="AA78" s="27"/>
      <c r="AB78" s="114"/>
      <c r="AC78" s="114"/>
      <c r="AD78" s="3">
        <f>AC78/24</f>
        <v>0</v>
      </c>
      <c r="AE78" s="27"/>
      <c r="AF78" s="114"/>
      <c r="AG78" s="114"/>
      <c r="AH78" s="3">
        <f>AG78/24</f>
        <v>0</v>
      </c>
      <c r="AI78" s="27"/>
      <c r="AJ78" s="114"/>
      <c r="AK78" s="114"/>
      <c r="AL78" s="3">
        <f>AK78/24</f>
        <v>0</v>
      </c>
      <c r="AM78" s="27"/>
      <c r="AN78" s="114"/>
      <c r="AO78" s="114"/>
      <c r="AP78" s="3">
        <f>AO78/24</f>
        <v>0</v>
      </c>
      <c r="AQ78" s="27"/>
      <c r="AR78" s="2"/>
      <c r="AS78" s="2"/>
      <c r="AT78" s="3">
        <f>AS78/24</f>
        <v>0</v>
      </c>
      <c r="AU78" s="29"/>
    </row>
    <row r="79" spans="2:47" ht="24.75" customHeight="1">
      <c r="B79" s="21" t="s">
        <v>22</v>
      </c>
      <c r="D79" s="5"/>
      <c r="E79" s="6"/>
      <c r="H79" s="5"/>
      <c r="I79" s="6"/>
      <c r="L79" s="5"/>
      <c r="M79" s="6"/>
      <c r="P79" s="5"/>
      <c r="Q79" s="6"/>
      <c r="T79" s="5"/>
      <c r="U79" s="6"/>
      <c r="X79" s="5"/>
      <c r="Y79" s="6"/>
      <c r="Z79" s="153"/>
      <c r="AA79" s="150"/>
      <c r="AB79" s="5"/>
      <c r="AC79" s="6"/>
      <c r="AD79" s="153"/>
      <c r="AE79" s="150"/>
      <c r="AF79" s="5"/>
      <c r="AG79" s="6"/>
      <c r="AH79" s="153"/>
      <c r="AI79" s="150"/>
      <c r="AJ79" s="5"/>
      <c r="AK79" s="6"/>
      <c r="AN79" s="5"/>
      <c r="AO79" s="6"/>
      <c r="AR79" s="5"/>
      <c r="AS79" s="6"/>
    </row>
    <row r="80" spans="2:47" ht="15">
      <c r="B80" s="28" t="s">
        <v>264</v>
      </c>
      <c r="D80" s="5"/>
      <c r="E80" s="6"/>
      <c r="G80" s="27"/>
      <c r="H80" s="5"/>
      <c r="I80" s="6"/>
      <c r="K80" s="27"/>
      <c r="L80" s="5"/>
      <c r="M80" s="6"/>
      <c r="O80" s="27"/>
      <c r="P80" s="5"/>
      <c r="Q80" s="6"/>
      <c r="S80" s="27"/>
      <c r="T80" s="5"/>
      <c r="U80" s="6"/>
      <c r="W80" s="27"/>
      <c r="X80" s="5"/>
      <c r="Y80" s="6"/>
      <c r="AA80" s="27"/>
      <c r="AB80" s="5"/>
      <c r="AC80" s="6"/>
      <c r="AE80" s="27"/>
      <c r="AF80" s="5"/>
      <c r="AG80" s="6"/>
      <c r="AI80" s="27"/>
      <c r="AJ80" s="5"/>
      <c r="AK80" s="6"/>
      <c r="AM80" s="27"/>
      <c r="AN80" s="5"/>
      <c r="AO80" s="6"/>
      <c r="AQ80" s="27"/>
      <c r="AR80" s="5"/>
      <c r="AS80" s="6"/>
      <c r="AU80" s="29"/>
    </row>
    <row r="81" spans="2:47" ht="15">
      <c r="B81" s="28" t="s">
        <v>265</v>
      </c>
      <c r="D81" s="5"/>
      <c r="E81" s="6"/>
      <c r="G81" s="27"/>
      <c r="H81" s="5"/>
      <c r="I81" s="6"/>
      <c r="K81" s="27"/>
      <c r="L81" s="5"/>
      <c r="M81" s="6"/>
      <c r="O81" s="27"/>
      <c r="P81" s="5"/>
      <c r="Q81" s="6"/>
      <c r="S81" s="27"/>
      <c r="T81" s="5"/>
      <c r="U81" s="6"/>
      <c r="W81" s="27"/>
      <c r="X81" s="5"/>
      <c r="Y81" s="6"/>
      <c r="AA81" s="27">
        <v>665391</v>
      </c>
      <c r="AB81" s="5"/>
      <c r="AC81" s="6"/>
      <c r="AE81" s="27">
        <f>324081.5+48104+3864+7389.75</f>
        <v>383439.25</v>
      </c>
      <c r="AF81" s="5"/>
      <c r="AG81" s="6"/>
      <c r="AI81" s="27">
        <v>457193</v>
      </c>
      <c r="AJ81" s="5"/>
      <c r="AK81" s="6"/>
      <c r="AM81" s="27">
        <v>402870</v>
      </c>
      <c r="AN81" s="5"/>
      <c r="AO81" s="6"/>
      <c r="AQ81" s="27">
        <v>133749</v>
      </c>
      <c r="AR81" s="5"/>
      <c r="AS81" s="6"/>
      <c r="AU81" s="29">
        <v>144718</v>
      </c>
    </row>
    <row r="82" spans="2:47" ht="15">
      <c r="B82" s="28" t="s">
        <v>23</v>
      </c>
      <c r="D82" s="5"/>
      <c r="E82" s="6"/>
      <c r="G82" s="26">
        <f>G77-G80-G81</f>
        <v>5492637</v>
      </c>
      <c r="H82" s="5"/>
      <c r="I82" s="6"/>
      <c r="K82" s="26">
        <f>K77-K80-K81</f>
        <v>5911618</v>
      </c>
      <c r="L82" s="5"/>
      <c r="M82" s="6"/>
      <c r="O82" s="26">
        <f>O77-O80-O81</f>
        <v>6054923</v>
      </c>
      <c r="P82" s="5"/>
      <c r="Q82" s="6"/>
      <c r="S82" s="26">
        <f>S77-S80-S81</f>
        <v>6175229</v>
      </c>
      <c r="T82" s="5"/>
      <c r="U82" s="6"/>
      <c r="W82" s="26">
        <f>W77-W80-W81</f>
        <v>5893740</v>
      </c>
      <c r="X82" s="5"/>
      <c r="Y82" s="6"/>
      <c r="AA82" s="26">
        <f>AA77-AA80-AA81</f>
        <v>5534246.4500000002</v>
      </c>
      <c r="AB82" s="5"/>
      <c r="AC82" s="6"/>
      <c r="AE82" s="26">
        <f>AE77-AE80-AE81</f>
        <v>5616030.5</v>
      </c>
      <c r="AF82" s="5"/>
      <c r="AG82" s="6"/>
      <c r="AI82" s="26">
        <f>AI77-AI80-AI81</f>
        <v>6489761</v>
      </c>
      <c r="AJ82" s="5"/>
      <c r="AK82" s="6"/>
      <c r="AM82" s="26">
        <f>AM77-AM80-AM81</f>
        <v>6997115.75</v>
      </c>
      <c r="AN82" s="5"/>
      <c r="AO82" s="6"/>
      <c r="AQ82" s="26">
        <f>AQ77-AQ80-AQ81</f>
        <v>6480087.5999999996</v>
      </c>
      <c r="AR82" s="5"/>
      <c r="AS82" s="6"/>
      <c r="AU82" s="26">
        <f>AU77-AU80-AU81</f>
        <v>5501099</v>
      </c>
    </row>
    <row r="83" spans="2:47">
      <c r="D83" s="7"/>
      <c r="E83" s="7"/>
      <c r="F83" s="53"/>
      <c r="G83" s="25"/>
      <c r="H83" s="14"/>
      <c r="I83" s="7"/>
      <c r="J83" s="53"/>
      <c r="K83" s="25"/>
      <c r="L83" s="14"/>
      <c r="M83" s="7"/>
      <c r="N83" s="53"/>
      <c r="O83" s="25"/>
      <c r="P83" s="14"/>
      <c r="Q83" s="7"/>
      <c r="R83" s="53"/>
      <c r="S83" s="25"/>
      <c r="T83" s="14"/>
      <c r="U83" s="7"/>
      <c r="V83" s="53"/>
      <c r="W83" s="25"/>
      <c r="X83" s="14"/>
      <c r="Y83" s="7"/>
      <c r="Z83" s="53"/>
      <c r="AA83" s="25"/>
      <c r="AB83" s="14"/>
      <c r="AC83" s="7"/>
      <c r="AD83" s="53"/>
      <c r="AE83" s="25"/>
      <c r="AF83" s="14"/>
      <c r="AG83" s="7"/>
      <c r="AH83" s="53"/>
      <c r="AI83" s="25"/>
      <c r="AJ83" s="14"/>
      <c r="AK83" s="7"/>
      <c r="AL83" s="53"/>
      <c r="AM83" s="25"/>
      <c r="AN83" s="14"/>
      <c r="AO83" s="7"/>
      <c r="AP83" s="53"/>
      <c r="AQ83" s="25"/>
      <c r="AR83" s="14"/>
      <c r="AS83" s="7"/>
      <c r="AT83" s="53"/>
      <c r="AU83" s="25"/>
    </row>
    <row r="84" spans="2:47">
      <c r="B84" s="12"/>
      <c r="C84" s="12"/>
      <c r="D84" s="12"/>
      <c r="E84" s="12"/>
      <c r="F84" s="54"/>
      <c r="G84" s="24"/>
      <c r="H84" s="13"/>
      <c r="I84" s="12"/>
      <c r="J84" s="54"/>
      <c r="K84" s="24"/>
      <c r="L84" s="13"/>
      <c r="M84" s="12"/>
      <c r="N84" s="54"/>
      <c r="O84" s="24"/>
      <c r="P84" s="13"/>
      <c r="Q84" s="12"/>
      <c r="R84" s="54"/>
      <c r="S84" s="24"/>
      <c r="T84" s="13"/>
      <c r="U84" s="12"/>
      <c r="V84" s="54"/>
      <c r="W84" s="24"/>
      <c r="X84" s="13"/>
      <c r="Y84" s="12"/>
      <c r="Z84" s="54"/>
      <c r="AA84" s="24"/>
      <c r="AB84" s="13"/>
      <c r="AC84" s="12"/>
      <c r="AD84" s="54"/>
      <c r="AE84" s="24"/>
      <c r="AF84" s="13"/>
      <c r="AG84" s="12"/>
      <c r="AH84" s="54"/>
      <c r="AI84" s="24"/>
      <c r="AJ84" s="13"/>
      <c r="AK84" s="12"/>
      <c r="AL84" s="54"/>
      <c r="AM84" s="24"/>
      <c r="AN84" s="13"/>
      <c r="AO84" s="12"/>
      <c r="AP84" s="54"/>
      <c r="AQ84" s="24"/>
      <c r="AR84" s="13"/>
      <c r="AS84" s="12"/>
      <c r="AT84" s="54"/>
      <c r="AU84" s="24"/>
    </row>
    <row r="85" spans="2:47">
      <c r="B85" s="12"/>
      <c r="C85" s="12"/>
      <c r="D85" s="12"/>
      <c r="E85" s="12"/>
      <c r="F85" s="54"/>
      <c r="G85" s="24"/>
      <c r="H85" s="13"/>
      <c r="I85" s="12"/>
      <c r="J85" s="54"/>
      <c r="K85" s="24"/>
      <c r="L85" s="13"/>
      <c r="M85" s="12"/>
      <c r="N85" s="54"/>
      <c r="O85" s="24"/>
      <c r="P85" s="13"/>
      <c r="Q85" s="12"/>
      <c r="R85" s="54"/>
      <c r="S85" s="24"/>
      <c r="T85" s="13"/>
      <c r="U85" s="12"/>
      <c r="V85" s="54"/>
      <c r="W85" s="24"/>
      <c r="X85" s="13"/>
      <c r="Y85" s="12"/>
      <c r="Z85" s="54"/>
      <c r="AA85" s="24"/>
      <c r="AB85" s="13"/>
      <c r="AC85" s="12"/>
      <c r="AD85" s="54"/>
      <c r="AE85" s="24"/>
      <c r="AF85" s="13"/>
      <c r="AG85" s="12"/>
      <c r="AH85" s="54"/>
      <c r="AI85" s="24"/>
      <c r="AJ85" s="13"/>
      <c r="AK85" s="12"/>
      <c r="AL85" s="54"/>
      <c r="AM85" s="24"/>
      <c r="AN85" s="13"/>
      <c r="AO85" s="12"/>
      <c r="AP85" s="54"/>
      <c r="AQ85" s="24"/>
      <c r="AR85" s="13"/>
      <c r="AS85" s="12"/>
      <c r="AT85" s="54"/>
      <c r="AU85" s="24"/>
    </row>
    <row r="86" spans="2:47">
      <c r="B86" s="7"/>
      <c r="C86" s="7"/>
      <c r="D86" s="7"/>
      <c r="E86" s="7"/>
      <c r="F86" s="53"/>
      <c r="G86" s="25"/>
      <c r="H86" s="14"/>
      <c r="I86" s="7"/>
      <c r="J86" s="53"/>
      <c r="K86" s="25"/>
      <c r="L86" s="14"/>
      <c r="M86" s="7"/>
      <c r="N86" s="53"/>
      <c r="O86" s="25"/>
      <c r="P86" s="14"/>
      <c r="Q86" s="7"/>
      <c r="R86" s="53"/>
      <c r="S86" s="25"/>
      <c r="T86" s="14"/>
      <c r="U86" s="7"/>
      <c r="V86" s="53"/>
      <c r="W86" s="25"/>
      <c r="X86" s="14"/>
      <c r="Y86" s="7"/>
      <c r="Z86" s="53"/>
      <c r="AA86" s="25"/>
      <c r="AB86" s="14"/>
      <c r="AC86" s="7"/>
      <c r="AD86" s="53"/>
      <c r="AE86" s="25"/>
      <c r="AF86" s="14"/>
      <c r="AG86" s="7"/>
      <c r="AH86" s="53"/>
      <c r="AI86" s="25"/>
      <c r="AJ86" s="14"/>
      <c r="AK86" s="7"/>
      <c r="AL86" s="53"/>
      <c r="AM86" s="25"/>
      <c r="AN86" s="14"/>
      <c r="AO86" s="7"/>
      <c r="AP86" s="53"/>
      <c r="AQ86" s="25"/>
      <c r="AR86" s="14"/>
      <c r="AS86" s="7"/>
      <c r="AT86" s="53"/>
      <c r="AU86" s="25"/>
    </row>
    <row r="87" spans="2:47" ht="20.25">
      <c r="B87" s="470" t="s">
        <v>18</v>
      </c>
      <c r="C87" s="471"/>
      <c r="D87" s="422" t="str">
        <f>D$2</f>
        <v>2012-13</v>
      </c>
      <c r="E87" s="423"/>
      <c r="F87" s="423"/>
      <c r="G87" s="424"/>
      <c r="H87" s="425" t="str">
        <f>H$2</f>
        <v>2013-14</v>
      </c>
      <c r="I87" s="426"/>
      <c r="J87" s="426"/>
      <c r="K87" s="427"/>
      <c r="L87" s="428" t="str">
        <f>L$2</f>
        <v>2014-15</v>
      </c>
      <c r="M87" s="429"/>
      <c r="N87" s="429"/>
      <c r="O87" s="430"/>
      <c r="P87" s="431" t="str">
        <f>P$2</f>
        <v>2015-16</v>
      </c>
      <c r="Q87" s="432"/>
      <c r="R87" s="432"/>
      <c r="S87" s="433"/>
      <c r="T87" s="434" t="str">
        <f>T$2</f>
        <v>2016-17</v>
      </c>
      <c r="U87" s="435"/>
      <c r="V87" s="435"/>
      <c r="W87" s="436"/>
      <c r="X87" s="437" t="str">
        <f>X$2</f>
        <v>2017-18</v>
      </c>
      <c r="Y87" s="438"/>
      <c r="Z87" s="438"/>
      <c r="AA87" s="439"/>
      <c r="AB87" s="422" t="str">
        <f>AB$2</f>
        <v>2018-19</v>
      </c>
      <c r="AC87" s="423"/>
      <c r="AD87" s="423"/>
      <c r="AE87" s="424"/>
      <c r="AF87" s="425" t="str">
        <f>AF$2</f>
        <v>2019-20</v>
      </c>
      <c r="AG87" s="426"/>
      <c r="AH87" s="426"/>
      <c r="AI87" s="427"/>
      <c r="AJ87" s="428" t="str">
        <f>AJ$2</f>
        <v>2020-21</v>
      </c>
      <c r="AK87" s="429"/>
      <c r="AL87" s="429"/>
      <c r="AM87" s="430"/>
      <c r="AN87" s="431" t="str">
        <f>AN$2</f>
        <v>2021-22</v>
      </c>
      <c r="AO87" s="432"/>
      <c r="AP87" s="432"/>
      <c r="AQ87" s="433"/>
      <c r="AR87" s="434" t="str">
        <f>AR$2</f>
        <v>2022-23</v>
      </c>
      <c r="AS87" s="435"/>
      <c r="AT87" s="435"/>
      <c r="AU87" s="436"/>
    </row>
    <row r="88" spans="2:47" ht="15" customHeight="1">
      <c r="B88" s="7"/>
      <c r="C88" s="7"/>
      <c r="D88" s="462" t="s">
        <v>2</v>
      </c>
      <c r="E88" s="465" t="s">
        <v>3</v>
      </c>
      <c r="F88" s="453" t="s">
        <v>4</v>
      </c>
      <c r="G88" s="456" t="s">
        <v>21</v>
      </c>
      <c r="H88" s="462" t="s">
        <v>2</v>
      </c>
      <c r="I88" s="465" t="s">
        <v>3</v>
      </c>
      <c r="J88" s="453" t="s">
        <v>4</v>
      </c>
      <c r="K88" s="456" t="s">
        <v>21</v>
      </c>
      <c r="L88" s="462" t="s">
        <v>2</v>
      </c>
      <c r="M88" s="465" t="s">
        <v>3</v>
      </c>
      <c r="N88" s="453" t="s">
        <v>4</v>
      </c>
      <c r="O88" s="456" t="s">
        <v>21</v>
      </c>
      <c r="P88" s="462" t="s">
        <v>2</v>
      </c>
      <c r="Q88" s="465" t="s">
        <v>3</v>
      </c>
      <c r="R88" s="453" t="s">
        <v>4</v>
      </c>
      <c r="S88" s="456" t="s">
        <v>21</v>
      </c>
      <c r="T88" s="462" t="s">
        <v>2</v>
      </c>
      <c r="U88" s="465" t="s">
        <v>3</v>
      </c>
      <c r="V88" s="453" t="s">
        <v>4</v>
      </c>
      <c r="W88" s="456" t="s">
        <v>21</v>
      </c>
      <c r="X88" s="462" t="s">
        <v>2</v>
      </c>
      <c r="Y88" s="465" t="s">
        <v>3</v>
      </c>
      <c r="Z88" s="453" t="s">
        <v>4</v>
      </c>
      <c r="AA88" s="456" t="s">
        <v>21</v>
      </c>
      <c r="AB88" s="462" t="s">
        <v>2</v>
      </c>
      <c r="AC88" s="465" t="s">
        <v>3</v>
      </c>
      <c r="AD88" s="453" t="s">
        <v>4</v>
      </c>
      <c r="AE88" s="456" t="s">
        <v>21</v>
      </c>
      <c r="AF88" s="462" t="s">
        <v>2</v>
      </c>
      <c r="AG88" s="465" t="s">
        <v>3</v>
      </c>
      <c r="AH88" s="453" t="s">
        <v>4</v>
      </c>
      <c r="AI88" s="456" t="s">
        <v>21</v>
      </c>
      <c r="AJ88" s="462" t="s">
        <v>2</v>
      </c>
      <c r="AK88" s="465" t="s">
        <v>3</v>
      </c>
      <c r="AL88" s="453" t="s">
        <v>4</v>
      </c>
      <c r="AM88" s="456" t="s">
        <v>21</v>
      </c>
      <c r="AN88" s="462" t="s">
        <v>2</v>
      </c>
      <c r="AO88" s="465" t="s">
        <v>3</v>
      </c>
      <c r="AP88" s="453" t="s">
        <v>4</v>
      </c>
      <c r="AQ88" s="456" t="s">
        <v>21</v>
      </c>
      <c r="AR88" s="462" t="s">
        <v>2</v>
      </c>
      <c r="AS88" s="465" t="s">
        <v>3</v>
      </c>
      <c r="AT88" s="453" t="s">
        <v>4</v>
      </c>
      <c r="AU88" s="456" t="s">
        <v>21</v>
      </c>
    </row>
    <row r="89" spans="2:47">
      <c r="B89" s="7"/>
      <c r="C89" s="7"/>
      <c r="D89" s="463"/>
      <c r="E89" s="466"/>
      <c r="F89" s="454"/>
      <c r="G89" s="457"/>
      <c r="H89" s="463"/>
      <c r="I89" s="466"/>
      <c r="J89" s="454"/>
      <c r="K89" s="457"/>
      <c r="L89" s="463"/>
      <c r="M89" s="466"/>
      <c r="N89" s="454"/>
      <c r="O89" s="457"/>
      <c r="P89" s="463"/>
      <c r="Q89" s="466"/>
      <c r="R89" s="454"/>
      <c r="S89" s="457"/>
      <c r="T89" s="463"/>
      <c r="U89" s="466"/>
      <c r="V89" s="454"/>
      <c r="W89" s="457"/>
      <c r="X89" s="463"/>
      <c r="Y89" s="466"/>
      <c r="Z89" s="454"/>
      <c r="AA89" s="457"/>
      <c r="AB89" s="463"/>
      <c r="AC89" s="466"/>
      <c r="AD89" s="454"/>
      <c r="AE89" s="457"/>
      <c r="AF89" s="463"/>
      <c r="AG89" s="466"/>
      <c r="AH89" s="454"/>
      <c r="AI89" s="457"/>
      <c r="AJ89" s="463"/>
      <c r="AK89" s="466"/>
      <c r="AL89" s="454"/>
      <c r="AM89" s="457"/>
      <c r="AN89" s="463"/>
      <c r="AO89" s="466"/>
      <c r="AP89" s="454"/>
      <c r="AQ89" s="457"/>
      <c r="AR89" s="463"/>
      <c r="AS89" s="466"/>
      <c r="AT89" s="454"/>
      <c r="AU89" s="457"/>
    </row>
    <row r="90" spans="2:47">
      <c r="B90" s="144" t="s">
        <v>5</v>
      </c>
      <c r="C90" s="144" t="s">
        <v>6</v>
      </c>
      <c r="D90" s="464"/>
      <c r="E90" s="467"/>
      <c r="F90" s="455"/>
      <c r="G90" s="458"/>
      <c r="H90" s="464"/>
      <c r="I90" s="467"/>
      <c r="J90" s="455"/>
      <c r="K90" s="458"/>
      <c r="L90" s="464"/>
      <c r="M90" s="467"/>
      <c r="N90" s="455"/>
      <c r="O90" s="458"/>
      <c r="P90" s="464"/>
      <c r="Q90" s="467"/>
      <c r="R90" s="455"/>
      <c r="S90" s="458"/>
      <c r="T90" s="464"/>
      <c r="U90" s="467"/>
      <c r="V90" s="455"/>
      <c r="W90" s="458"/>
      <c r="X90" s="464"/>
      <c r="Y90" s="467"/>
      <c r="Z90" s="455"/>
      <c r="AA90" s="458"/>
      <c r="AB90" s="464"/>
      <c r="AC90" s="467"/>
      <c r="AD90" s="455"/>
      <c r="AE90" s="458"/>
      <c r="AF90" s="464"/>
      <c r="AG90" s="467"/>
      <c r="AH90" s="455"/>
      <c r="AI90" s="458"/>
      <c r="AJ90" s="464"/>
      <c r="AK90" s="467"/>
      <c r="AL90" s="455"/>
      <c r="AM90" s="458"/>
      <c r="AN90" s="464"/>
      <c r="AO90" s="467"/>
      <c r="AP90" s="455"/>
      <c r="AQ90" s="458"/>
      <c r="AR90" s="464"/>
      <c r="AS90" s="467"/>
      <c r="AT90" s="455"/>
      <c r="AU90" s="458"/>
    </row>
    <row r="91" spans="2:47">
      <c r="B91" s="459" t="s">
        <v>7</v>
      </c>
      <c r="C91" s="10" t="s">
        <v>8</v>
      </c>
      <c r="D91" s="113">
        <v>0</v>
      </c>
      <c r="E91" s="114">
        <v>1468</v>
      </c>
      <c r="F91" s="3">
        <f>E91/30</f>
        <v>48.93333333333333</v>
      </c>
      <c r="G91" s="27">
        <v>316225</v>
      </c>
      <c r="H91" s="113">
        <v>0</v>
      </c>
      <c r="I91" s="114">
        <v>1372</v>
      </c>
      <c r="J91" s="3">
        <f>I91/30</f>
        <v>45.733333333333334</v>
      </c>
      <c r="K91" s="27">
        <v>297108</v>
      </c>
      <c r="L91" s="113">
        <v>42</v>
      </c>
      <c r="M91" s="114">
        <v>1327</v>
      </c>
      <c r="N91" s="3">
        <f>M91/30</f>
        <v>44.233333333333334</v>
      </c>
      <c r="O91" s="27">
        <v>277776</v>
      </c>
      <c r="P91" s="113">
        <v>41</v>
      </c>
      <c r="Q91" s="114">
        <v>1342</v>
      </c>
      <c r="R91" s="3">
        <f>Q91/30</f>
        <v>44.733333333333334</v>
      </c>
      <c r="S91" s="27">
        <v>294245</v>
      </c>
      <c r="T91" s="113">
        <v>42</v>
      </c>
      <c r="U91" s="114">
        <v>1327</v>
      </c>
      <c r="V91" s="3">
        <f>U91/30</f>
        <v>44.233333333333334</v>
      </c>
      <c r="W91" s="27">
        <v>293276</v>
      </c>
      <c r="X91" s="113">
        <v>54</v>
      </c>
      <c r="Y91" s="114">
        <v>1459</v>
      </c>
      <c r="Z91" s="3">
        <f>Y91/30</f>
        <v>48.633333333333333</v>
      </c>
      <c r="AA91" s="27">
        <v>302148.75</v>
      </c>
      <c r="AB91" s="113">
        <v>47</v>
      </c>
      <c r="AC91" s="114">
        <f>312+360+322+349+184</f>
        <v>1527</v>
      </c>
      <c r="AD91" s="3">
        <f>AC91/30</f>
        <v>50.9</v>
      </c>
      <c r="AE91" s="27">
        <v>400154</v>
      </c>
      <c r="AF91" s="113">
        <v>44</v>
      </c>
      <c r="AG91" s="114">
        <v>1398</v>
      </c>
      <c r="AH91" s="3">
        <f>AG91/30</f>
        <v>46.6</v>
      </c>
      <c r="AI91" s="27">
        <v>397032</v>
      </c>
      <c r="AJ91" s="113">
        <v>46</v>
      </c>
      <c r="AK91" s="114">
        <v>1470</v>
      </c>
      <c r="AL91" s="3">
        <f>AK91/30</f>
        <v>49</v>
      </c>
      <c r="AM91" s="27">
        <v>424276</v>
      </c>
      <c r="AN91" s="113">
        <v>45</v>
      </c>
      <c r="AO91" s="114">
        <v>1429</v>
      </c>
      <c r="AP91" s="3">
        <f>AO91/30</f>
        <v>47.633333333333333</v>
      </c>
      <c r="AQ91" s="27">
        <v>417268</v>
      </c>
      <c r="AR91" s="1">
        <v>46</v>
      </c>
      <c r="AS91" s="2">
        <v>1463</v>
      </c>
      <c r="AT91" s="3">
        <f>AS91/30</f>
        <v>48.766666666666666</v>
      </c>
      <c r="AU91" s="29">
        <v>427196</v>
      </c>
    </row>
    <row r="92" spans="2:47">
      <c r="B92" s="460"/>
      <c r="C92" s="10" t="s">
        <v>9</v>
      </c>
      <c r="D92" s="113">
        <v>0</v>
      </c>
      <c r="E92" s="114">
        <v>72</v>
      </c>
      <c r="F92" s="3">
        <f>E92/30</f>
        <v>2.4</v>
      </c>
      <c r="G92" s="27">
        <v>46152</v>
      </c>
      <c r="H92" s="113">
        <v>0</v>
      </c>
      <c r="I92" s="114">
        <v>164</v>
      </c>
      <c r="J92" s="3">
        <f>I92/30</f>
        <v>5.4666666666666668</v>
      </c>
      <c r="K92" s="27">
        <v>108282</v>
      </c>
      <c r="L92" s="113">
        <v>6</v>
      </c>
      <c r="M92" s="114">
        <v>192</v>
      </c>
      <c r="N92" s="3">
        <f>M92/30</f>
        <v>6.4</v>
      </c>
      <c r="O92" s="27">
        <v>126480</v>
      </c>
      <c r="P92" s="113">
        <v>6</v>
      </c>
      <c r="Q92" s="114">
        <v>195</v>
      </c>
      <c r="R92" s="3">
        <f>Q92/30</f>
        <v>6.5</v>
      </c>
      <c r="S92" s="27">
        <v>134940</v>
      </c>
      <c r="T92" s="113">
        <v>6</v>
      </c>
      <c r="U92" s="114">
        <v>186</v>
      </c>
      <c r="V92" s="3">
        <f>U92/30</f>
        <v>6.2</v>
      </c>
      <c r="W92" s="27">
        <v>117026</v>
      </c>
      <c r="X92" s="113">
        <v>1</v>
      </c>
      <c r="Y92" s="114">
        <v>27</v>
      </c>
      <c r="Z92" s="3">
        <f>Y92/30</f>
        <v>0.9</v>
      </c>
      <c r="AA92" s="27">
        <v>64545.75</v>
      </c>
      <c r="AB92" s="113">
        <v>1</v>
      </c>
      <c r="AC92" s="114">
        <f>14+8+15</f>
        <v>37</v>
      </c>
      <c r="AD92" s="3">
        <f>AC92/30</f>
        <v>1.2333333333333334</v>
      </c>
      <c r="AE92" s="27">
        <v>28546</v>
      </c>
      <c r="AF92" s="113">
        <v>4</v>
      </c>
      <c r="AG92" s="114">
        <v>138</v>
      </c>
      <c r="AH92" s="3">
        <f>AG92/30</f>
        <v>4.5999999999999996</v>
      </c>
      <c r="AI92" s="27">
        <v>109434</v>
      </c>
      <c r="AJ92" s="113">
        <v>3</v>
      </c>
      <c r="AK92" s="114">
        <v>81</v>
      </c>
      <c r="AL92" s="3">
        <f>AK92/30</f>
        <v>2.7</v>
      </c>
      <c r="AM92" s="27">
        <v>66015</v>
      </c>
      <c r="AN92" s="113">
        <v>1</v>
      </c>
      <c r="AO92" s="114">
        <v>40</v>
      </c>
      <c r="AP92" s="3">
        <f>AO92/30</f>
        <v>1.3333333333333333</v>
      </c>
      <c r="AQ92" s="27">
        <v>32600</v>
      </c>
      <c r="AR92" s="1">
        <v>2</v>
      </c>
      <c r="AS92" s="2">
        <v>50</v>
      </c>
      <c r="AT92" s="3">
        <f>AS92/30</f>
        <v>1.6666666666666667</v>
      </c>
      <c r="AU92" s="29">
        <v>40750</v>
      </c>
    </row>
    <row r="93" spans="2:47">
      <c r="B93" s="461"/>
      <c r="C93" s="11" t="s">
        <v>10</v>
      </c>
      <c r="D93" s="4">
        <f t="shared" ref="D93:Y93" si="86">SUM(D91:D92)</f>
        <v>0</v>
      </c>
      <c r="E93" s="3">
        <f t="shared" si="86"/>
        <v>1540</v>
      </c>
      <c r="F93" s="3">
        <f>SUM(F91:F92)</f>
        <v>51.333333333333329</v>
      </c>
      <c r="G93" s="26">
        <f>SUM(G91:G92)</f>
        <v>362377</v>
      </c>
      <c r="H93" s="4">
        <f t="shared" si="86"/>
        <v>0</v>
      </c>
      <c r="I93" s="3">
        <f t="shared" si="86"/>
        <v>1536</v>
      </c>
      <c r="J93" s="3">
        <f>SUM(J91:J92)</f>
        <v>51.2</v>
      </c>
      <c r="K93" s="26">
        <f>SUM(K91:K92)</f>
        <v>405390</v>
      </c>
      <c r="L93" s="4">
        <f t="shared" si="86"/>
        <v>48</v>
      </c>
      <c r="M93" s="3">
        <f t="shared" si="86"/>
        <v>1519</v>
      </c>
      <c r="N93" s="3">
        <f>SUM(N91:N92)</f>
        <v>50.633333333333333</v>
      </c>
      <c r="O93" s="26">
        <f>SUM(O91:O92)</f>
        <v>404256</v>
      </c>
      <c r="P93" s="4">
        <f t="shared" si="86"/>
        <v>47</v>
      </c>
      <c r="Q93" s="3">
        <f t="shared" si="86"/>
        <v>1537</v>
      </c>
      <c r="R93" s="3">
        <f>SUM(R91:R92)</f>
        <v>51.233333333333334</v>
      </c>
      <c r="S93" s="26">
        <f>SUM(S91:S92)</f>
        <v>429185</v>
      </c>
      <c r="T93" s="4">
        <f t="shared" si="86"/>
        <v>48</v>
      </c>
      <c r="U93" s="3">
        <f t="shared" si="86"/>
        <v>1513</v>
      </c>
      <c r="V93" s="3">
        <f>SUM(V91:V92)</f>
        <v>50.433333333333337</v>
      </c>
      <c r="W93" s="26">
        <f>SUM(W91:W92)</f>
        <v>410302</v>
      </c>
      <c r="X93" s="4">
        <f t="shared" si="86"/>
        <v>55</v>
      </c>
      <c r="Y93" s="3">
        <f t="shared" si="86"/>
        <v>1486</v>
      </c>
      <c r="Z93" s="3">
        <f>SUM(Z91:Z92)</f>
        <v>49.533333333333331</v>
      </c>
      <c r="AA93" s="26">
        <f t="shared" ref="AA93" si="87">SUM(AA91:AA92)</f>
        <v>366694.5</v>
      </c>
      <c r="AB93" s="4">
        <f>SUM(AB91:AB92)</f>
        <v>48</v>
      </c>
      <c r="AC93" s="3">
        <f>SUM(AC91:AC92)</f>
        <v>1564</v>
      </c>
      <c r="AD93" s="3">
        <f>SUM(AD91:AD92)</f>
        <v>52.133333333333333</v>
      </c>
      <c r="AE93" s="26">
        <f t="shared" ref="AE93" si="88">SUM(AE91:AE92)</f>
        <v>428700</v>
      </c>
      <c r="AF93" s="4">
        <f>SUM(AF91:AF92)</f>
        <v>48</v>
      </c>
      <c r="AG93" s="3">
        <f>SUM(AG91:AG92)</f>
        <v>1536</v>
      </c>
      <c r="AH93" s="3">
        <f>SUM(AH91:AH92)</f>
        <v>51.2</v>
      </c>
      <c r="AI93" s="26">
        <f t="shared" ref="AI93" si="89">SUM(AI91:AI92)</f>
        <v>506466</v>
      </c>
      <c r="AJ93" s="4">
        <f>SUM(AJ91:AJ92)</f>
        <v>49</v>
      </c>
      <c r="AK93" s="3">
        <f>SUM(AK91:AK92)</f>
        <v>1551</v>
      </c>
      <c r="AL93" s="3">
        <f>SUM(AL91:AL92)</f>
        <v>51.7</v>
      </c>
      <c r="AM93" s="26">
        <f t="shared" ref="AM93" si="90">SUM(AM91:AM92)</f>
        <v>490291</v>
      </c>
      <c r="AN93" s="4">
        <f>SUM(AN91:AN92)</f>
        <v>46</v>
      </c>
      <c r="AO93" s="3">
        <f>SUM(AO91:AO92)</f>
        <v>1469</v>
      </c>
      <c r="AP93" s="3">
        <f>SUM(AP91:AP92)</f>
        <v>48.966666666666669</v>
      </c>
      <c r="AQ93" s="26">
        <f t="shared" ref="AQ93:AU93" si="91">SUM(AQ91:AQ92)</f>
        <v>449868</v>
      </c>
      <c r="AR93" s="4">
        <f t="shared" si="91"/>
        <v>48</v>
      </c>
      <c r="AS93" s="3">
        <f t="shared" si="91"/>
        <v>1513</v>
      </c>
      <c r="AT93" s="3">
        <f t="shared" si="91"/>
        <v>50.43333333333333</v>
      </c>
      <c r="AU93" s="26">
        <f t="shared" si="91"/>
        <v>467946</v>
      </c>
    </row>
    <row r="94" spans="2:47">
      <c r="B94" s="8"/>
      <c r="C94" s="9"/>
      <c r="D94" s="5"/>
      <c r="E94" s="6"/>
      <c r="G94" s="6"/>
      <c r="H94" s="6"/>
      <c r="I94" s="6"/>
      <c r="K94" s="6"/>
      <c r="L94" s="6"/>
      <c r="M94" s="6"/>
      <c r="O94" s="6"/>
      <c r="P94" s="6"/>
      <c r="Q94" s="6"/>
      <c r="S94" s="6"/>
      <c r="T94" s="6"/>
      <c r="U94" s="6"/>
      <c r="W94" s="6"/>
      <c r="X94" s="6"/>
      <c r="Y94" s="6"/>
      <c r="Z94" s="153"/>
      <c r="AA94" s="150"/>
      <c r="AB94" s="151"/>
      <c r="AC94" s="149"/>
      <c r="AD94" s="153"/>
      <c r="AE94" s="150"/>
      <c r="AF94" s="151"/>
      <c r="AG94" s="149"/>
      <c r="AH94" s="153"/>
      <c r="AI94" s="150"/>
      <c r="AJ94" s="5"/>
      <c r="AK94" s="6"/>
      <c r="AN94" s="5"/>
      <c r="AO94" s="6"/>
      <c r="AR94" s="5"/>
      <c r="AS94" s="6"/>
    </row>
    <row r="95" spans="2:47">
      <c r="B95" s="459" t="s">
        <v>11</v>
      </c>
      <c r="C95" s="10" t="s">
        <v>8</v>
      </c>
      <c r="D95" s="113">
        <v>0</v>
      </c>
      <c r="E95" s="114">
        <v>94</v>
      </c>
      <c r="F95" s="3">
        <f>E95/24</f>
        <v>3.9166666666666665</v>
      </c>
      <c r="G95" s="27">
        <v>3613524</v>
      </c>
      <c r="H95" s="113">
        <v>0</v>
      </c>
      <c r="I95" s="114">
        <v>157</v>
      </c>
      <c r="J95" s="3">
        <f>I95/24</f>
        <v>6.541666666666667</v>
      </c>
      <c r="K95" s="27">
        <v>3583449</v>
      </c>
      <c r="L95" s="113">
        <v>15</v>
      </c>
      <c r="M95" s="114">
        <v>165</v>
      </c>
      <c r="N95" s="3">
        <f>M95/24</f>
        <v>6.875</v>
      </c>
      <c r="O95" s="27">
        <v>3636110</v>
      </c>
      <c r="P95" s="113">
        <v>21</v>
      </c>
      <c r="Q95" s="114">
        <v>122</v>
      </c>
      <c r="R95" s="3">
        <f>Q95/24</f>
        <v>5.083333333333333</v>
      </c>
      <c r="S95" s="27">
        <v>3788787</v>
      </c>
      <c r="T95" s="113">
        <v>18</v>
      </c>
      <c r="U95" s="114">
        <v>109</v>
      </c>
      <c r="V95" s="3">
        <f>U95/24</f>
        <v>4.541666666666667</v>
      </c>
      <c r="W95" s="27">
        <f>4064574-1879</f>
        <v>4062695</v>
      </c>
      <c r="X95" s="113">
        <v>18</v>
      </c>
      <c r="Y95" s="114">
        <v>120</v>
      </c>
      <c r="Z95" s="3">
        <f>Y95/24</f>
        <v>5</v>
      </c>
      <c r="AA95" s="27">
        <v>16516.75</v>
      </c>
      <c r="AB95" s="113">
        <v>19</v>
      </c>
      <c r="AC95" s="114">
        <v>144</v>
      </c>
      <c r="AD95" s="3">
        <f>AC95/24</f>
        <v>6</v>
      </c>
      <c r="AE95" s="27">
        <v>21658</v>
      </c>
      <c r="AF95" s="113">
        <v>13</v>
      </c>
      <c r="AG95" s="114">
        <v>115</v>
      </c>
      <c r="AH95" s="3">
        <f>AG95/24</f>
        <v>4.791666666666667</v>
      </c>
      <c r="AI95" s="27">
        <v>19588</v>
      </c>
      <c r="AJ95" s="113">
        <v>20</v>
      </c>
      <c r="AK95" s="114">
        <v>255</v>
      </c>
      <c r="AL95" s="3">
        <f>AK95/24</f>
        <v>10.625</v>
      </c>
      <c r="AM95" s="27">
        <v>32054</v>
      </c>
      <c r="AN95" s="113">
        <v>1</v>
      </c>
      <c r="AO95" s="114">
        <v>23</v>
      </c>
      <c r="AP95" s="3">
        <f>AO95/24</f>
        <v>0.95833333333333337</v>
      </c>
      <c r="AQ95" s="27">
        <v>20460</v>
      </c>
      <c r="AR95" s="1">
        <v>21</v>
      </c>
      <c r="AS95" s="2">
        <v>745</v>
      </c>
      <c r="AT95" s="3">
        <f>AS95/24</f>
        <v>31.041666666666668</v>
      </c>
      <c r="AU95" s="29">
        <v>20801</v>
      </c>
    </row>
    <row r="96" spans="2:47">
      <c r="B96" s="460"/>
      <c r="C96" s="10" t="s">
        <v>9</v>
      </c>
      <c r="D96" s="113">
        <v>0</v>
      </c>
      <c r="E96" s="114">
        <v>111</v>
      </c>
      <c r="F96" s="3">
        <f>E96/24</f>
        <v>4.625</v>
      </c>
      <c r="G96" s="27">
        <v>3515495</v>
      </c>
      <c r="H96" s="113">
        <v>0</v>
      </c>
      <c r="I96" s="114">
        <v>84</v>
      </c>
      <c r="J96" s="3">
        <f>I96/24</f>
        <v>3.5</v>
      </c>
      <c r="K96" s="27">
        <v>3804169</v>
      </c>
      <c r="L96" s="113">
        <v>4</v>
      </c>
      <c r="M96" s="114">
        <v>72</v>
      </c>
      <c r="N96" s="3">
        <f>M96/24</f>
        <v>3</v>
      </c>
      <c r="O96" s="27">
        <v>3694824</v>
      </c>
      <c r="P96" s="113">
        <v>15</v>
      </c>
      <c r="Q96" s="114">
        <v>55</v>
      </c>
      <c r="R96" s="3">
        <f>Q96/24</f>
        <v>2.2916666666666665</v>
      </c>
      <c r="S96" s="27">
        <v>3547068</v>
      </c>
      <c r="T96" s="113">
        <v>19</v>
      </c>
      <c r="U96" s="114">
        <v>76</v>
      </c>
      <c r="V96" s="3">
        <f>U96/24</f>
        <v>3.1666666666666665</v>
      </c>
      <c r="W96" s="27">
        <v>3276293</v>
      </c>
      <c r="X96" s="113">
        <v>25</v>
      </c>
      <c r="Y96" s="114">
        <v>44</v>
      </c>
      <c r="Z96" s="3">
        <f>Y96/24</f>
        <v>1.8333333333333333</v>
      </c>
      <c r="AA96" s="27">
        <v>8100</v>
      </c>
      <c r="AB96" s="113">
        <v>21</v>
      </c>
      <c r="AC96" s="114">
        <v>56</v>
      </c>
      <c r="AD96" s="3">
        <f>AC96/24</f>
        <v>2.3333333333333335</v>
      </c>
      <c r="AE96" s="27">
        <v>24056</v>
      </c>
      <c r="AF96" s="113">
        <v>14</v>
      </c>
      <c r="AG96" s="114">
        <v>81</v>
      </c>
      <c r="AH96" s="3">
        <f>AG96/24</f>
        <v>3.375</v>
      </c>
      <c r="AI96" s="27">
        <v>2853</v>
      </c>
      <c r="AJ96" s="113">
        <v>25</v>
      </c>
      <c r="AK96" s="114">
        <v>12</v>
      </c>
      <c r="AL96" s="3">
        <f>AK96/24</f>
        <v>0.5</v>
      </c>
      <c r="AM96" s="27">
        <v>22471</v>
      </c>
      <c r="AN96" s="113">
        <v>3</v>
      </c>
      <c r="AO96" s="114">
        <v>24</v>
      </c>
      <c r="AP96" s="3">
        <f>AO96/24</f>
        <v>1</v>
      </c>
      <c r="AQ96" s="27">
        <v>13678</v>
      </c>
      <c r="AR96" s="1">
        <v>16</v>
      </c>
      <c r="AS96" s="2">
        <v>476</v>
      </c>
      <c r="AT96" s="3">
        <f>AS96/24</f>
        <v>19.833333333333332</v>
      </c>
      <c r="AU96" s="29">
        <v>64482</v>
      </c>
    </row>
    <row r="97" spans="2:48">
      <c r="B97" s="461"/>
      <c r="C97" s="11" t="s">
        <v>10</v>
      </c>
      <c r="D97" s="4">
        <f t="shared" ref="D97:AA97" si="92">SUM(D95:D96)</f>
        <v>0</v>
      </c>
      <c r="E97" s="3">
        <f t="shared" si="92"/>
        <v>205</v>
      </c>
      <c r="F97" s="3">
        <f t="shared" si="92"/>
        <v>8.5416666666666661</v>
      </c>
      <c r="G97" s="26">
        <f>SUM(G95:G96)</f>
        <v>7129019</v>
      </c>
      <c r="H97" s="4">
        <f t="shared" si="92"/>
        <v>0</v>
      </c>
      <c r="I97" s="3">
        <f t="shared" si="92"/>
        <v>241</v>
      </c>
      <c r="J97" s="3">
        <f t="shared" si="92"/>
        <v>10.041666666666668</v>
      </c>
      <c r="K97" s="26">
        <f>SUM(K95:K96)</f>
        <v>7387618</v>
      </c>
      <c r="L97" s="4">
        <f t="shared" si="92"/>
        <v>19</v>
      </c>
      <c r="M97" s="3">
        <f t="shared" si="92"/>
        <v>237</v>
      </c>
      <c r="N97" s="3">
        <f t="shared" si="92"/>
        <v>9.875</v>
      </c>
      <c r="O97" s="26">
        <f>SUM(O95:O96)</f>
        <v>7330934</v>
      </c>
      <c r="P97" s="4">
        <f t="shared" si="92"/>
        <v>36</v>
      </c>
      <c r="Q97" s="3">
        <f t="shared" si="92"/>
        <v>177</v>
      </c>
      <c r="R97" s="3">
        <f t="shared" si="92"/>
        <v>7.375</v>
      </c>
      <c r="S97" s="26">
        <f>SUM(S95:S96)</f>
        <v>7335855</v>
      </c>
      <c r="T97" s="4">
        <f t="shared" si="92"/>
        <v>37</v>
      </c>
      <c r="U97" s="3">
        <f t="shared" si="92"/>
        <v>185</v>
      </c>
      <c r="V97" s="3">
        <f t="shared" si="92"/>
        <v>7.7083333333333339</v>
      </c>
      <c r="W97" s="26">
        <f>SUM(W95:W96)</f>
        <v>7338988</v>
      </c>
      <c r="X97" s="4">
        <f t="shared" si="92"/>
        <v>43</v>
      </c>
      <c r="Y97" s="3">
        <f t="shared" si="92"/>
        <v>164</v>
      </c>
      <c r="Z97" s="3">
        <f t="shared" si="92"/>
        <v>6.833333333333333</v>
      </c>
      <c r="AA97" s="26">
        <f t="shared" si="92"/>
        <v>24616.75</v>
      </c>
      <c r="AB97" s="4">
        <f>SUM(AB95:AB96)</f>
        <v>40</v>
      </c>
      <c r="AC97" s="3">
        <f>SUM(AC95:AC96)</f>
        <v>200</v>
      </c>
      <c r="AD97" s="3">
        <f>SUM(AD95:AD96)</f>
        <v>8.3333333333333339</v>
      </c>
      <c r="AE97" s="26">
        <f t="shared" ref="AE97" si="93">SUM(AE95:AE96)</f>
        <v>45714</v>
      </c>
      <c r="AF97" s="4">
        <f>SUM(AF95:AF96)</f>
        <v>27</v>
      </c>
      <c r="AG97" s="3">
        <f>SUM(AG95:AG96)</f>
        <v>196</v>
      </c>
      <c r="AH97" s="3">
        <f>SUM(AH95:AH96)</f>
        <v>8.1666666666666679</v>
      </c>
      <c r="AI97" s="26">
        <f t="shared" ref="AI97" si="94">SUM(AI95:AI96)</f>
        <v>22441</v>
      </c>
      <c r="AJ97" s="4">
        <f>SUM(AJ95:AJ96)</f>
        <v>45</v>
      </c>
      <c r="AK97" s="3">
        <f>SUM(AK95:AK96)</f>
        <v>267</v>
      </c>
      <c r="AL97" s="3">
        <f>SUM(AL95:AL96)</f>
        <v>11.125</v>
      </c>
      <c r="AM97" s="26">
        <f t="shared" ref="AM97" si="95">SUM(AM95:AM96)</f>
        <v>54525</v>
      </c>
      <c r="AN97" s="4">
        <f>SUM(AN95:AN96)</f>
        <v>4</v>
      </c>
      <c r="AO97" s="3">
        <f>SUM(AO95:AO96)</f>
        <v>47</v>
      </c>
      <c r="AP97" s="3">
        <f>SUM(AP95:AP96)</f>
        <v>1.9583333333333335</v>
      </c>
      <c r="AQ97" s="26">
        <f t="shared" ref="AQ97" si="96">SUM(AQ95:AQ96)</f>
        <v>34138</v>
      </c>
      <c r="AR97" s="4">
        <f t="shared" ref="AR97:AU97" si="97">SUM(AR95:AR96)</f>
        <v>37</v>
      </c>
      <c r="AS97" s="3">
        <f t="shared" si="97"/>
        <v>1221</v>
      </c>
      <c r="AT97" s="3">
        <f t="shared" si="97"/>
        <v>50.875</v>
      </c>
      <c r="AU97" s="26">
        <f t="shared" si="97"/>
        <v>85283</v>
      </c>
    </row>
    <row r="98" spans="2:48">
      <c r="B98" s="8"/>
      <c r="C98" s="9"/>
      <c r="D98" s="5"/>
      <c r="E98" s="6"/>
      <c r="F98" s="5"/>
      <c r="G98" s="5"/>
      <c r="H98" s="5"/>
      <c r="I98" s="6"/>
      <c r="K98" s="6"/>
      <c r="L98" s="6"/>
      <c r="M98" s="6"/>
      <c r="O98" s="6"/>
      <c r="P98" s="6"/>
      <c r="Q98" s="6"/>
      <c r="S98" s="6"/>
      <c r="T98" s="6"/>
      <c r="U98" s="6"/>
      <c r="W98" s="6"/>
      <c r="X98" s="6"/>
      <c r="Y98" s="6"/>
      <c r="Z98" s="153"/>
      <c r="AA98" s="150"/>
      <c r="AB98" s="5"/>
      <c r="AC98" s="6"/>
      <c r="AD98" s="153"/>
      <c r="AE98" s="150"/>
      <c r="AF98" s="5"/>
      <c r="AG98" s="6"/>
      <c r="AH98" s="153"/>
      <c r="AI98" s="150"/>
      <c r="AJ98" s="5"/>
      <c r="AK98" s="6"/>
      <c r="AN98" s="5"/>
      <c r="AO98" s="6"/>
      <c r="AR98" s="5"/>
      <c r="AS98" s="6"/>
    </row>
    <row r="99" spans="2:48">
      <c r="B99" s="459" t="s">
        <v>12</v>
      </c>
      <c r="C99" s="10" t="s">
        <v>8</v>
      </c>
      <c r="D99" s="113">
        <v>0</v>
      </c>
      <c r="E99" s="114">
        <v>6134</v>
      </c>
      <c r="F99" s="3">
        <f>E99/24</f>
        <v>255.58333333333334</v>
      </c>
      <c r="G99" s="27"/>
      <c r="H99" s="113">
        <v>0</v>
      </c>
      <c r="I99" s="114">
        <v>6232</v>
      </c>
      <c r="J99" s="3">
        <f>I99/24</f>
        <v>259.66666666666669</v>
      </c>
      <c r="K99" s="27"/>
      <c r="L99" s="113">
        <v>142</v>
      </c>
      <c r="M99" s="114">
        <v>6316</v>
      </c>
      <c r="N99" s="3">
        <f>M99/24</f>
        <v>263.16666666666669</v>
      </c>
      <c r="O99" s="27"/>
      <c r="P99" s="113">
        <v>136</v>
      </c>
      <c r="Q99" s="114">
        <v>6331</v>
      </c>
      <c r="R99" s="3">
        <f>Q99/24</f>
        <v>263.79166666666669</v>
      </c>
      <c r="S99" s="27"/>
      <c r="T99" s="113">
        <v>141</v>
      </c>
      <c r="U99" s="114">
        <v>6553</v>
      </c>
      <c r="V99" s="3">
        <f>U99/24</f>
        <v>273.04166666666669</v>
      </c>
      <c r="W99" s="27"/>
      <c r="X99" s="113">
        <v>161</v>
      </c>
      <c r="Y99" s="114">
        <v>5944</v>
      </c>
      <c r="Z99" s="3">
        <f>Y99/24</f>
        <v>247.66666666666666</v>
      </c>
      <c r="AA99" s="27">
        <v>4111054</v>
      </c>
      <c r="AB99" s="113">
        <v>146</v>
      </c>
      <c r="AC99" s="114">
        <f>1877+2341+1519+304+272</f>
        <v>6313</v>
      </c>
      <c r="AD99" s="3">
        <f>AC99/24</f>
        <v>263.04166666666669</v>
      </c>
      <c r="AE99" s="27">
        <v>4809032</v>
      </c>
      <c r="AF99" s="113">
        <v>145</v>
      </c>
      <c r="AG99" s="114">
        <v>6328</v>
      </c>
      <c r="AH99" s="3">
        <f>AG99/24</f>
        <v>263.66666666666669</v>
      </c>
      <c r="AI99" s="27">
        <v>5140692</v>
      </c>
      <c r="AJ99" s="113">
        <v>152</v>
      </c>
      <c r="AK99" s="114">
        <v>7651</v>
      </c>
      <c r="AL99" s="3">
        <f>AK99/24</f>
        <v>318.79166666666669</v>
      </c>
      <c r="AM99" s="27">
        <v>5805378</v>
      </c>
      <c r="AN99" s="113">
        <v>175</v>
      </c>
      <c r="AO99" s="114">
        <v>6680</v>
      </c>
      <c r="AP99" s="3">
        <f>AO99/24</f>
        <v>278.33333333333331</v>
      </c>
      <c r="AQ99" s="27">
        <v>5905393</v>
      </c>
      <c r="AR99" s="1">
        <v>158</v>
      </c>
      <c r="AS99" s="2">
        <v>5999</v>
      </c>
      <c r="AT99" s="3">
        <f>AS99/24</f>
        <v>249.95833333333334</v>
      </c>
      <c r="AU99" s="29">
        <v>6002467</v>
      </c>
      <c r="AV99" s="23"/>
    </row>
    <row r="100" spans="2:48">
      <c r="B100" s="460"/>
      <c r="C100" s="10" t="s">
        <v>9</v>
      </c>
      <c r="D100" s="113">
        <v>0</v>
      </c>
      <c r="E100" s="114">
        <v>2876</v>
      </c>
      <c r="F100" s="3">
        <f>E100/24</f>
        <v>119.83333333333333</v>
      </c>
      <c r="G100" s="27"/>
      <c r="H100" s="113">
        <v>0</v>
      </c>
      <c r="I100" s="114">
        <v>2764</v>
      </c>
      <c r="J100" s="3">
        <f>I100/24</f>
        <v>115.16666666666667</v>
      </c>
      <c r="K100" s="27"/>
      <c r="L100" s="113">
        <v>63</v>
      </c>
      <c r="M100" s="114">
        <v>2801</v>
      </c>
      <c r="N100" s="3">
        <f>M100/24</f>
        <v>116.70833333333333</v>
      </c>
      <c r="O100" s="27"/>
      <c r="P100" s="113">
        <v>54</v>
      </c>
      <c r="Q100" s="114">
        <v>2549</v>
      </c>
      <c r="R100" s="3">
        <f>Q100/24</f>
        <v>106.20833333333333</v>
      </c>
      <c r="S100" s="27"/>
      <c r="T100" s="113">
        <v>50</v>
      </c>
      <c r="U100" s="114">
        <v>2514</v>
      </c>
      <c r="V100" s="3">
        <f>U100/24</f>
        <v>104.75</v>
      </c>
      <c r="W100" s="27"/>
      <c r="X100" s="113">
        <v>54</v>
      </c>
      <c r="Y100" s="114">
        <v>2493</v>
      </c>
      <c r="Z100" s="3">
        <f>Y100/24</f>
        <v>103.875</v>
      </c>
      <c r="AA100" s="27">
        <v>3635681</v>
      </c>
      <c r="AB100" s="113">
        <v>51</v>
      </c>
      <c r="AC100" s="114">
        <f>704+792+578+272+257</f>
        <v>2603</v>
      </c>
      <c r="AD100" s="3">
        <f>AC100/24</f>
        <v>108.45833333333333</v>
      </c>
      <c r="AE100" s="27">
        <v>3663464</v>
      </c>
      <c r="AF100" s="113">
        <v>62</v>
      </c>
      <c r="AG100" s="114">
        <v>2904</v>
      </c>
      <c r="AH100" s="3">
        <f>AG100/24</f>
        <v>121</v>
      </c>
      <c r="AI100" s="27">
        <v>4589030</v>
      </c>
      <c r="AJ100" s="113">
        <v>65</v>
      </c>
      <c r="AK100" s="114">
        <v>3763</v>
      </c>
      <c r="AL100" s="3">
        <f>AK100/24</f>
        <v>156.79166666666666</v>
      </c>
      <c r="AM100" s="27">
        <v>5091316</v>
      </c>
      <c r="AN100" s="113">
        <v>87</v>
      </c>
      <c r="AO100" s="114">
        <v>3143</v>
      </c>
      <c r="AP100" s="3">
        <f>AO100/24</f>
        <v>130.95833333333334</v>
      </c>
      <c r="AQ100" s="27">
        <v>5498588</v>
      </c>
      <c r="AR100" s="1">
        <v>65</v>
      </c>
      <c r="AS100" s="2">
        <v>2436</v>
      </c>
      <c r="AT100" s="3">
        <f>AS100/24</f>
        <v>101.5</v>
      </c>
      <c r="AU100" s="29">
        <v>5206837</v>
      </c>
      <c r="AV100" s="23"/>
    </row>
    <row r="101" spans="2:48">
      <c r="B101" s="461"/>
      <c r="C101" s="11" t="s">
        <v>10</v>
      </c>
      <c r="D101" s="4">
        <f t="shared" ref="D101:AA101" si="98">SUM(D99:D100)</f>
        <v>0</v>
      </c>
      <c r="E101" s="3">
        <f t="shared" si="98"/>
        <v>9010</v>
      </c>
      <c r="F101" s="3">
        <f t="shared" si="98"/>
        <v>375.41666666666669</v>
      </c>
      <c r="G101" s="26">
        <f>SUM(G99:G100)</f>
        <v>0</v>
      </c>
      <c r="H101" s="4">
        <f t="shared" si="98"/>
        <v>0</v>
      </c>
      <c r="I101" s="3">
        <f t="shared" si="98"/>
        <v>8996</v>
      </c>
      <c r="J101" s="3">
        <f t="shared" si="98"/>
        <v>374.83333333333337</v>
      </c>
      <c r="K101" s="26">
        <f>SUM(K99:K100)</f>
        <v>0</v>
      </c>
      <c r="L101" s="4">
        <f t="shared" si="98"/>
        <v>205</v>
      </c>
      <c r="M101" s="3">
        <f t="shared" si="98"/>
        <v>9117</v>
      </c>
      <c r="N101" s="3">
        <f t="shared" si="98"/>
        <v>379.875</v>
      </c>
      <c r="O101" s="26">
        <f>SUM(O99:O100)</f>
        <v>0</v>
      </c>
      <c r="P101" s="4">
        <f t="shared" si="98"/>
        <v>190</v>
      </c>
      <c r="Q101" s="3">
        <f t="shared" si="98"/>
        <v>8880</v>
      </c>
      <c r="R101" s="3">
        <f t="shared" si="98"/>
        <v>370</v>
      </c>
      <c r="S101" s="26">
        <f>SUM(S99:S100)</f>
        <v>0</v>
      </c>
      <c r="T101" s="4">
        <f t="shared" si="98"/>
        <v>191</v>
      </c>
      <c r="U101" s="3">
        <f t="shared" si="98"/>
        <v>9067</v>
      </c>
      <c r="V101" s="3">
        <f t="shared" si="98"/>
        <v>377.79166666666669</v>
      </c>
      <c r="W101" s="26">
        <f>SUM(W99:W100)</f>
        <v>0</v>
      </c>
      <c r="X101" s="4">
        <f t="shared" si="98"/>
        <v>215</v>
      </c>
      <c r="Y101" s="3">
        <f t="shared" si="98"/>
        <v>8437</v>
      </c>
      <c r="Z101" s="3">
        <f t="shared" si="98"/>
        <v>351.54166666666663</v>
      </c>
      <c r="AA101" s="26">
        <f t="shared" si="98"/>
        <v>7746735</v>
      </c>
      <c r="AB101" s="4">
        <f>SUM(AB99:AB100)</f>
        <v>197</v>
      </c>
      <c r="AC101" s="3">
        <f>SUM(AC99:AC100)</f>
        <v>8916</v>
      </c>
      <c r="AD101" s="3">
        <f>SUM(AD99:AD100)</f>
        <v>371.5</v>
      </c>
      <c r="AE101" s="26">
        <f t="shared" ref="AE101" si="99">SUM(AE99:AE100)</f>
        <v>8472496</v>
      </c>
      <c r="AF101" s="4">
        <f>SUM(AF99:AF100)</f>
        <v>207</v>
      </c>
      <c r="AG101" s="3">
        <f>SUM(AG99:AG100)</f>
        <v>9232</v>
      </c>
      <c r="AH101" s="3">
        <f>SUM(AH99:AH100)</f>
        <v>384.66666666666669</v>
      </c>
      <c r="AI101" s="26">
        <f t="shared" ref="AI101" si="100">SUM(AI99:AI100)</f>
        <v>9729722</v>
      </c>
      <c r="AJ101" s="4">
        <f>SUM(AJ99:AJ100)</f>
        <v>217</v>
      </c>
      <c r="AK101" s="3">
        <f>SUM(AK99:AK100)</f>
        <v>11414</v>
      </c>
      <c r="AL101" s="3">
        <f>SUM(AL99:AL100)</f>
        <v>475.58333333333337</v>
      </c>
      <c r="AM101" s="26">
        <f t="shared" ref="AM101" si="101">SUM(AM99:AM100)</f>
        <v>10896694</v>
      </c>
      <c r="AN101" s="4">
        <f>SUM(AN99:AN100)</f>
        <v>262</v>
      </c>
      <c r="AO101" s="3">
        <f>SUM(AO99:AO100)</f>
        <v>9823</v>
      </c>
      <c r="AP101" s="3">
        <f>SUM(AP99:AP100)</f>
        <v>409.29166666666663</v>
      </c>
      <c r="AQ101" s="26">
        <f t="shared" ref="AQ101" si="102">SUM(AQ99:AQ100)</f>
        <v>11403981</v>
      </c>
      <c r="AR101" s="4">
        <f t="shared" ref="AR101:AU101" si="103">SUM(AR99:AR100)</f>
        <v>223</v>
      </c>
      <c r="AS101" s="3">
        <f t="shared" si="103"/>
        <v>8435</v>
      </c>
      <c r="AT101" s="3">
        <f t="shared" si="103"/>
        <v>351.45833333333337</v>
      </c>
      <c r="AU101" s="26">
        <f t="shared" si="103"/>
        <v>11209304</v>
      </c>
    </row>
    <row r="102" spans="2:48">
      <c r="B102" s="8"/>
      <c r="C102" s="9"/>
      <c r="D102" s="5"/>
      <c r="E102" s="6"/>
      <c r="H102" s="5"/>
      <c r="I102" s="6"/>
      <c r="L102" s="5"/>
      <c r="M102" s="6"/>
      <c r="P102" s="5"/>
      <c r="Q102" s="6"/>
      <c r="T102" s="5"/>
      <c r="U102" s="6"/>
      <c r="X102" s="5"/>
      <c r="Y102" s="6"/>
      <c r="Z102" s="153"/>
      <c r="AA102" s="150"/>
      <c r="AB102" s="5"/>
      <c r="AC102" s="6"/>
      <c r="AD102" s="153"/>
      <c r="AE102" s="150"/>
      <c r="AF102" s="5"/>
      <c r="AG102" s="6"/>
      <c r="AH102" s="153"/>
      <c r="AI102" s="150"/>
      <c r="AJ102" s="5"/>
      <c r="AK102" s="6"/>
      <c r="AN102" s="5"/>
      <c r="AO102" s="6"/>
      <c r="AR102" s="5"/>
      <c r="AS102" s="6"/>
      <c r="AV102" s="23"/>
    </row>
    <row r="103" spans="2:48">
      <c r="B103" s="459" t="s">
        <v>13</v>
      </c>
      <c r="C103" s="10" t="s">
        <v>8</v>
      </c>
      <c r="D103" s="4">
        <f>D91+D95+D99</f>
        <v>0</v>
      </c>
      <c r="E103" s="3">
        <f>E99+E95+E91</f>
        <v>7696</v>
      </c>
      <c r="F103" s="3">
        <f t="shared" ref="F103:H104" si="104">F91+F95+F99</f>
        <v>308.43333333333334</v>
      </c>
      <c r="G103" s="26">
        <f>G91+G95+G99</f>
        <v>3929749</v>
      </c>
      <c r="H103" s="4">
        <f t="shared" si="104"/>
        <v>0</v>
      </c>
      <c r="I103" s="3">
        <f>I99+I95+I91</f>
        <v>7761</v>
      </c>
      <c r="J103" s="3">
        <f t="shared" ref="J103:L104" si="105">J91+J95+J99</f>
        <v>311.94166666666666</v>
      </c>
      <c r="K103" s="26">
        <f>K91+K95+K99</f>
        <v>3880557</v>
      </c>
      <c r="L103" s="4">
        <f t="shared" si="105"/>
        <v>199</v>
      </c>
      <c r="M103" s="3">
        <f>M99+M95+M91</f>
        <v>7808</v>
      </c>
      <c r="N103" s="3">
        <f t="shared" ref="N103:P104" si="106">N91+N95+N99</f>
        <v>314.27500000000003</v>
      </c>
      <c r="O103" s="26">
        <f>O91+O95+O99</f>
        <v>3913886</v>
      </c>
      <c r="P103" s="4">
        <f t="shared" si="106"/>
        <v>198</v>
      </c>
      <c r="Q103" s="3">
        <f>Q99+Q95+Q91</f>
        <v>7795</v>
      </c>
      <c r="R103" s="3">
        <f t="shared" ref="R103:T104" si="107">R91+R95+R99</f>
        <v>313.60833333333335</v>
      </c>
      <c r="S103" s="26">
        <f>S91+S95+S99</f>
        <v>4083032</v>
      </c>
      <c r="T103" s="4">
        <f t="shared" si="107"/>
        <v>201</v>
      </c>
      <c r="U103" s="3">
        <f>U99+U95+U91</f>
        <v>7989</v>
      </c>
      <c r="V103" s="3">
        <f t="shared" ref="V103:X104" si="108">V91+V95+V99</f>
        <v>321.81666666666666</v>
      </c>
      <c r="W103" s="26">
        <f>W91+W95+W99</f>
        <v>4355971</v>
      </c>
      <c r="X103" s="4">
        <f t="shared" si="108"/>
        <v>233</v>
      </c>
      <c r="Y103" s="3">
        <f>Y99+Y95+Y91</f>
        <v>7523</v>
      </c>
      <c r="Z103" s="3">
        <f>Z91+Z95+Z99</f>
        <v>301.3</v>
      </c>
      <c r="AA103" s="26">
        <f t="shared" ref="AA103:AA104" si="109">AA91+AA95+AA99</f>
        <v>4429719.5</v>
      </c>
      <c r="AB103" s="4">
        <f>AB91+AB95+AB99</f>
        <v>212</v>
      </c>
      <c r="AC103" s="3">
        <f>AC99+AC95+AC91</f>
        <v>7984</v>
      </c>
      <c r="AD103" s="3">
        <f>AD91+AD95+AD99</f>
        <v>319.94166666666666</v>
      </c>
      <c r="AE103" s="26">
        <f t="shared" ref="AE103:AE104" si="110">AE91+AE95+AE99</f>
        <v>5230844</v>
      </c>
      <c r="AF103" s="4">
        <f>AF91+AF95+AF99</f>
        <v>202</v>
      </c>
      <c r="AG103" s="3">
        <f>AG99+AG95+AG91</f>
        <v>7841</v>
      </c>
      <c r="AH103" s="3">
        <f>AH91+AH95+AH99</f>
        <v>315.05833333333334</v>
      </c>
      <c r="AI103" s="26">
        <f t="shared" ref="AI103:AI104" si="111">AI91+AI95+AI99</f>
        <v>5557312</v>
      </c>
      <c r="AJ103" s="4">
        <f>AJ91+AJ95+AJ99</f>
        <v>218</v>
      </c>
      <c r="AK103" s="3">
        <f>AK99+AK95+AK91</f>
        <v>9376</v>
      </c>
      <c r="AL103" s="3">
        <f>AL91+AL95+AL99</f>
        <v>378.41666666666669</v>
      </c>
      <c r="AM103" s="26">
        <f t="shared" ref="AM103:AM104" si="112">AM91+AM95+AM99</f>
        <v>6261708</v>
      </c>
      <c r="AN103" s="4">
        <f>AN91+AN95+AN99</f>
        <v>221</v>
      </c>
      <c r="AO103" s="3">
        <f>AO99+AO95+AO91</f>
        <v>8132</v>
      </c>
      <c r="AP103" s="3">
        <f>AP91+AP95+AP99</f>
        <v>326.92499999999995</v>
      </c>
      <c r="AQ103" s="26">
        <f t="shared" ref="AQ103:AR104" si="113">AQ91+AQ95+AQ99</f>
        <v>6343121</v>
      </c>
      <c r="AR103" s="4">
        <f t="shared" si="113"/>
        <v>225</v>
      </c>
      <c r="AS103" s="3">
        <f>AS99+AS95+AS91</f>
        <v>8207</v>
      </c>
      <c r="AT103" s="3">
        <f>AT91+AT95+AT99</f>
        <v>329.76666666666665</v>
      </c>
      <c r="AU103" s="26">
        <f>AU91+AU95+AU99</f>
        <v>6450464</v>
      </c>
    </row>
    <row r="104" spans="2:48">
      <c r="B104" s="460"/>
      <c r="C104" s="10" t="s">
        <v>9</v>
      </c>
      <c r="D104" s="4">
        <f>D92+D96+D100</f>
        <v>0</v>
      </c>
      <c r="E104" s="3">
        <f>E100+E96+E92</f>
        <v>3059</v>
      </c>
      <c r="F104" s="3">
        <f t="shared" si="104"/>
        <v>126.85833333333333</v>
      </c>
      <c r="G104" s="26">
        <f>G92+G96+G100</f>
        <v>3561647</v>
      </c>
      <c r="H104" s="4">
        <f t="shared" si="104"/>
        <v>0</v>
      </c>
      <c r="I104" s="3">
        <f>I100+I96+I92</f>
        <v>3012</v>
      </c>
      <c r="J104" s="3">
        <f t="shared" si="105"/>
        <v>124.13333333333334</v>
      </c>
      <c r="K104" s="26">
        <f>K92+K96+K100</f>
        <v>3912451</v>
      </c>
      <c r="L104" s="4">
        <f t="shared" si="105"/>
        <v>73</v>
      </c>
      <c r="M104" s="3">
        <f>M100+M96+M92</f>
        <v>3065</v>
      </c>
      <c r="N104" s="3">
        <f t="shared" si="106"/>
        <v>126.10833333333333</v>
      </c>
      <c r="O104" s="26">
        <f>O92+O96+O100</f>
        <v>3821304</v>
      </c>
      <c r="P104" s="4">
        <f t="shared" si="106"/>
        <v>75</v>
      </c>
      <c r="Q104" s="3">
        <f>Q100+Q96+Q92</f>
        <v>2799</v>
      </c>
      <c r="R104" s="3">
        <f t="shared" si="107"/>
        <v>115</v>
      </c>
      <c r="S104" s="26">
        <f>S92+S96+S100</f>
        <v>3682008</v>
      </c>
      <c r="T104" s="4">
        <f t="shared" si="107"/>
        <v>75</v>
      </c>
      <c r="U104" s="3">
        <f>U100+U96+U92</f>
        <v>2776</v>
      </c>
      <c r="V104" s="3">
        <f t="shared" si="108"/>
        <v>114.11666666666667</v>
      </c>
      <c r="W104" s="26">
        <f>W92+W96+W100</f>
        <v>3393319</v>
      </c>
      <c r="X104" s="4">
        <f t="shared" si="108"/>
        <v>80</v>
      </c>
      <c r="Y104" s="3">
        <f>Y100+Y96+Y92</f>
        <v>2564</v>
      </c>
      <c r="Z104" s="3">
        <f>Z92+Z96+Z100</f>
        <v>106.60833333333333</v>
      </c>
      <c r="AA104" s="26">
        <f t="shared" si="109"/>
        <v>3708326.75</v>
      </c>
      <c r="AB104" s="4">
        <f>AB92+AB96+AB100</f>
        <v>73</v>
      </c>
      <c r="AC104" s="3">
        <f>AC100+AC96+AC92</f>
        <v>2696</v>
      </c>
      <c r="AD104" s="3">
        <f>AD92+AD96+AD100</f>
        <v>112.02499999999999</v>
      </c>
      <c r="AE104" s="26">
        <f t="shared" si="110"/>
        <v>3716066</v>
      </c>
      <c r="AF104" s="4">
        <f>AF92+AF96+AF100</f>
        <v>80</v>
      </c>
      <c r="AG104" s="3">
        <f>AG100+AG96+AG92</f>
        <v>3123</v>
      </c>
      <c r="AH104" s="3">
        <f>AH92+AH96+AH100</f>
        <v>128.97499999999999</v>
      </c>
      <c r="AI104" s="26">
        <f t="shared" si="111"/>
        <v>4701317</v>
      </c>
      <c r="AJ104" s="4">
        <f>AJ92+AJ96+AJ100</f>
        <v>93</v>
      </c>
      <c r="AK104" s="3">
        <f>AK100+AK96+AK92</f>
        <v>3856</v>
      </c>
      <c r="AL104" s="3">
        <f>AL92+AL96+AL100</f>
        <v>159.99166666666665</v>
      </c>
      <c r="AM104" s="26">
        <f t="shared" si="112"/>
        <v>5179802</v>
      </c>
      <c r="AN104" s="4">
        <f>AN92+AN96+AN100</f>
        <v>91</v>
      </c>
      <c r="AO104" s="3">
        <f>AO100+AO96+AO92</f>
        <v>3207</v>
      </c>
      <c r="AP104" s="3">
        <f>AP92+AP96+AP100</f>
        <v>133.29166666666669</v>
      </c>
      <c r="AQ104" s="26">
        <f t="shared" si="113"/>
        <v>5544866</v>
      </c>
      <c r="AR104" s="4">
        <f t="shared" si="113"/>
        <v>83</v>
      </c>
      <c r="AS104" s="3">
        <f>AS100+AS96+AS92</f>
        <v>2962</v>
      </c>
      <c r="AT104" s="3">
        <f>AT92+AT96+AT100</f>
        <v>123</v>
      </c>
      <c r="AU104" s="26">
        <f>AU92+AU96+AU100</f>
        <v>5312069</v>
      </c>
    </row>
    <row r="105" spans="2:48">
      <c r="B105" s="461"/>
      <c r="C105" s="11" t="s">
        <v>10</v>
      </c>
      <c r="D105" s="4">
        <f t="shared" ref="D105:Z105" si="114">SUM(D103:D104)</f>
        <v>0</v>
      </c>
      <c r="E105" s="3">
        <f t="shared" si="114"/>
        <v>10755</v>
      </c>
      <c r="F105" s="3">
        <f t="shared" si="114"/>
        <v>435.29166666666669</v>
      </c>
      <c r="G105" s="26">
        <f>SUM(G103:G104)</f>
        <v>7491396</v>
      </c>
      <c r="H105" s="4">
        <f t="shared" si="114"/>
        <v>0</v>
      </c>
      <c r="I105" s="3">
        <f t="shared" si="114"/>
        <v>10773</v>
      </c>
      <c r="J105" s="3">
        <f t="shared" si="114"/>
        <v>436.07499999999999</v>
      </c>
      <c r="K105" s="26">
        <f>SUM(K103:K104)</f>
        <v>7793008</v>
      </c>
      <c r="L105" s="4">
        <f t="shared" si="114"/>
        <v>272</v>
      </c>
      <c r="M105" s="3">
        <f t="shared" si="114"/>
        <v>10873</v>
      </c>
      <c r="N105" s="3">
        <f t="shared" si="114"/>
        <v>440.38333333333338</v>
      </c>
      <c r="O105" s="26">
        <f>SUM(O103:O104)</f>
        <v>7735190</v>
      </c>
      <c r="P105" s="4">
        <f t="shared" si="114"/>
        <v>273</v>
      </c>
      <c r="Q105" s="3">
        <f t="shared" si="114"/>
        <v>10594</v>
      </c>
      <c r="R105" s="3">
        <f t="shared" si="114"/>
        <v>428.60833333333335</v>
      </c>
      <c r="S105" s="26">
        <f>SUM(S103:S104)</f>
        <v>7765040</v>
      </c>
      <c r="T105" s="4">
        <f t="shared" si="114"/>
        <v>276</v>
      </c>
      <c r="U105" s="3">
        <f t="shared" si="114"/>
        <v>10765</v>
      </c>
      <c r="V105" s="3">
        <f t="shared" si="114"/>
        <v>435.93333333333334</v>
      </c>
      <c r="W105" s="26">
        <f>SUM(W103:W104)</f>
        <v>7749290</v>
      </c>
      <c r="X105" s="4">
        <f t="shared" si="114"/>
        <v>313</v>
      </c>
      <c r="Y105" s="3">
        <f t="shared" si="114"/>
        <v>10087</v>
      </c>
      <c r="Z105" s="3">
        <f t="shared" si="114"/>
        <v>407.90833333333336</v>
      </c>
      <c r="AA105" s="26">
        <f t="shared" ref="AA105:AQ105" si="115">SUM(AA103:AA104)</f>
        <v>8138046.25</v>
      </c>
      <c r="AB105" s="4">
        <f t="shared" si="115"/>
        <v>285</v>
      </c>
      <c r="AC105" s="3">
        <f t="shared" si="115"/>
        <v>10680</v>
      </c>
      <c r="AD105" s="3">
        <f t="shared" si="115"/>
        <v>431.96666666666664</v>
      </c>
      <c r="AE105" s="26">
        <f t="shared" si="115"/>
        <v>8946910</v>
      </c>
      <c r="AF105" s="4">
        <f t="shared" si="115"/>
        <v>282</v>
      </c>
      <c r="AG105" s="3">
        <f t="shared" si="115"/>
        <v>10964</v>
      </c>
      <c r="AH105" s="3">
        <f t="shared" si="115"/>
        <v>444.0333333333333</v>
      </c>
      <c r="AI105" s="26">
        <f t="shared" si="115"/>
        <v>10258629</v>
      </c>
      <c r="AJ105" s="4">
        <f t="shared" si="115"/>
        <v>311</v>
      </c>
      <c r="AK105" s="3">
        <f t="shared" si="115"/>
        <v>13232</v>
      </c>
      <c r="AL105" s="3">
        <f t="shared" si="115"/>
        <v>538.4083333333333</v>
      </c>
      <c r="AM105" s="26">
        <f t="shared" si="115"/>
        <v>11441510</v>
      </c>
      <c r="AN105" s="4">
        <f t="shared" si="115"/>
        <v>312</v>
      </c>
      <c r="AO105" s="3">
        <f t="shared" si="115"/>
        <v>11339</v>
      </c>
      <c r="AP105" s="3">
        <f t="shared" si="115"/>
        <v>460.21666666666664</v>
      </c>
      <c r="AQ105" s="26">
        <f t="shared" si="115"/>
        <v>11887987</v>
      </c>
      <c r="AR105" s="4">
        <f>SUM(AR103:AR104)</f>
        <v>308</v>
      </c>
      <c r="AS105" s="3">
        <f>SUM(AS103:AS104)</f>
        <v>11169</v>
      </c>
      <c r="AT105" s="402">
        <f>AT101+AT97+AT93</f>
        <v>452.76666666666671</v>
      </c>
      <c r="AU105" s="26">
        <f>SUM(AU103:AU104)</f>
        <v>11762533</v>
      </c>
    </row>
    <row r="106" spans="2:48" ht="21.75" customHeight="1">
      <c r="B106" s="7"/>
      <c r="C106" s="71" t="s">
        <v>15</v>
      </c>
      <c r="D106" s="114"/>
      <c r="E106" s="114"/>
      <c r="F106" s="3">
        <f>E106/24</f>
        <v>0</v>
      </c>
      <c r="G106" s="27"/>
      <c r="H106" s="114"/>
      <c r="I106" s="114"/>
      <c r="J106" s="3">
        <f>I106/24</f>
        <v>0</v>
      </c>
      <c r="K106" s="27"/>
      <c r="L106" s="114"/>
      <c r="M106" s="114"/>
      <c r="N106" s="3">
        <f>M106/24</f>
        <v>0</v>
      </c>
      <c r="O106" s="27"/>
      <c r="P106" s="114"/>
      <c r="Q106" s="114"/>
      <c r="R106" s="3">
        <f>Q106/24</f>
        <v>0</v>
      </c>
      <c r="S106" s="27"/>
      <c r="T106" s="114"/>
      <c r="U106" s="114"/>
      <c r="V106" s="3">
        <f>U106/24</f>
        <v>0</v>
      </c>
      <c r="W106" s="27"/>
      <c r="X106" s="114"/>
      <c r="Y106" s="114"/>
      <c r="Z106" s="3">
        <f>Y106/24</f>
        <v>0</v>
      </c>
      <c r="AA106" s="27"/>
      <c r="AB106" s="114"/>
      <c r="AC106" s="114"/>
      <c r="AD106" s="3">
        <f>AC106/24</f>
        <v>0</v>
      </c>
      <c r="AE106" s="27"/>
      <c r="AF106" s="114"/>
      <c r="AG106" s="114"/>
      <c r="AH106" s="3">
        <f>AG106/24</f>
        <v>0</v>
      </c>
      <c r="AI106" s="27"/>
      <c r="AJ106" s="114"/>
      <c r="AK106" s="114"/>
      <c r="AL106" s="3">
        <f>AK106/24</f>
        <v>0</v>
      </c>
      <c r="AM106" s="27"/>
      <c r="AN106" s="114"/>
      <c r="AO106" s="114"/>
      <c r="AP106" s="3">
        <f>AO106/24</f>
        <v>0</v>
      </c>
      <c r="AQ106" s="27"/>
      <c r="AR106" s="2"/>
      <c r="AS106" s="2"/>
      <c r="AT106" s="3">
        <f>AS106/24</f>
        <v>0</v>
      </c>
      <c r="AU106" s="29"/>
    </row>
    <row r="107" spans="2:48" ht="24.75" customHeight="1">
      <c r="B107" s="21" t="s">
        <v>22</v>
      </c>
      <c r="D107" s="5"/>
      <c r="E107" s="6"/>
      <c r="H107" s="5"/>
      <c r="I107" s="6"/>
      <c r="L107" s="5"/>
      <c r="M107" s="6"/>
      <c r="P107" s="5"/>
      <c r="Q107" s="6"/>
      <c r="T107" s="5"/>
      <c r="U107" s="6"/>
      <c r="X107" s="5"/>
      <c r="Y107" s="6"/>
      <c r="Z107" s="153"/>
      <c r="AA107" s="150"/>
      <c r="AB107" s="5"/>
      <c r="AC107" s="6"/>
      <c r="AD107" s="153"/>
      <c r="AE107" s="150"/>
      <c r="AF107" s="5"/>
      <c r="AG107" s="6"/>
      <c r="AH107" s="153"/>
      <c r="AI107" s="150"/>
      <c r="AJ107" s="5"/>
      <c r="AK107" s="6"/>
      <c r="AN107" s="5"/>
      <c r="AO107" s="6"/>
      <c r="AR107" s="5"/>
      <c r="AS107" s="6"/>
    </row>
    <row r="108" spans="2:48" ht="15">
      <c r="B108" s="28" t="s">
        <v>264</v>
      </c>
      <c r="D108" s="5"/>
      <c r="E108" s="6"/>
      <c r="G108" s="27"/>
      <c r="H108" s="5"/>
      <c r="I108" s="6"/>
      <c r="K108" s="27"/>
      <c r="L108" s="5"/>
      <c r="M108" s="6"/>
      <c r="O108" s="27"/>
      <c r="P108" s="5"/>
      <c r="Q108" s="6"/>
      <c r="S108" s="27"/>
      <c r="T108" s="5"/>
      <c r="U108" s="6"/>
      <c r="W108" s="27"/>
      <c r="X108" s="5"/>
      <c r="Y108" s="6"/>
      <c r="AA108" s="27"/>
      <c r="AB108" s="5"/>
      <c r="AC108" s="6"/>
      <c r="AE108" s="27"/>
      <c r="AF108" s="5"/>
      <c r="AG108" s="6"/>
      <c r="AI108" s="27"/>
      <c r="AJ108" s="5"/>
      <c r="AK108" s="6"/>
      <c r="AM108" s="27"/>
      <c r="AN108" s="5"/>
      <c r="AO108" s="6"/>
      <c r="AQ108" s="27"/>
      <c r="AR108" s="5"/>
      <c r="AS108" s="6"/>
      <c r="AU108" s="29"/>
    </row>
    <row r="109" spans="2:48" ht="15">
      <c r="B109" s="28" t="s">
        <v>265</v>
      </c>
      <c r="D109" s="5"/>
      <c r="E109" s="6"/>
      <c r="G109" s="27"/>
      <c r="H109" s="5"/>
      <c r="I109" s="6"/>
      <c r="K109" s="27"/>
      <c r="L109" s="5"/>
      <c r="M109" s="6"/>
      <c r="O109" s="27"/>
      <c r="P109" s="5"/>
      <c r="Q109" s="6"/>
      <c r="S109" s="27"/>
      <c r="T109" s="5"/>
      <c r="U109" s="6"/>
      <c r="W109" s="27"/>
      <c r="X109" s="5"/>
      <c r="Y109" s="6"/>
      <c r="AA109" s="27">
        <v>210878</v>
      </c>
      <c r="AB109" s="5"/>
      <c r="AC109" s="6"/>
      <c r="AE109" s="27">
        <v>983686</v>
      </c>
      <c r="AF109" s="5"/>
      <c r="AG109" s="6"/>
      <c r="AI109" s="27">
        <v>1093068</v>
      </c>
      <c r="AJ109" s="5"/>
      <c r="AK109" s="6"/>
      <c r="AM109" s="27">
        <v>929833</v>
      </c>
      <c r="AN109" s="5"/>
      <c r="AO109" s="6"/>
      <c r="AQ109" s="27">
        <v>904730</v>
      </c>
      <c r="AR109" s="5"/>
      <c r="AS109" s="6"/>
      <c r="AU109" s="29">
        <v>775622</v>
      </c>
    </row>
    <row r="110" spans="2:48" ht="15">
      <c r="B110" s="28" t="s">
        <v>23</v>
      </c>
      <c r="D110" s="5"/>
      <c r="E110" s="6"/>
      <c r="G110" s="26">
        <f>G105-G108-G109</f>
        <v>7491396</v>
      </c>
      <c r="H110" s="5"/>
      <c r="I110" s="6"/>
      <c r="K110" s="26">
        <f>K105-K108-K109</f>
        <v>7793008</v>
      </c>
      <c r="L110" s="5"/>
      <c r="M110" s="6"/>
      <c r="O110" s="26">
        <f>O105-O108-O109</f>
        <v>7735190</v>
      </c>
      <c r="P110" s="5"/>
      <c r="Q110" s="6"/>
      <c r="S110" s="26">
        <f>S105-S108-S109</f>
        <v>7765040</v>
      </c>
      <c r="T110" s="5"/>
      <c r="U110" s="6"/>
      <c r="W110" s="26">
        <f>W105-W108-W109</f>
        <v>7749290</v>
      </c>
      <c r="X110" s="5"/>
      <c r="Y110" s="6"/>
      <c r="AA110" s="26">
        <f>AA105-AA108-AA109</f>
        <v>7927168.25</v>
      </c>
      <c r="AB110" s="5"/>
      <c r="AC110" s="6"/>
      <c r="AE110" s="26">
        <f>AE105-AE108-AE109</f>
        <v>7963224</v>
      </c>
      <c r="AF110" s="5"/>
      <c r="AG110" s="6"/>
      <c r="AI110" s="26">
        <f>AI105-AI108-AI109</f>
        <v>9165561</v>
      </c>
      <c r="AJ110" s="5"/>
      <c r="AK110" s="6"/>
      <c r="AM110" s="26">
        <f>AM105-AM108-AM109</f>
        <v>10511677</v>
      </c>
      <c r="AN110" s="5"/>
      <c r="AO110" s="6"/>
      <c r="AQ110" s="26">
        <f>AQ105-AQ108-AQ109</f>
        <v>10983257</v>
      </c>
      <c r="AR110" s="5"/>
      <c r="AS110" s="6"/>
      <c r="AU110" s="26">
        <f>AU105-AU108-AU109</f>
        <v>10986911</v>
      </c>
    </row>
    <row r="111" spans="2:48">
      <c r="D111" s="7"/>
      <c r="E111" s="7"/>
      <c r="F111" s="53"/>
      <c r="G111" s="25"/>
      <c r="H111" s="14"/>
      <c r="I111" s="7"/>
      <c r="J111" s="53"/>
      <c r="K111" s="25"/>
      <c r="L111" s="14"/>
      <c r="M111" s="7"/>
      <c r="N111" s="53"/>
      <c r="O111" s="25"/>
      <c r="P111" s="14"/>
      <c r="Q111" s="7"/>
      <c r="R111" s="53"/>
      <c r="S111" s="25"/>
      <c r="T111" s="14"/>
      <c r="U111" s="7"/>
      <c r="V111" s="53"/>
      <c r="W111" s="25"/>
      <c r="X111" s="14"/>
      <c r="Y111" s="7"/>
      <c r="Z111" s="53"/>
      <c r="AA111" s="25"/>
      <c r="AB111" s="14"/>
      <c r="AC111" s="7"/>
      <c r="AD111" s="53"/>
      <c r="AE111" s="25"/>
      <c r="AF111" s="14"/>
      <c r="AG111" s="7"/>
      <c r="AH111" s="53"/>
      <c r="AI111" s="25"/>
      <c r="AJ111" s="14"/>
      <c r="AK111" s="7"/>
      <c r="AL111" s="53"/>
      <c r="AM111" s="25"/>
      <c r="AN111" s="14"/>
      <c r="AO111" s="7"/>
      <c r="AP111" s="53"/>
      <c r="AQ111" s="25"/>
      <c r="AR111" s="14"/>
      <c r="AS111" s="7"/>
      <c r="AT111" s="53"/>
      <c r="AU111" s="25"/>
    </row>
    <row r="112" spans="2:48">
      <c r="B112" s="12"/>
      <c r="C112" s="12"/>
      <c r="D112" s="12"/>
      <c r="E112" s="12"/>
      <c r="F112" s="54"/>
      <c r="G112" s="24"/>
      <c r="H112" s="13"/>
      <c r="I112" s="12"/>
      <c r="J112" s="54"/>
      <c r="K112" s="24"/>
      <c r="L112" s="13"/>
      <c r="M112" s="12"/>
      <c r="N112" s="54"/>
      <c r="O112" s="24"/>
      <c r="P112" s="13"/>
      <c r="Q112" s="12"/>
      <c r="R112" s="54"/>
      <c r="S112" s="24"/>
      <c r="T112" s="13"/>
      <c r="U112" s="12"/>
      <c r="V112" s="54"/>
      <c r="W112" s="24"/>
      <c r="X112" s="13"/>
      <c r="Y112" s="12"/>
      <c r="Z112" s="54"/>
      <c r="AA112" s="24"/>
      <c r="AB112" s="13"/>
      <c r="AC112" s="12"/>
      <c r="AD112" s="54"/>
      <c r="AE112" s="24"/>
      <c r="AF112" s="13"/>
      <c r="AG112" s="12"/>
      <c r="AH112" s="54"/>
      <c r="AI112" s="24"/>
      <c r="AJ112" s="13"/>
      <c r="AK112" s="12"/>
      <c r="AL112" s="54"/>
      <c r="AM112" s="24"/>
      <c r="AN112" s="13"/>
      <c r="AO112" s="12"/>
      <c r="AP112" s="54"/>
      <c r="AQ112" s="24"/>
      <c r="AR112" s="13"/>
      <c r="AS112" s="12"/>
      <c r="AT112" s="54"/>
      <c r="AU112" s="24"/>
    </row>
    <row r="113" spans="2:49">
      <c r="B113" s="12"/>
      <c r="C113" s="12"/>
      <c r="D113" s="12"/>
      <c r="E113" s="12"/>
      <c r="F113" s="54"/>
      <c r="G113" s="24"/>
      <c r="H113" s="13"/>
      <c r="I113" s="12"/>
      <c r="J113" s="54"/>
      <c r="K113" s="24"/>
      <c r="L113" s="13"/>
      <c r="M113" s="12"/>
      <c r="N113" s="54"/>
      <c r="O113" s="24"/>
      <c r="P113" s="13"/>
      <c r="Q113" s="12"/>
      <c r="R113" s="54"/>
      <c r="S113" s="24"/>
      <c r="T113" s="13"/>
      <c r="U113" s="12"/>
      <c r="V113" s="54"/>
      <c r="W113" s="24"/>
      <c r="X113" s="13"/>
      <c r="Y113" s="12"/>
      <c r="Z113" s="54"/>
      <c r="AA113" s="24"/>
      <c r="AB113" s="13"/>
      <c r="AC113" s="12"/>
      <c r="AD113" s="54"/>
      <c r="AE113" s="24"/>
      <c r="AF113" s="13"/>
      <c r="AG113" s="12"/>
      <c r="AH113" s="54"/>
      <c r="AI113" s="24"/>
      <c r="AJ113" s="13"/>
      <c r="AK113" s="12"/>
      <c r="AL113" s="54"/>
      <c r="AM113" s="24"/>
      <c r="AN113" s="13"/>
      <c r="AO113" s="12"/>
      <c r="AP113" s="54"/>
      <c r="AQ113" s="24"/>
      <c r="AR113" s="13"/>
      <c r="AS113" s="12"/>
      <c r="AT113" s="54"/>
      <c r="AU113" s="24"/>
    </row>
    <row r="114" spans="2:49">
      <c r="B114" s="7"/>
      <c r="C114" s="7"/>
      <c r="D114" s="7"/>
      <c r="E114" s="7"/>
      <c r="F114" s="53"/>
      <c r="G114" s="25"/>
      <c r="H114" s="14"/>
      <c r="I114" s="7"/>
      <c r="J114" s="53"/>
      <c r="K114" s="25"/>
      <c r="L114" s="14"/>
      <c r="M114" s="7"/>
      <c r="N114" s="53"/>
      <c r="O114" s="25"/>
      <c r="P114" s="14"/>
      <c r="Q114" s="7"/>
      <c r="R114" s="53"/>
      <c r="S114" s="25"/>
      <c r="T114" s="14"/>
      <c r="U114" s="7"/>
      <c r="V114" s="53"/>
      <c r="W114" s="25"/>
      <c r="X114" s="14"/>
      <c r="Y114" s="7"/>
      <c r="Z114" s="53"/>
      <c r="AA114" s="25"/>
      <c r="AB114" s="14"/>
      <c r="AC114" s="7"/>
      <c r="AD114" s="53"/>
      <c r="AE114" s="25"/>
      <c r="AF114" s="14"/>
      <c r="AG114" s="7"/>
      <c r="AH114" s="53"/>
      <c r="AI114" s="25"/>
      <c r="AJ114" s="14"/>
      <c r="AK114" s="7"/>
      <c r="AL114" s="53"/>
      <c r="AM114" s="25"/>
      <c r="AN114" s="14"/>
      <c r="AO114" s="7"/>
      <c r="AP114" s="53"/>
      <c r="AQ114" s="25"/>
      <c r="AR114" s="14"/>
      <c r="AS114" s="7"/>
      <c r="AT114" s="53"/>
      <c r="AU114" s="25"/>
    </row>
    <row r="115" spans="2:49" ht="20.25">
      <c r="B115" s="470" t="s">
        <v>19</v>
      </c>
      <c r="C115" s="471"/>
      <c r="D115" s="422" t="str">
        <f>D$2</f>
        <v>2012-13</v>
      </c>
      <c r="E115" s="423"/>
      <c r="F115" s="423"/>
      <c r="G115" s="424"/>
      <c r="H115" s="425" t="str">
        <f>H$2</f>
        <v>2013-14</v>
      </c>
      <c r="I115" s="426"/>
      <c r="J115" s="426"/>
      <c r="K115" s="427"/>
      <c r="L115" s="428" t="str">
        <f>L$2</f>
        <v>2014-15</v>
      </c>
      <c r="M115" s="429"/>
      <c r="N115" s="429"/>
      <c r="O115" s="430"/>
      <c r="P115" s="431" t="str">
        <f>P$2</f>
        <v>2015-16</v>
      </c>
      <c r="Q115" s="432"/>
      <c r="R115" s="432"/>
      <c r="S115" s="433"/>
      <c r="T115" s="434" t="str">
        <f>T$2</f>
        <v>2016-17</v>
      </c>
      <c r="U115" s="435"/>
      <c r="V115" s="435"/>
      <c r="W115" s="436"/>
      <c r="X115" s="437" t="str">
        <f>X$2</f>
        <v>2017-18</v>
      </c>
      <c r="Y115" s="438"/>
      <c r="Z115" s="438"/>
      <c r="AA115" s="439"/>
      <c r="AB115" s="422" t="str">
        <f>AB$2</f>
        <v>2018-19</v>
      </c>
      <c r="AC115" s="423"/>
      <c r="AD115" s="423"/>
      <c r="AE115" s="424"/>
      <c r="AF115" s="425" t="str">
        <f>AF$2</f>
        <v>2019-20</v>
      </c>
      <c r="AG115" s="426"/>
      <c r="AH115" s="426"/>
      <c r="AI115" s="427"/>
      <c r="AJ115" s="428" t="str">
        <f>AJ$2</f>
        <v>2020-21</v>
      </c>
      <c r="AK115" s="429"/>
      <c r="AL115" s="429"/>
      <c r="AM115" s="430"/>
      <c r="AN115" s="431" t="str">
        <f>AN$2</f>
        <v>2021-22</v>
      </c>
      <c r="AO115" s="432"/>
      <c r="AP115" s="432"/>
      <c r="AQ115" s="433"/>
      <c r="AR115" s="434" t="str">
        <f>AR$2</f>
        <v>2022-23</v>
      </c>
      <c r="AS115" s="435"/>
      <c r="AT115" s="435"/>
      <c r="AU115" s="436"/>
    </row>
    <row r="116" spans="2:49" ht="15" customHeight="1">
      <c r="B116" s="7"/>
      <c r="C116" s="7"/>
      <c r="D116" s="462" t="s">
        <v>2</v>
      </c>
      <c r="E116" s="465" t="s">
        <v>3</v>
      </c>
      <c r="F116" s="453" t="s">
        <v>4</v>
      </c>
      <c r="G116" s="456" t="s">
        <v>21</v>
      </c>
      <c r="H116" s="462" t="s">
        <v>2</v>
      </c>
      <c r="I116" s="465" t="s">
        <v>3</v>
      </c>
      <c r="J116" s="453" t="s">
        <v>4</v>
      </c>
      <c r="K116" s="456" t="s">
        <v>21</v>
      </c>
      <c r="L116" s="462" t="s">
        <v>2</v>
      </c>
      <c r="M116" s="465" t="s">
        <v>3</v>
      </c>
      <c r="N116" s="453" t="s">
        <v>4</v>
      </c>
      <c r="O116" s="456" t="s">
        <v>21</v>
      </c>
      <c r="P116" s="462" t="s">
        <v>2</v>
      </c>
      <c r="Q116" s="465" t="s">
        <v>3</v>
      </c>
      <c r="R116" s="453" t="s">
        <v>4</v>
      </c>
      <c r="S116" s="456" t="s">
        <v>21</v>
      </c>
      <c r="T116" s="462" t="s">
        <v>2</v>
      </c>
      <c r="U116" s="465" t="s">
        <v>3</v>
      </c>
      <c r="V116" s="453" t="s">
        <v>4</v>
      </c>
      <c r="W116" s="456" t="s">
        <v>21</v>
      </c>
      <c r="X116" s="462" t="s">
        <v>2</v>
      </c>
      <c r="Y116" s="465" t="s">
        <v>3</v>
      </c>
      <c r="Z116" s="453" t="s">
        <v>4</v>
      </c>
      <c r="AA116" s="456" t="s">
        <v>21</v>
      </c>
      <c r="AB116" s="462" t="s">
        <v>2</v>
      </c>
      <c r="AC116" s="465" t="s">
        <v>3</v>
      </c>
      <c r="AD116" s="453" t="s">
        <v>4</v>
      </c>
      <c r="AE116" s="456" t="s">
        <v>21</v>
      </c>
      <c r="AF116" s="462" t="s">
        <v>2</v>
      </c>
      <c r="AG116" s="465" t="s">
        <v>3</v>
      </c>
      <c r="AH116" s="453" t="s">
        <v>4</v>
      </c>
      <c r="AI116" s="456" t="s">
        <v>21</v>
      </c>
      <c r="AJ116" s="462" t="s">
        <v>2</v>
      </c>
      <c r="AK116" s="465" t="s">
        <v>3</v>
      </c>
      <c r="AL116" s="453" t="s">
        <v>4</v>
      </c>
      <c r="AM116" s="456" t="s">
        <v>21</v>
      </c>
      <c r="AN116" s="462" t="s">
        <v>2</v>
      </c>
      <c r="AO116" s="465" t="s">
        <v>3</v>
      </c>
      <c r="AP116" s="453" t="s">
        <v>4</v>
      </c>
      <c r="AQ116" s="456" t="s">
        <v>21</v>
      </c>
      <c r="AR116" s="462" t="s">
        <v>2</v>
      </c>
      <c r="AS116" s="465" t="s">
        <v>3</v>
      </c>
      <c r="AT116" s="453" t="s">
        <v>4</v>
      </c>
      <c r="AU116" s="456" t="s">
        <v>21</v>
      </c>
    </row>
    <row r="117" spans="2:49">
      <c r="B117" s="7"/>
      <c r="C117" s="7"/>
      <c r="D117" s="463"/>
      <c r="E117" s="466"/>
      <c r="F117" s="454"/>
      <c r="G117" s="457"/>
      <c r="H117" s="463"/>
      <c r="I117" s="466"/>
      <c r="J117" s="454"/>
      <c r="K117" s="457"/>
      <c r="L117" s="463"/>
      <c r="M117" s="466"/>
      <c r="N117" s="454"/>
      <c r="O117" s="457"/>
      <c r="P117" s="463"/>
      <c r="Q117" s="466"/>
      <c r="R117" s="454"/>
      <c r="S117" s="457"/>
      <c r="T117" s="463"/>
      <c r="U117" s="466"/>
      <c r="V117" s="454"/>
      <c r="W117" s="457"/>
      <c r="X117" s="463"/>
      <c r="Y117" s="466"/>
      <c r="Z117" s="454"/>
      <c r="AA117" s="457"/>
      <c r="AB117" s="463"/>
      <c r="AC117" s="466"/>
      <c r="AD117" s="454"/>
      <c r="AE117" s="457"/>
      <c r="AF117" s="463"/>
      <c r="AG117" s="466"/>
      <c r="AH117" s="454"/>
      <c r="AI117" s="457"/>
      <c r="AJ117" s="463"/>
      <c r="AK117" s="466"/>
      <c r="AL117" s="454"/>
      <c r="AM117" s="457"/>
      <c r="AN117" s="463"/>
      <c r="AO117" s="466"/>
      <c r="AP117" s="454"/>
      <c r="AQ117" s="457"/>
      <c r="AR117" s="463"/>
      <c r="AS117" s="466"/>
      <c r="AT117" s="454"/>
      <c r="AU117" s="457"/>
    </row>
    <row r="118" spans="2:49">
      <c r="B118" s="144" t="s">
        <v>5</v>
      </c>
      <c r="C118" s="144" t="s">
        <v>6</v>
      </c>
      <c r="D118" s="464"/>
      <c r="E118" s="467"/>
      <c r="F118" s="455"/>
      <c r="G118" s="458"/>
      <c r="H118" s="464"/>
      <c r="I118" s="467"/>
      <c r="J118" s="455"/>
      <c r="K118" s="458"/>
      <c r="L118" s="464"/>
      <c r="M118" s="467"/>
      <c r="N118" s="455"/>
      <c r="O118" s="458"/>
      <c r="P118" s="464"/>
      <c r="Q118" s="467"/>
      <c r="R118" s="455"/>
      <c r="S118" s="458"/>
      <c r="T118" s="464"/>
      <c r="U118" s="467"/>
      <c r="V118" s="455"/>
      <c r="W118" s="458"/>
      <c r="X118" s="464"/>
      <c r="Y118" s="467"/>
      <c r="Z118" s="455"/>
      <c r="AA118" s="458"/>
      <c r="AB118" s="464"/>
      <c r="AC118" s="467"/>
      <c r="AD118" s="455"/>
      <c r="AE118" s="458"/>
      <c r="AF118" s="464"/>
      <c r="AG118" s="467"/>
      <c r="AH118" s="455"/>
      <c r="AI118" s="458"/>
      <c r="AJ118" s="464"/>
      <c r="AK118" s="467"/>
      <c r="AL118" s="455"/>
      <c r="AM118" s="458"/>
      <c r="AN118" s="464"/>
      <c r="AO118" s="467"/>
      <c r="AP118" s="455"/>
      <c r="AQ118" s="458"/>
      <c r="AR118" s="464"/>
      <c r="AS118" s="467"/>
      <c r="AT118" s="455"/>
      <c r="AU118" s="458"/>
    </row>
    <row r="119" spans="2:49">
      <c r="B119" s="459" t="s">
        <v>7</v>
      </c>
      <c r="C119" s="10" t="s">
        <v>8</v>
      </c>
      <c r="D119" s="113">
        <v>0</v>
      </c>
      <c r="E119" s="114">
        <v>3254</v>
      </c>
      <c r="F119" s="3">
        <f>E119/30</f>
        <v>108.46666666666667</v>
      </c>
      <c r="G119" s="27">
        <v>658653</v>
      </c>
      <c r="H119" s="113">
        <v>0</v>
      </c>
      <c r="I119" s="114">
        <v>3462</v>
      </c>
      <c r="J119" s="3">
        <f>I119/30</f>
        <v>115.4</v>
      </c>
      <c r="K119" s="27">
        <v>712725</v>
      </c>
      <c r="L119" s="113">
        <v>95</v>
      </c>
      <c r="M119" s="114">
        <v>3128</v>
      </c>
      <c r="N119" s="3">
        <f>M119/30</f>
        <v>104.26666666666667</v>
      </c>
      <c r="O119" s="27">
        <v>607702</v>
      </c>
      <c r="P119" s="113">
        <v>116</v>
      </c>
      <c r="Q119" s="114">
        <v>2793</v>
      </c>
      <c r="R119" s="3">
        <f>Q119/30</f>
        <v>93.1</v>
      </c>
      <c r="S119" s="27">
        <v>692727</v>
      </c>
      <c r="T119" s="113">
        <v>114</v>
      </c>
      <c r="U119" s="114">
        <v>2842</v>
      </c>
      <c r="V119" s="3">
        <f>U119/30</f>
        <v>94.733333333333334</v>
      </c>
      <c r="W119" s="27">
        <v>760725</v>
      </c>
      <c r="X119" s="113">
        <v>110</v>
      </c>
      <c r="Y119" s="114">
        <v>2635</v>
      </c>
      <c r="Z119" s="3">
        <f>Y119/30</f>
        <v>87.833333333333329</v>
      </c>
      <c r="AA119" s="27">
        <v>456620</v>
      </c>
      <c r="AB119" s="113">
        <v>127</v>
      </c>
      <c r="AC119" s="114">
        <f>795+343+37+75+695+276+33+34+141+54+21+55+9+26</f>
        <v>2594</v>
      </c>
      <c r="AD119" s="3">
        <f>AC119/30</f>
        <v>86.466666666666669</v>
      </c>
      <c r="AE119" s="27">
        <v>875697</v>
      </c>
      <c r="AF119" s="113">
        <v>127</v>
      </c>
      <c r="AG119" s="114">
        <v>3224</v>
      </c>
      <c r="AH119" s="3">
        <f>AG119/30</f>
        <v>107.46666666666667</v>
      </c>
      <c r="AI119" s="27">
        <v>939043</v>
      </c>
      <c r="AJ119" s="113">
        <v>112</v>
      </c>
      <c r="AK119" s="114">
        <v>3381</v>
      </c>
      <c r="AL119" s="3">
        <f>AK119/30</f>
        <v>112.7</v>
      </c>
      <c r="AM119" s="27">
        <v>1173038.8</v>
      </c>
      <c r="AN119" s="113">
        <v>124</v>
      </c>
      <c r="AO119" s="114">
        <v>4235</v>
      </c>
      <c r="AP119" s="3">
        <f>AO119/30</f>
        <v>141.16666666666666</v>
      </c>
      <c r="AQ119" s="27">
        <v>1309781</v>
      </c>
      <c r="AR119" s="1">
        <v>123</v>
      </c>
      <c r="AS119" s="2">
        <v>3711</v>
      </c>
      <c r="AT119" s="3">
        <f>AS119/30</f>
        <v>123.7</v>
      </c>
      <c r="AU119" s="29">
        <v>1245186.48</v>
      </c>
    </row>
    <row r="120" spans="2:49">
      <c r="B120" s="460"/>
      <c r="C120" s="10" t="s">
        <v>9</v>
      </c>
      <c r="D120" s="113">
        <v>0</v>
      </c>
      <c r="E120" s="114">
        <v>573</v>
      </c>
      <c r="F120" s="3">
        <f>E120/30</f>
        <v>19.100000000000001</v>
      </c>
      <c r="G120" s="27">
        <v>959345</v>
      </c>
      <c r="H120" s="113">
        <v>0</v>
      </c>
      <c r="I120" s="114">
        <v>650</v>
      </c>
      <c r="J120" s="3">
        <f>I120/30</f>
        <v>21.666666666666668</v>
      </c>
      <c r="K120" s="27">
        <v>945327</v>
      </c>
      <c r="L120" s="113">
        <v>44</v>
      </c>
      <c r="M120" s="114">
        <v>678</v>
      </c>
      <c r="N120" s="3">
        <f>M120/30</f>
        <v>22.6</v>
      </c>
      <c r="O120" s="27">
        <v>961195</v>
      </c>
      <c r="P120" s="113">
        <v>60</v>
      </c>
      <c r="Q120" s="114">
        <v>597</v>
      </c>
      <c r="R120" s="3">
        <f>Q120/30</f>
        <v>19.899999999999999</v>
      </c>
      <c r="S120" s="27">
        <v>270567</v>
      </c>
      <c r="T120" s="113">
        <v>60</v>
      </c>
      <c r="U120" s="114">
        <v>529</v>
      </c>
      <c r="V120" s="3">
        <f>U120/30</f>
        <v>17.633333333333333</v>
      </c>
      <c r="W120" s="27">
        <v>191626</v>
      </c>
      <c r="X120" s="113">
        <v>64</v>
      </c>
      <c r="Y120" s="114">
        <v>595</v>
      </c>
      <c r="Z120" s="3">
        <f>Y120/30</f>
        <v>19.833333333333332</v>
      </c>
      <c r="AA120" s="27">
        <v>373955</v>
      </c>
      <c r="AB120" s="113">
        <v>74</v>
      </c>
      <c r="AC120" s="114">
        <f>162+0+158+12+138+0+212+35+24+0+67+8</f>
        <v>816</v>
      </c>
      <c r="AD120" s="3">
        <f>AC120/30</f>
        <v>27.2</v>
      </c>
      <c r="AE120" s="27">
        <v>346214</v>
      </c>
      <c r="AF120" s="113">
        <v>85</v>
      </c>
      <c r="AG120" s="114">
        <v>894</v>
      </c>
      <c r="AH120" s="3">
        <f>AG120/30</f>
        <v>29.8</v>
      </c>
      <c r="AI120" s="27">
        <v>633522</v>
      </c>
      <c r="AJ120" s="113">
        <v>74</v>
      </c>
      <c r="AK120" s="114">
        <v>861</v>
      </c>
      <c r="AL120" s="3">
        <f>AK120/30</f>
        <v>28.7</v>
      </c>
      <c r="AM120" s="27">
        <v>748589.75</v>
      </c>
      <c r="AN120" s="113">
        <v>78</v>
      </c>
      <c r="AO120" s="114">
        <v>907</v>
      </c>
      <c r="AP120" s="3">
        <f>AO120/30</f>
        <v>30.233333333333334</v>
      </c>
      <c r="AQ120" s="27">
        <v>381433</v>
      </c>
      <c r="AR120" s="1">
        <v>70</v>
      </c>
      <c r="AS120" s="2">
        <v>1042</v>
      </c>
      <c r="AT120" s="3">
        <f>AS120/30</f>
        <v>34.733333333333334</v>
      </c>
      <c r="AU120" s="29">
        <v>407481.72</v>
      </c>
    </row>
    <row r="121" spans="2:49">
      <c r="B121" s="461"/>
      <c r="C121" s="11" t="s">
        <v>10</v>
      </c>
      <c r="D121" s="4">
        <f t="shared" ref="D121:Y121" si="116">SUM(D119:D120)</f>
        <v>0</v>
      </c>
      <c r="E121" s="3">
        <f t="shared" si="116"/>
        <v>3827</v>
      </c>
      <c r="F121" s="3">
        <f>SUM(F119:F120)</f>
        <v>127.56666666666666</v>
      </c>
      <c r="G121" s="26">
        <f>SUM(G119:G120)</f>
        <v>1617998</v>
      </c>
      <c r="H121" s="4">
        <f t="shared" si="116"/>
        <v>0</v>
      </c>
      <c r="I121" s="3">
        <f t="shared" si="116"/>
        <v>4112</v>
      </c>
      <c r="J121" s="3">
        <f>SUM(J119:J120)</f>
        <v>137.06666666666666</v>
      </c>
      <c r="K121" s="26">
        <f>SUM(K119:K120)</f>
        <v>1658052</v>
      </c>
      <c r="L121" s="4">
        <f t="shared" si="116"/>
        <v>139</v>
      </c>
      <c r="M121" s="3">
        <f t="shared" si="116"/>
        <v>3806</v>
      </c>
      <c r="N121" s="3">
        <f>SUM(N119:N120)</f>
        <v>126.86666666666667</v>
      </c>
      <c r="O121" s="26">
        <f>SUM(O119:O120)</f>
        <v>1568897</v>
      </c>
      <c r="P121" s="4">
        <f t="shared" si="116"/>
        <v>176</v>
      </c>
      <c r="Q121" s="3">
        <f t="shared" si="116"/>
        <v>3390</v>
      </c>
      <c r="R121" s="3">
        <f>SUM(R119:R120)</f>
        <v>113</v>
      </c>
      <c r="S121" s="26">
        <f>SUM(S119:S120)</f>
        <v>963294</v>
      </c>
      <c r="T121" s="4">
        <f t="shared" si="116"/>
        <v>174</v>
      </c>
      <c r="U121" s="3">
        <f t="shared" si="116"/>
        <v>3371</v>
      </c>
      <c r="V121" s="3">
        <f>SUM(V119:V120)</f>
        <v>112.36666666666667</v>
      </c>
      <c r="W121" s="26">
        <f>SUM(W119:W120)</f>
        <v>952351</v>
      </c>
      <c r="X121" s="4">
        <f t="shared" si="116"/>
        <v>174</v>
      </c>
      <c r="Y121" s="3">
        <f t="shared" si="116"/>
        <v>3230</v>
      </c>
      <c r="Z121" s="3">
        <f>SUM(Z119:Z120)</f>
        <v>107.66666666666666</v>
      </c>
      <c r="AA121" s="26">
        <f t="shared" ref="AA121" si="117">SUM(AA119:AA120)</f>
        <v>830575</v>
      </c>
      <c r="AB121" s="4">
        <f>SUM(AB119:AB120)</f>
        <v>201</v>
      </c>
      <c r="AC121" s="3">
        <f>SUM(AC119:AC120)</f>
        <v>3410</v>
      </c>
      <c r="AD121" s="3">
        <f>SUM(AD119:AD120)</f>
        <v>113.66666666666667</v>
      </c>
      <c r="AE121" s="26">
        <f t="shared" ref="AE121" si="118">SUM(AE119:AE120)</f>
        <v>1221911</v>
      </c>
      <c r="AF121" s="4">
        <f>SUM(AF119:AF120)</f>
        <v>212</v>
      </c>
      <c r="AG121" s="3">
        <f>SUM(AG119:AG120)</f>
        <v>4118</v>
      </c>
      <c r="AH121" s="3">
        <f>SUM(AH119:AH120)</f>
        <v>137.26666666666668</v>
      </c>
      <c r="AI121" s="26">
        <f t="shared" ref="AI121" si="119">SUM(AI119:AI120)</f>
        <v>1572565</v>
      </c>
      <c r="AJ121" s="4">
        <f>SUM(AJ119:AJ120)</f>
        <v>186</v>
      </c>
      <c r="AK121" s="3">
        <f>SUM(AK119:AK120)</f>
        <v>4242</v>
      </c>
      <c r="AL121" s="3">
        <f>SUM(AL119:AL120)</f>
        <v>141.4</v>
      </c>
      <c r="AM121" s="26">
        <f t="shared" ref="AM121" si="120">SUM(AM119:AM120)</f>
        <v>1921628.55</v>
      </c>
      <c r="AN121" s="4">
        <f>SUM(AN119:AN120)</f>
        <v>202</v>
      </c>
      <c r="AO121" s="3">
        <f>SUM(AO119:AO120)</f>
        <v>5142</v>
      </c>
      <c r="AP121" s="3">
        <f>SUM(AP119:AP120)</f>
        <v>171.39999999999998</v>
      </c>
      <c r="AQ121" s="26">
        <f t="shared" ref="AQ121:AU121" si="121">SUM(AQ119:AQ120)</f>
        <v>1691214</v>
      </c>
      <c r="AR121" s="4">
        <f t="shared" si="121"/>
        <v>193</v>
      </c>
      <c r="AS121" s="3">
        <f t="shared" si="121"/>
        <v>4753</v>
      </c>
      <c r="AT121" s="3">
        <f t="shared" si="121"/>
        <v>158.43333333333334</v>
      </c>
      <c r="AU121" s="26">
        <f t="shared" si="121"/>
        <v>1652668.2</v>
      </c>
      <c r="AV121" s="145"/>
      <c r="AW121" s="145"/>
    </row>
    <row r="122" spans="2:49">
      <c r="B122" s="8"/>
      <c r="C122" s="9"/>
      <c r="D122" s="5"/>
      <c r="E122" s="6"/>
      <c r="G122" s="20"/>
      <c r="K122" s="6"/>
      <c r="L122" s="6"/>
      <c r="M122" s="6"/>
      <c r="O122" s="6"/>
      <c r="P122" s="6"/>
      <c r="Q122" s="6"/>
      <c r="S122" s="6"/>
      <c r="T122" s="6"/>
      <c r="U122" s="6"/>
      <c r="W122" s="6"/>
      <c r="X122" s="6"/>
      <c r="Y122" s="6"/>
      <c r="Z122" s="153"/>
      <c r="AA122" s="150"/>
      <c r="AB122" s="151"/>
      <c r="AC122" s="149"/>
      <c r="AD122" s="153"/>
      <c r="AE122" s="150"/>
      <c r="AF122" s="151"/>
      <c r="AG122" s="149"/>
      <c r="AH122" s="153"/>
      <c r="AI122" s="150"/>
      <c r="AJ122" s="5"/>
      <c r="AK122" s="6"/>
      <c r="AN122" s="5"/>
      <c r="AO122" s="6"/>
      <c r="AR122" s="5"/>
      <c r="AS122" s="6"/>
    </row>
    <row r="123" spans="2:49">
      <c r="B123" s="459" t="s">
        <v>11</v>
      </c>
      <c r="C123" s="10" t="s">
        <v>8</v>
      </c>
      <c r="D123" s="113">
        <v>0</v>
      </c>
      <c r="E123" s="114">
        <v>0</v>
      </c>
      <c r="F123" s="3">
        <f>E123/24</f>
        <v>0</v>
      </c>
      <c r="G123" s="27">
        <v>2952579</v>
      </c>
      <c r="H123" s="113">
        <v>0</v>
      </c>
      <c r="I123" s="114">
        <v>0</v>
      </c>
      <c r="J123" s="3">
        <f>I123/24</f>
        <v>0</v>
      </c>
      <c r="K123" s="27"/>
      <c r="L123" s="113">
        <v>0</v>
      </c>
      <c r="M123" s="114">
        <v>0</v>
      </c>
      <c r="N123" s="3">
        <f>M123/24</f>
        <v>0</v>
      </c>
      <c r="O123" s="27">
        <v>2817182</v>
      </c>
      <c r="P123" s="113">
        <v>0</v>
      </c>
      <c r="Q123" s="114">
        <v>0</v>
      </c>
      <c r="R123" s="3">
        <f>Q123/24</f>
        <v>0</v>
      </c>
      <c r="S123" s="27">
        <v>2717372</v>
      </c>
      <c r="T123" s="113">
        <v>0</v>
      </c>
      <c r="U123" s="114">
        <v>0</v>
      </c>
      <c r="V123" s="3">
        <f>U123/24</f>
        <v>0</v>
      </c>
      <c r="W123" s="27">
        <f>3719060-282804</f>
        <v>3436256</v>
      </c>
      <c r="X123" s="113">
        <v>0</v>
      </c>
      <c r="Y123" s="114">
        <v>0</v>
      </c>
      <c r="Z123" s="3">
        <f>Y123/24</f>
        <v>0</v>
      </c>
      <c r="AA123" s="27">
        <v>0</v>
      </c>
      <c r="AB123" s="113">
        <v>0</v>
      </c>
      <c r="AC123" s="114">
        <v>0</v>
      </c>
      <c r="AD123" s="3">
        <f>AC123/24</f>
        <v>0</v>
      </c>
      <c r="AE123" s="27">
        <v>0</v>
      </c>
      <c r="AF123" s="113">
        <v>0</v>
      </c>
      <c r="AG123" s="114">
        <v>0</v>
      </c>
      <c r="AH123" s="3">
        <f>AG123/24</f>
        <v>0</v>
      </c>
      <c r="AI123" s="27"/>
      <c r="AJ123" s="113">
        <v>0</v>
      </c>
      <c r="AK123" s="114">
        <v>0</v>
      </c>
      <c r="AL123" s="3">
        <f>AK123/24</f>
        <v>0</v>
      </c>
      <c r="AM123" s="27">
        <v>0</v>
      </c>
      <c r="AN123" s="113">
        <v>32</v>
      </c>
      <c r="AO123" s="114">
        <v>166</v>
      </c>
      <c r="AP123" s="3">
        <f>AO123/24</f>
        <v>6.916666666666667</v>
      </c>
      <c r="AQ123" s="27">
        <v>357504</v>
      </c>
      <c r="AR123" s="1">
        <v>39</v>
      </c>
      <c r="AS123" s="2">
        <v>391</v>
      </c>
      <c r="AT123" s="3">
        <f>AS123/24</f>
        <v>16.291666666666668</v>
      </c>
      <c r="AU123" s="29">
        <v>84774</v>
      </c>
    </row>
    <row r="124" spans="2:49">
      <c r="B124" s="460"/>
      <c r="C124" s="10" t="s">
        <v>9</v>
      </c>
      <c r="D124" s="113">
        <v>0</v>
      </c>
      <c r="E124" s="114">
        <v>0</v>
      </c>
      <c r="F124" s="3">
        <f>E124/24</f>
        <v>0</v>
      </c>
      <c r="G124" s="27">
        <v>1381266</v>
      </c>
      <c r="H124" s="113">
        <v>0</v>
      </c>
      <c r="I124" s="114">
        <v>0</v>
      </c>
      <c r="J124" s="3">
        <f>I124/24</f>
        <v>0</v>
      </c>
      <c r="K124" s="27"/>
      <c r="L124" s="113">
        <v>0</v>
      </c>
      <c r="M124" s="114">
        <v>0</v>
      </c>
      <c r="N124" s="3">
        <f>M124/24</f>
        <v>0</v>
      </c>
      <c r="O124" s="27">
        <v>1673892</v>
      </c>
      <c r="P124" s="113">
        <v>0</v>
      </c>
      <c r="Q124" s="114">
        <v>0</v>
      </c>
      <c r="R124" s="3">
        <f>Q124/24</f>
        <v>0</v>
      </c>
      <c r="S124" s="27">
        <v>1752431</v>
      </c>
      <c r="T124" s="113">
        <v>0</v>
      </c>
      <c r="U124" s="114">
        <v>0</v>
      </c>
      <c r="V124" s="3">
        <f>U124/24</f>
        <v>0</v>
      </c>
      <c r="W124" s="27">
        <f>3199801-282803</f>
        <v>2916998</v>
      </c>
      <c r="X124" s="113">
        <v>0</v>
      </c>
      <c r="Y124" s="114">
        <v>0</v>
      </c>
      <c r="Z124" s="3">
        <f>Y124/24</f>
        <v>0</v>
      </c>
      <c r="AA124" s="27">
        <v>0</v>
      </c>
      <c r="AB124" s="113">
        <v>0</v>
      </c>
      <c r="AC124" s="114">
        <v>0</v>
      </c>
      <c r="AD124" s="3">
        <f>AC124/24</f>
        <v>0</v>
      </c>
      <c r="AE124" s="27">
        <v>0</v>
      </c>
      <c r="AF124" s="113">
        <v>0</v>
      </c>
      <c r="AG124" s="114">
        <v>0</v>
      </c>
      <c r="AH124" s="3">
        <f>AG124/24</f>
        <v>0</v>
      </c>
      <c r="AI124" s="27"/>
      <c r="AJ124" s="113">
        <v>0</v>
      </c>
      <c r="AK124" s="114">
        <v>0</v>
      </c>
      <c r="AL124" s="3">
        <f>AK124/24</f>
        <v>0</v>
      </c>
      <c r="AM124" s="27">
        <v>0</v>
      </c>
      <c r="AN124" s="113">
        <v>7</v>
      </c>
      <c r="AO124" s="114">
        <v>30</v>
      </c>
      <c r="AP124" s="3">
        <f>AO124/24</f>
        <v>1.25</v>
      </c>
      <c r="AQ124" s="27">
        <v>251296.6</v>
      </c>
      <c r="AR124" s="1">
        <v>13</v>
      </c>
      <c r="AS124" s="2">
        <v>80</v>
      </c>
      <c r="AT124" s="3">
        <f>AS124/24</f>
        <v>3.3333333333333335</v>
      </c>
      <c r="AU124" s="29">
        <v>64782</v>
      </c>
    </row>
    <row r="125" spans="2:49">
      <c r="B125" s="461"/>
      <c r="C125" s="11" t="s">
        <v>10</v>
      </c>
      <c r="D125" s="4">
        <f t="shared" ref="D125:AA125" si="122">SUM(D123:D124)</f>
        <v>0</v>
      </c>
      <c r="E125" s="3">
        <f t="shared" si="122"/>
        <v>0</v>
      </c>
      <c r="F125" s="3">
        <f t="shared" si="122"/>
        <v>0</v>
      </c>
      <c r="G125" s="26">
        <f>SUM(G123:G124)</f>
        <v>4333845</v>
      </c>
      <c r="H125" s="4">
        <f t="shared" si="122"/>
        <v>0</v>
      </c>
      <c r="I125" s="3">
        <f t="shared" si="122"/>
        <v>0</v>
      </c>
      <c r="J125" s="3">
        <f t="shared" si="122"/>
        <v>0</v>
      </c>
      <c r="K125" s="26">
        <f>SUM(K123:K124)</f>
        <v>0</v>
      </c>
      <c r="L125" s="4">
        <f t="shared" si="122"/>
        <v>0</v>
      </c>
      <c r="M125" s="3">
        <f t="shared" si="122"/>
        <v>0</v>
      </c>
      <c r="N125" s="3">
        <f t="shared" si="122"/>
        <v>0</v>
      </c>
      <c r="O125" s="26">
        <f>SUM(O123:O124)</f>
        <v>4491074</v>
      </c>
      <c r="P125" s="4">
        <f t="shared" si="122"/>
        <v>0</v>
      </c>
      <c r="Q125" s="3">
        <f t="shared" si="122"/>
        <v>0</v>
      </c>
      <c r="R125" s="3">
        <f t="shared" si="122"/>
        <v>0</v>
      </c>
      <c r="S125" s="26">
        <f>SUM(S123:S124)</f>
        <v>4469803</v>
      </c>
      <c r="T125" s="4">
        <f t="shared" si="122"/>
        <v>0</v>
      </c>
      <c r="U125" s="3">
        <f t="shared" si="122"/>
        <v>0</v>
      </c>
      <c r="V125" s="3">
        <f t="shared" si="122"/>
        <v>0</v>
      </c>
      <c r="W125" s="26">
        <f>SUM(W123:W124)</f>
        <v>6353254</v>
      </c>
      <c r="X125" s="4">
        <f t="shared" si="122"/>
        <v>0</v>
      </c>
      <c r="Y125" s="3">
        <f t="shared" si="122"/>
        <v>0</v>
      </c>
      <c r="Z125" s="3">
        <f t="shared" si="122"/>
        <v>0</v>
      </c>
      <c r="AA125" s="26">
        <f t="shared" si="122"/>
        <v>0</v>
      </c>
      <c r="AB125" s="4">
        <f>SUM(AB123:AB124)</f>
        <v>0</v>
      </c>
      <c r="AC125" s="3">
        <f>SUM(AC123:AC124)</f>
        <v>0</v>
      </c>
      <c r="AD125" s="3">
        <f>SUM(AD123:AD124)</f>
        <v>0</v>
      </c>
      <c r="AE125" s="26">
        <f t="shared" ref="AE125" si="123">SUM(AE123:AE124)</f>
        <v>0</v>
      </c>
      <c r="AF125" s="4">
        <f>SUM(AF123:AF124)</f>
        <v>0</v>
      </c>
      <c r="AG125" s="3">
        <f>SUM(AG123:AG124)</f>
        <v>0</v>
      </c>
      <c r="AH125" s="3">
        <f>SUM(AH123:AH124)</f>
        <v>0</v>
      </c>
      <c r="AI125" s="26">
        <f t="shared" ref="AI125" si="124">SUM(AI123:AI124)</f>
        <v>0</v>
      </c>
      <c r="AJ125" s="4">
        <f>SUM(AJ123:AJ124)</f>
        <v>0</v>
      </c>
      <c r="AK125" s="3">
        <f>SUM(AK123:AK124)</f>
        <v>0</v>
      </c>
      <c r="AL125" s="3">
        <f>SUM(AL123:AL124)</f>
        <v>0</v>
      </c>
      <c r="AM125" s="26">
        <f t="shared" ref="AM125" si="125">SUM(AM123:AM124)</f>
        <v>0</v>
      </c>
      <c r="AN125" s="4">
        <f>SUM(AN123:AN124)</f>
        <v>39</v>
      </c>
      <c r="AO125" s="3">
        <f>SUM(AO123:AO124)</f>
        <v>196</v>
      </c>
      <c r="AP125" s="3">
        <f>AO125/24</f>
        <v>8.1666666666666661</v>
      </c>
      <c r="AQ125" s="26">
        <f t="shared" ref="AQ125:AU125" si="126">SUM(AQ123:AQ124)</f>
        <v>608800.6</v>
      </c>
      <c r="AR125" s="4">
        <f t="shared" si="126"/>
        <v>52</v>
      </c>
      <c r="AS125" s="3">
        <f t="shared" si="126"/>
        <v>471</v>
      </c>
      <c r="AT125" s="3">
        <f t="shared" si="126"/>
        <v>19.625</v>
      </c>
      <c r="AU125" s="26">
        <f t="shared" si="126"/>
        <v>149556</v>
      </c>
    </row>
    <row r="126" spans="2:49">
      <c r="B126" s="8"/>
      <c r="C126" s="9"/>
      <c r="D126" s="5"/>
      <c r="E126" s="6"/>
      <c r="G126" s="6"/>
      <c r="H126" s="6"/>
      <c r="I126" s="6"/>
      <c r="K126" s="6"/>
      <c r="L126" s="6"/>
      <c r="M126" s="6"/>
      <c r="O126" s="6"/>
      <c r="P126" s="6"/>
      <c r="Q126" s="6"/>
      <c r="S126" s="6"/>
      <c r="T126" s="6"/>
      <c r="U126" s="6"/>
      <c r="W126" s="6"/>
      <c r="X126" s="6"/>
      <c r="Y126" s="6"/>
      <c r="AA126" s="150"/>
      <c r="AB126" s="5"/>
      <c r="AC126" s="6"/>
      <c r="AE126" s="150"/>
      <c r="AF126" s="5"/>
      <c r="AG126" s="6"/>
      <c r="AI126" s="150"/>
      <c r="AJ126" s="5"/>
      <c r="AK126" s="6"/>
      <c r="AN126" s="5"/>
      <c r="AO126" s="6"/>
      <c r="AR126" s="5"/>
      <c r="AS126" s="6"/>
    </row>
    <row r="127" spans="2:49">
      <c r="B127" s="459" t="s">
        <v>12</v>
      </c>
      <c r="C127" s="10" t="s">
        <v>8</v>
      </c>
      <c r="D127" s="113">
        <v>0</v>
      </c>
      <c r="E127" s="114">
        <v>10331</v>
      </c>
      <c r="F127" s="3">
        <f>E127/24</f>
        <v>430.45833333333331</v>
      </c>
      <c r="G127" s="27"/>
      <c r="H127" s="113">
        <v>0</v>
      </c>
      <c r="I127" s="114">
        <v>9877</v>
      </c>
      <c r="J127" s="3">
        <f>I127/24</f>
        <v>411.54166666666669</v>
      </c>
      <c r="K127" s="245">
        <v>2848226</v>
      </c>
      <c r="L127" s="113">
        <v>251</v>
      </c>
      <c r="M127" s="114">
        <v>10028</v>
      </c>
      <c r="N127" s="3">
        <f>M127/24</f>
        <v>417.83333333333331</v>
      </c>
      <c r="O127" s="27"/>
      <c r="P127" s="113">
        <v>279</v>
      </c>
      <c r="Q127" s="114">
        <v>10184</v>
      </c>
      <c r="R127" s="3">
        <f>Q127/24</f>
        <v>424.33333333333331</v>
      </c>
      <c r="S127" s="27"/>
      <c r="T127" s="113">
        <v>285</v>
      </c>
      <c r="U127" s="114">
        <v>10999</v>
      </c>
      <c r="V127" s="3">
        <f>U127/24</f>
        <v>458.29166666666669</v>
      </c>
      <c r="W127" s="27"/>
      <c r="X127" s="113">
        <v>355</v>
      </c>
      <c r="Y127" s="114">
        <v>9581</v>
      </c>
      <c r="Z127" s="3">
        <f>Y127/24</f>
        <v>399.20833333333331</v>
      </c>
      <c r="AA127" s="27">
        <v>3407002</v>
      </c>
      <c r="AB127" s="113">
        <v>333</v>
      </c>
      <c r="AC127" s="114">
        <f>4142+1261+42+21+3601+1070+60+18+1163+356+32+18+188+82+0+179+94+0+120+48+2</f>
        <v>12497</v>
      </c>
      <c r="AD127" s="3">
        <f>AC127/24</f>
        <v>520.70833333333337</v>
      </c>
      <c r="AE127" s="27">
        <v>4575743</v>
      </c>
      <c r="AF127" s="113">
        <v>331</v>
      </c>
      <c r="AG127" s="114">
        <v>12716</v>
      </c>
      <c r="AH127" s="3">
        <f>AG127/24</f>
        <v>529.83333333333337</v>
      </c>
      <c r="AI127" s="27">
        <f>79332+4787967</f>
        <v>4867299</v>
      </c>
      <c r="AJ127" s="113">
        <v>343</v>
      </c>
      <c r="AK127" s="114">
        <f>12389+9</f>
        <v>12398</v>
      </c>
      <c r="AL127" s="3">
        <f>AK127/24</f>
        <v>516.58333333333337</v>
      </c>
      <c r="AM127" s="27">
        <v>5190415.99</v>
      </c>
      <c r="AN127" s="113">
        <v>349</v>
      </c>
      <c r="AO127" s="114">
        <v>13362</v>
      </c>
      <c r="AP127" s="3">
        <f>AO127/24</f>
        <v>556.75</v>
      </c>
      <c r="AQ127" s="27">
        <v>5220092.5999999996</v>
      </c>
      <c r="AR127" s="1">
        <v>388</v>
      </c>
      <c r="AS127" s="2">
        <v>14700</v>
      </c>
      <c r="AT127" s="3">
        <f>AS127/24</f>
        <v>612.5</v>
      </c>
      <c r="AU127" s="29">
        <v>6417472</v>
      </c>
    </row>
    <row r="128" spans="2:49">
      <c r="B128" s="460"/>
      <c r="C128" s="10" t="s">
        <v>9</v>
      </c>
      <c r="D128" s="113">
        <v>0</v>
      </c>
      <c r="E128" s="114">
        <v>4506</v>
      </c>
      <c r="F128" s="3">
        <f>E128/24</f>
        <v>187.75</v>
      </c>
      <c r="G128" s="27"/>
      <c r="H128" s="113">
        <v>0</v>
      </c>
      <c r="I128" s="114">
        <v>4680</v>
      </c>
      <c r="J128" s="3">
        <f>I128/24</f>
        <v>195</v>
      </c>
      <c r="K128" s="27">
        <v>1517262</v>
      </c>
      <c r="L128" s="113">
        <v>158</v>
      </c>
      <c r="M128" s="114">
        <v>4458</v>
      </c>
      <c r="N128" s="3">
        <f>M128/24</f>
        <v>185.75</v>
      </c>
      <c r="O128" s="27"/>
      <c r="P128" s="113">
        <v>190</v>
      </c>
      <c r="Q128" s="114">
        <v>4732</v>
      </c>
      <c r="R128" s="3">
        <f>Q128/24</f>
        <v>197.16666666666666</v>
      </c>
      <c r="S128" s="27"/>
      <c r="T128" s="113">
        <v>193</v>
      </c>
      <c r="U128" s="114">
        <v>5267</v>
      </c>
      <c r="V128" s="3">
        <f>U128/24</f>
        <v>219.45833333333334</v>
      </c>
      <c r="W128" s="27"/>
      <c r="X128" s="113">
        <v>212</v>
      </c>
      <c r="Y128" s="114">
        <v>3548</v>
      </c>
      <c r="Z128" s="3">
        <f>Y128/24</f>
        <v>147.83333333333334</v>
      </c>
      <c r="AA128" s="27">
        <v>4119064</v>
      </c>
      <c r="AB128" s="113">
        <v>186</v>
      </c>
      <c r="AC128" s="114">
        <f>1987+221+202+0+1567+210+188+3+616+117+115+9+89+0+111+91+0+60+59+0+20-2</f>
        <v>5663</v>
      </c>
      <c r="AD128" s="3">
        <f>AC128/24</f>
        <v>235.95833333333334</v>
      </c>
      <c r="AE128" s="27">
        <v>3939012</v>
      </c>
      <c r="AF128" s="113">
        <v>196</v>
      </c>
      <c r="AG128" s="114">
        <v>6804</v>
      </c>
      <c r="AH128" s="3">
        <f>AG128/24</f>
        <v>283.5</v>
      </c>
      <c r="AI128" s="27">
        <f>275864+5360107</f>
        <v>5635971</v>
      </c>
      <c r="AJ128" s="113">
        <v>232</v>
      </c>
      <c r="AK128" s="114">
        <f>7557+4</f>
        <v>7561</v>
      </c>
      <c r="AL128" s="3">
        <f>AK128/24</f>
        <v>315.04166666666669</v>
      </c>
      <c r="AM128" s="27">
        <v>6523800.5</v>
      </c>
      <c r="AN128" s="113">
        <v>241</v>
      </c>
      <c r="AO128" s="114">
        <v>8045</v>
      </c>
      <c r="AP128" s="3">
        <f>AO128/24</f>
        <v>335.20833333333331</v>
      </c>
      <c r="AQ128" s="27">
        <v>6932528</v>
      </c>
      <c r="AR128" s="1">
        <v>202</v>
      </c>
      <c r="AS128" s="2">
        <v>6343</v>
      </c>
      <c r="AT128" s="3">
        <f>AS128/24</f>
        <v>264.29166666666669</v>
      </c>
      <c r="AU128" s="29">
        <v>5713255</v>
      </c>
    </row>
    <row r="129" spans="2:47">
      <c r="B129" s="461"/>
      <c r="C129" s="11" t="s">
        <v>10</v>
      </c>
      <c r="D129" s="4">
        <f t="shared" ref="D129:Z129" si="127">SUM(D127:D128)</f>
        <v>0</v>
      </c>
      <c r="E129" s="3">
        <f t="shared" si="127"/>
        <v>14837</v>
      </c>
      <c r="F129" s="3">
        <f t="shared" si="127"/>
        <v>618.20833333333326</v>
      </c>
      <c r="G129" s="26">
        <f>SUM(G127:G128)</f>
        <v>0</v>
      </c>
      <c r="H129" s="4">
        <f t="shared" si="127"/>
        <v>0</v>
      </c>
      <c r="I129" s="3">
        <f t="shared" si="127"/>
        <v>14557</v>
      </c>
      <c r="J129" s="3">
        <f t="shared" si="127"/>
        <v>606.54166666666674</v>
      </c>
      <c r="K129" s="26">
        <f>SUM(K127:K128)</f>
        <v>4365488</v>
      </c>
      <c r="L129" s="4">
        <f t="shared" si="127"/>
        <v>409</v>
      </c>
      <c r="M129" s="3">
        <f t="shared" si="127"/>
        <v>14486</v>
      </c>
      <c r="N129" s="3">
        <f t="shared" si="127"/>
        <v>603.58333333333326</v>
      </c>
      <c r="O129" s="26">
        <f>SUM(O127:O128)</f>
        <v>0</v>
      </c>
      <c r="P129" s="4">
        <f t="shared" si="127"/>
        <v>469</v>
      </c>
      <c r="Q129" s="3">
        <f t="shared" si="127"/>
        <v>14916</v>
      </c>
      <c r="R129" s="3">
        <f t="shared" si="127"/>
        <v>621.5</v>
      </c>
      <c r="S129" s="26">
        <f>SUM(S127:S128)</f>
        <v>0</v>
      </c>
      <c r="T129" s="4">
        <f t="shared" si="127"/>
        <v>478</v>
      </c>
      <c r="U129" s="3">
        <f t="shared" si="127"/>
        <v>16266</v>
      </c>
      <c r="V129" s="3">
        <f t="shared" si="127"/>
        <v>677.75</v>
      </c>
      <c r="W129" s="26">
        <f>SUM(W127:W128)</f>
        <v>0</v>
      </c>
      <c r="X129" s="4">
        <f t="shared" si="127"/>
        <v>567</v>
      </c>
      <c r="Y129" s="3">
        <f t="shared" si="127"/>
        <v>13129</v>
      </c>
      <c r="Z129" s="3">
        <f t="shared" si="127"/>
        <v>547.04166666666663</v>
      </c>
      <c r="AA129" s="26">
        <f t="shared" ref="AA129" si="128">SUM(AA127:AA128)</f>
        <v>7526066</v>
      </c>
      <c r="AB129" s="4">
        <f>SUM(AB127:AB128)</f>
        <v>519</v>
      </c>
      <c r="AC129" s="3">
        <f>SUM(AC127:AC128)</f>
        <v>18160</v>
      </c>
      <c r="AD129" s="3">
        <f>SUM(AD127:AD128)</f>
        <v>756.66666666666674</v>
      </c>
      <c r="AE129" s="26">
        <f t="shared" ref="AE129" si="129">SUM(AE127:AE128)</f>
        <v>8514755</v>
      </c>
      <c r="AF129" s="4">
        <f>SUM(AF127:AF128)</f>
        <v>527</v>
      </c>
      <c r="AG129" s="3">
        <f>SUM(AG127:AG128)</f>
        <v>19520</v>
      </c>
      <c r="AH129" s="3">
        <f>SUM(AH127:AH128)</f>
        <v>813.33333333333337</v>
      </c>
      <c r="AI129" s="26">
        <f t="shared" ref="AI129" si="130">SUM(AI127:AI128)</f>
        <v>10503270</v>
      </c>
      <c r="AJ129" s="4">
        <f>SUM(AJ127:AJ128)</f>
        <v>575</v>
      </c>
      <c r="AK129" s="3">
        <f>SUM(AK127:AK128)</f>
        <v>19959</v>
      </c>
      <c r="AL129" s="3">
        <f>SUM(AL127:AL128)</f>
        <v>831.625</v>
      </c>
      <c r="AM129" s="26">
        <f t="shared" ref="AM129" si="131">SUM(AM127:AM128)</f>
        <v>11714216.49</v>
      </c>
      <c r="AN129" s="4">
        <f>SUM(AN127:AN128)</f>
        <v>590</v>
      </c>
      <c r="AO129" s="3">
        <f>SUM(AO127:AO128)</f>
        <v>21407</v>
      </c>
      <c r="AP129" s="3">
        <f>SUM(AP127:AP128)</f>
        <v>891.95833333333326</v>
      </c>
      <c r="AQ129" s="26">
        <f t="shared" ref="AQ129" si="132">SUM(AQ127:AQ128)</f>
        <v>12152620.6</v>
      </c>
      <c r="AR129" s="4">
        <f t="shared" ref="AR129:AU129" si="133">SUM(AR127:AR128)</f>
        <v>590</v>
      </c>
      <c r="AS129" s="3">
        <f t="shared" si="133"/>
        <v>21043</v>
      </c>
      <c r="AT129" s="3">
        <f t="shared" si="133"/>
        <v>876.79166666666674</v>
      </c>
      <c r="AU129" s="26">
        <f t="shared" si="133"/>
        <v>12130727</v>
      </c>
    </row>
    <row r="130" spans="2:47">
      <c r="B130" s="8"/>
      <c r="C130" s="9"/>
      <c r="D130" s="5"/>
      <c r="E130" s="6"/>
      <c r="H130" s="5"/>
      <c r="I130" s="6"/>
      <c r="L130" s="5"/>
      <c r="M130" s="6"/>
      <c r="P130" s="5"/>
      <c r="Q130" s="6"/>
      <c r="T130" s="5"/>
      <c r="U130" s="6"/>
      <c r="X130" s="5"/>
      <c r="Y130" s="6"/>
      <c r="Z130" s="153"/>
      <c r="AA130" s="150"/>
      <c r="AB130" s="151"/>
      <c r="AC130" s="149"/>
      <c r="AD130" s="153"/>
      <c r="AE130" s="150"/>
      <c r="AF130" s="151"/>
      <c r="AG130" s="149"/>
      <c r="AH130" s="153"/>
      <c r="AI130" s="150"/>
      <c r="AJ130" s="5"/>
      <c r="AK130" s="6"/>
      <c r="AN130" s="5"/>
      <c r="AO130" s="6"/>
      <c r="AR130" s="5"/>
      <c r="AS130" s="6"/>
    </row>
    <row r="131" spans="2:47">
      <c r="B131" s="459" t="s">
        <v>13</v>
      </c>
      <c r="C131" s="10" t="s">
        <v>8</v>
      </c>
      <c r="D131" s="4">
        <f>D119+D123+D127</f>
        <v>0</v>
      </c>
      <c r="E131" s="3">
        <f>E127+E123+E119</f>
        <v>13585</v>
      </c>
      <c r="F131" s="3">
        <f t="shared" ref="F131:H132" si="134">F119+F123+F127</f>
        <v>538.92499999999995</v>
      </c>
      <c r="G131" s="26">
        <f>G119+G123+G127</f>
        <v>3611232</v>
      </c>
      <c r="H131" s="4">
        <f t="shared" si="134"/>
        <v>0</v>
      </c>
      <c r="I131" s="3">
        <f>I127+I123+I119</f>
        <v>13339</v>
      </c>
      <c r="J131" s="3">
        <f t="shared" ref="J131:L132" si="135">J119+J123+J127</f>
        <v>526.94166666666672</v>
      </c>
      <c r="K131" s="26">
        <f>K119+K123+K127</f>
        <v>3560951</v>
      </c>
      <c r="L131" s="4">
        <f t="shared" si="135"/>
        <v>346</v>
      </c>
      <c r="M131" s="3">
        <f>M127+M123+M119</f>
        <v>13156</v>
      </c>
      <c r="N131" s="3">
        <f t="shared" ref="N131:P132" si="136">N119+N123+N127</f>
        <v>522.1</v>
      </c>
      <c r="O131" s="26">
        <f>O119+O123+O127</f>
        <v>3424884</v>
      </c>
      <c r="P131" s="4">
        <f t="shared" si="136"/>
        <v>395</v>
      </c>
      <c r="Q131" s="3">
        <f>Q127+Q123+Q119</f>
        <v>12977</v>
      </c>
      <c r="R131" s="3">
        <f t="shared" ref="R131:T132" si="137">R119+R123+R127</f>
        <v>517.43333333333328</v>
      </c>
      <c r="S131" s="26">
        <f>S119+S123+S127</f>
        <v>3410099</v>
      </c>
      <c r="T131" s="4">
        <f t="shared" si="137"/>
        <v>399</v>
      </c>
      <c r="U131" s="3">
        <f>U127+U123+U119</f>
        <v>13841</v>
      </c>
      <c r="V131" s="3">
        <f t="shared" ref="V131:X132" si="138">V119+V123+V127</f>
        <v>553.02499999999998</v>
      </c>
      <c r="W131" s="26">
        <f>W119+W123+W127</f>
        <v>4196981</v>
      </c>
      <c r="X131" s="4">
        <f t="shared" si="138"/>
        <v>465</v>
      </c>
      <c r="Y131" s="3">
        <f>Y127+Y123+Y119</f>
        <v>12216</v>
      </c>
      <c r="Z131" s="3">
        <f>Z119+Z123+Z127</f>
        <v>487.04166666666663</v>
      </c>
      <c r="AA131" s="26">
        <f t="shared" ref="AA131:AA132" si="139">AA119+AA123+AA127</f>
        <v>3863622</v>
      </c>
      <c r="AB131" s="4">
        <f>AB119+AB123+AB127</f>
        <v>460</v>
      </c>
      <c r="AC131" s="3">
        <f>AC127+AC123+AC119</f>
        <v>15091</v>
      </c>
      <c r="AD131" s="3">
        <f t="shared" ref="AD131:AF132" si="140">AD119+AD123+AD127</f>
        <v>607.17500000000007</v>
      </c>
      <c r="AE131" s="26">
        <f t="shared" si="140"/>
        <v>5451440</v>
      </c>
      <c r="AF131" s="4">
        <f t="shared" si="140"/>
        <v>458</v>
      </c>
      <c r="AG131" s="3">
        <f>AG127+AG123+AG119</f>
        <v>15940</v>
      </c>
      <c r="AH131" s="3">
        <f>AH119+AH123+AH127</f>
        <v>637.30000000000007</v>
      </c>
      <c r="AI131" s="26">
        <f t="shared" ref="AI131:AI132" si="141">AI119+AI123+AI127</f>
        <v>5806342</v>
      </c>
      <c r="AJ131" s="4">
        <f>AJ119+AJ123+AJ127</f>
        <v>455</v>
      </c>
      <c r="AK131" s="3">
        <f>AK127+AK123+AK119</f>
        <v>15779</v>
      </c>
      <c r="AL131" s="3">
        <f>AL119+AL123+AL127</f>
        <v>629.28333333333342</v>
      </c>
      <c r="AM131" s="26">
        <f t="shared" ref="AM131:AM132" si="142">AM119+AM123+AM127</f>
        <v>6363454.79</v>
      </c>
      <c r="AN131" s="4">
        <f>AN119+AN123+AN127</f>
        <v>505</v>
      </c>
      <c r="AO131" s="3">
        <f>AO127+AO123+AO119</f>
        <v>17763</v>
      </c>
      <c r="AP131" s="3">
        <f>AP119+AP123+AP127</f>
        <v>704.83333333333326</v>
      </c>
      <c r="AQ131" s="26">
        <f t="shared" ref="AQ131:AR132" si="143">AQ119+AQ123+AQ127</f>
        <v>6887377.5999999996</v>
      </c>
      <c r="AR131" s="4">
        <f t="shared" si="143"/>
        <v>550</v>
      </c>
      <c r="AS131" s="3">
        <f>AS127+AS123+AS119</f>
        <v>18802</v>
      </c>
      <c r="AT131" s="3">
        <f>AT119+AT123+AT127</f>
        <v>752.49166666666667</v>
      </c>
      <c r="AU131" s="26">
        <f>AU119+AU123+AU127</f>
        <v>7747432.4800000004</v>
      </c>
    </row>
    <row r="132" spans="2:47">
      <c r="B132" s="460"/>
      <c r="C132" s="10" t="s">
        <v>9</v>
      </c>
      <c r="D132" s="4">
        <f>D120+D124+D128</f>
        <v>0</v>
      </c>
      <c r="E132" s="3">
        <f>E128+E124+E120</f>
        <v>5079</v>
      </c>
      <c r="F132" s="3">
        <f t="shared" si="134"/>
        <v>206.85</v>
      </c>
      <c r="G132" s="26">
        <f>G120+G124+G128</f>
        <v>2340611</v>
      </c>
      <c r="H132" s="4">
        <f t="shared" si="134"/>
        <v>0</v>
      </c>
      <c r="I132" s="3">
        <f>I128+I124+I120</f>
        <v>5330</v>
      </c>
      <c r="J132" s="3">
        <f t="shared" si="135"/>
        <v>216.66666666666666</v>
      </c>
      <c r="K132" s="26">
        <f>K120+K124+K128</f>
        <v>2462589</v>
      </c>
      <c r="L132" s="4">
        <f t="shared" si="135"/>
        <v>202</v>
      </c>
      <c r="M132" s="3">
        <f>M128+M124+M120</f>
        <v>5136</v>
      </c>
      <c r="N132" s="3">
        <f t="shared" si="136"/>
        <v>208.35</v>
      </c>
      <c r="O132" s="26">
        <f>O120+O124+O128</f>
        <v>2635087</v>
      </c>
      <c r="P132" s="4">
        <f t="shared" si="136"/>
        <v>250</v>
      </c>
      <c r="Q132" s="3">
        <f>Q128+Q124+Q120</f>
        <v>5329</v>
      </c>
      <c r="R132" s="3">
        <f t="shared" si="137"/>
        <v>217.06666666666666</v>
      </c>
      <c r="S132" s="26">
        <f>S120+S124+S128</f>
        <v>2022998</v>
      </c>
      <c r="T132" s="4">
        <f t="shared" si="137"/>
        <v>253</v>
      </c>
      <c r="U132" s="3">
        <f>U128+U124+U120</f>
        <v>5796</v>
      </c>
      <c r="V132" s="3">
        <f t="shared" si="138"/>
        <v>237.09166666666667</v>
      </c>
      <c r="W132" s="26">
        <f>W120+W124+W128</f>
        <v>3108624</v>
      </c>
      <c r="X132" s="4">
        <f t="shared" si="138"/>
        <v>276</v>
      </c>
      <c r="Y132" s="3">
        <f>Y128+Y124+Y120</f>
        <v>4143</v>
      </c>
      <c r="Z132" s="3">
        <f>Z120+Z124+Z128</f>
        <v>167.66666666666669</v>
      </c>
      <c r="AA132" s="26">
        <f t="shared" si="139"/>
        <v>4493019</v>
      </c>
      <c r="AB132" s="4">
        <f>AB120+AB124+AB128</f>
        <v>260</v>
      </c>
      <c r="AC132" s="3">
        <f>AC128+AC124+AC120</f>
        <v>6479</v>
      </c>
      <c r="AD132" s="3">
        <f t="shared" si="140"/>
        <v>263.15833333333336</v>
      </c>
      <c r="AE132" s="26">
        <f t="shared" si="140"/>
        <v>4285226</v>
      </c>
      <c r="AF132" s="4">
        <f t="shared" si="140"/>
        <v>281</v>
      </c>
      <c r="AG132" s="3">
        <f>AG128+AG124+AG120</f>
        <v>7698</v>
      </c>
      <c r="AH132" s="3">
        <f>AH120+AH124+AH128</f>
        <v>313.3</v>
      </c>
      <c r="AI132" s="26">
        <f t="shared" si="141"/>
        <v>6269493</v>
      </c>
      <c r="AJ132" s="4">
        <f>AJ120+AJ124+AJ128</f>
        <v>306</v>
      </c>
      <c r="AK132" s="3">
        <f>AK128+AK124+AK120</f>
        <v>8422</v>
      </c>
      <c r="AL132" s="3">
        <f>AL120+AL124+AL128</f>
        <v>343.74166666666667</v>
      </c>
      <c r="AM132" s="26">
        <f t="shared" si="142"/>
        <v>7272390.25</v>
      </c>
      <c r="AN132" s="4">
        <f>AN120+AN124+AN128</f>
        <v>326</v>
      </c>
      <c r="AO132" s="3">
        <f>AO128+AO124+AO120</f>
        <v>8982</v>
      </c>
      <c r="AP132" s="3">
        <f>AP120+AP124+AP128</f>
        <v>366.69166666666666</v>
      </c>
      <c r="AQ132" s="26">
        <f t="shared" si="143"/>
        <v>7565257.5999999996</v>
      </c>
      <c r="AR132" s="4">
        <f t="shared" si="143"/>
        <v>285</v>
      </c>
      <c r="AS132" s="3">
        <f>AS128+AS124+AS120</f>
        <v>7465</v>
      </c>
      <c r="AT132" s="3">
        <f>AT120+AT124+AT128</f>
        <v>302.35833333333335</v>
      </c>
      <c r="AU132" s="26">
        <f>AU120+AU124+AU128</f>
        <v>6185518.7199999997</v>
      </c>
    </row>
    <row r="133" spans="2:47">
      <c r="B133" s="461"/>
      <c r="C133" s="11" t="s">
        <v>10</v>
      </c>
      <c r="D133" s="4">
        <f t="shared" ref="D133:Z133" si="144">SUM(D131:D132)</f>
        <v>0</v>
      </c>
      <c r="E133" s="3">
        <f t="shared" si="144"/>
        <v>18664</v>
      </c>
      <c r="F133" s="3">
        <f t="shared" si="144"/>
        <v>745.77499999999998</v>
      </c>
      <c r="G133" s="26">
        <f>SUM(G131:G132)</f>
        <v>5951843</v>
      </c>
      <c r="H133" s="4">
        <f t="shared" si="144"/>
        <v>0</v>
      </c>
      <c r="I133" s="3">
        <f t="shared" si="144"/>
        <v>18669</v>
      </c>
      <c r="J133" s="3">
        <f t="shared" si="144"/>
        <v>743.60833333333335</v>
      </c>
      <c r="K133" s="26">
        <f>SUM(K131:K132)</f>
        <v>6023540</v>
      </c>
      <c r="L133" s="4">
        <f t="shared" si="144"/>
        <v>548</v>
      </c>
      <c r="M133" s="3">
        <f t="shared" si="144"/>
        <v>18292</v>
      </c>
      <c r="N133" s="3">
        <f t="shared" si="144"/>
        <v>730.45</v>
      </c>
      <c r="O133" s="26">
        <f>SUM(O131:O132)</f>
        <v>6059971</v>
      </c>
      <c r="P133" s="4">
        <f t="shared" si="144"/>
        <v>645</v>
      </c>
      <c r="Q133" s="3">
        <f t="shared" si="144"/>
        <v>18306</v>
      </c>
      <c r="R133" s="3">
        <f t="shared" si="144"/>
        <v>734.5</v>
      </c>
      <c r="S133" s="26">
        <f>SUM(S131:S132)</f>
        <v>5433097</v>
      </c>
      <c r="T133" s="4">
        <f t="shared" si="144"/>
        <v>652</v>
      </c>
      <c r="U133" s="3">
        <f t="shared" si="144"/>
        <v>19637</v>
      </c>
      <c r="V133" s="3">
        <f t="shared" si="144"/>
        <v>790.11666666666667</v>
      </c>
      <c r="W133" s="26">
        <f>SUM(W131:W132)</f>
        <v>7305605</v>
      </c>
      <c r="X133" s="4">
        <f t="shared" si="144"/>
        <v>741</v>
      </c>
      <c r="Y133" s="3">
        <f t="shared" si="144"/>
        <v>16359</v>
      </c>
      <c r="Z133" s="3">
        <f t="shared" si="144"/>
        <v>654.70833333333326</v>
      </c>
      <c r="AA133" s="26">
        <f t="shared" ref="AA133:AQ133" si="145">SUM(AA131:AA132)</f>
        <v>8356641</v>
      </c>
      <c r="AB133" s="4">
        <f t="shared" si="145"/>
        <v>720</v>
      </c>
      <c r="AC133" s="3">
        <f t="shared" si="145"/>
        <v>21570</v>
      </c>
      <c r="AD133" s="3">
        <f t="shared" si="145"/>
        <v>870.33333333333348</v>
      </c>
      <c r="AE133" s="26">
        <f t="shared" si="145"/>
        <v>9736666</v>
      </c>
      <c r="AF133" s="4">
        <f t="shared" si="145"/>
        <v>739</v>
      </c>
      <c r="AG133" s="3">
        <f t="shared" si="145"/>
        <v>23638</v>
      </c>
      <c r="AH133" s="3">
        <f t="shared" si="145"/>
        <v>950.60000000000014</v>
      </c>
      <c r="AI133" s="26">
        <f t="shared" si="145"/>
        <v>12075835</v>
      </c>
      <c r="AJ133" s="4">
        <f t="shared" si="145"/>
        <v>761</v>
      </c>
      <c r="AK133" s="3">
        <f t="shared" si="145"/>
        <v>24201</v>
      </c>
      <c r="AL133" s="3">
        <f t="shared" si="145"/>
        <v>973.02500000000009</v>
      </c>
      <c r="AM133" s="26">
        <f t="shared" si="145"/>
        <v>13635845.039999999</v>
      </c>
      <c r="AN133" s="4">
        <f t="shared" si="145"/>
        <v>831</v>
      </c>
      <c r="AO133" s="3">
        <f t="shared" si="145"/>
        <v>26745</v>
      </c>
      <c r="AP133" s="3">
        <f t="shared" si="145"/>
        <v>1071.5249999999999</v>
      </c>
      <c r="AQ133" s="26">
        <f t="shared" si="145"/>
        <v>14452635.199999999</v>
      </c>
      <c r="AR133" s="4">
        <f>SUM(AR131:AR132)</f>
        <v>835</v>
      </c>
      <c r="AS133" s="3">
        <f>SUM(AS131:AS132)</f>
        <v>26267</v>
      </c>
      <c r="AT133" s="402">
        <f>AT129+AT125+AT121</f>
        <v>1054.8500000000001</v>
      </c>
      <c r="AU133" s="26">
        <f>SUM(AU131:AU132)</f>
        <v>13932951.199999999</v>
      </c>
    </row>
    <row r="134" spans="2:47" ht="21.75" customHeight="1">
      <c r="B134" s="7"/>
      <c r="C134" s="71" t="s">
        <v>15</v>
      </c>
      <c r="D134" s="114"/>
      <c r="E134" s="114"/>
      <c r="F134" s="3">
        <f>E134/24</f>
        <v>0</v>
      </c>
      <c r="G134" s="27"/>
      <c r="H134" s="114"/>
      <c r="I134" s="114"/>
      <c r="J134" s="3">
        <f>I134/24</f>
        <v>0</v>
      </c>
      <c r="K134" s="27"/>
      <c r="L134" s="114"/>
      <c r="M134" s="114"/>
      <c r="N134" s="3">
        <f>M134/24</f>
        <v>0</v>
      </c>
      <c r="O134" s="27"/>
      <c r="P134" s="114"/>
      <c r="Q134" s="114"/>
      <c r="R134" s="3">
        <f>Q134/24</f>
        <v>0</v>
      </c>
      <c r="S134" s="27"/>
      <c r="T134" s="114"/>
      <c r="U134" s="114"/>
      <c r="V134" s="3">
        <f>U134/24</f>
        <v>0</v>
      </c>
      <c r="W134" s="27"/>
      <c r="X134" s="114"/>
      <c r="Y134" s="114"/>
      <c r="Z134" s="3">
        <f>Y134/24</f>
        <v>0</v>
      </c>
      <c r="AA134" s="27"/>
      <c r="AB134" s="114"/>
      <c r="AC134" s="114"/>
      <c r="AD134" s="3">
        <f>AC134/24</f>
        <v>0</v>
      </c>
      <c r="AE134" s="27"/>
      <c r="AF134" s="114"/>
      <c r="AG134" s="114"/>
      <c r="AH134" s="3">
        <f>AG134/24</f>
        <v>0</v>
      </c>
      <c r="AI134" s="27"/>
      <c r="AJ134" s="114"/>
      <c r="AK134" s="114"/>
      <c r="AL134" s="3">
        <f>AK134/24</f>
        <v>0</v>
      </c>
      <c r="AM134" s="27"/>
      <c r="AN134" s="114"/>
      <c r="AO134" s="114"/>
      <c r="AP134" s="3">
        <f>AO134/24</f>
        <v>0</v>
      </c>
      <c r="AQ134" s="27"/>
      <c r="AR134" s="2"/>
      <c r="AS134" s="2"/>
      <c r="AT134" s="3">
        <f>AS134/24</f>
        <v>0</v>
      </c>
      <c r="AU134" s="29"/>
    </row>
    <row r="135" spans="2:47" ht="24.75" customHeight="1">
      <c r="B135" s="21" t="s">
        <v>22</v>
      </c>
      <c r="D135" s="5"/>
      <c r="E135" s="6"/>
      <c r="H135" s="5"/>
      <c r="I135" s="6"/>
      <c r="L135" s="5"/>
      <c r="M135" s="6"/>
      <c r="P135" s="5"/>
      <c r="Q135" s="6"/>
      <c r="T135" s="5"/>
      <c r="U135" s="6"/>
      <c r="X135" s="5"/>
      <c r="Y135" s="6"/>
      <c r="Z135" s="153"/>
      <c r="AA135" s="150"/>
      <c r="AB135" s="5"/>
      <c r="AC135" s="6"/>
      <c r="AD135" s="153"/>
      <c r="AE135" s="150"/>
      <c r="AF135" s="5"/>
      <c r="AG135" s="6"/>
      <c r="AH135" s="153"/>
      <c r="AI135" s="150"/>
      <c r="AJ135" s="5"/>
      <c r="AK135" s="6"/>
      <c r="AN135" s="5"/>
      <c r="AO135" s="6"/>
      <c r="AR135" s="5"/>
      <c r="AS135" s="6"/>
    </row>
    <row r="136" spans="2:47" ht="15">
      <c r="B136" s="28" t="s">
        <v>264</v>
      </c>
      <c r="D136" s="5"/>
      <c r="E136" s="6"/>
      <c r="G136" s="27"/>
      <c r="H136" s="5"/>
      <c r="I136" s="6"/>
      <c r="K136" s="27"/>
      <c r="L136" s="5"/>
      <c r="M136" s="6"/>
      <c r="O136" s="27"/>
      <c r="P136" s="5"/>
      <c r="Q136" s="6"/>
      <c r="S136" s="27"/>
      <c r="T136" s="5"/>
      <c r="U136" s="6"/>
      <c r="W136" s="27"/>
      <c r="X136" s="5"/>
      <c r="Y136" s="6"/>
      <c r="AA136" s="27"/>
      <c r="AB136" s="5"/>
      <c r="AC136" s="6"/>
      <c r="AE136" s="27"/>
      <c r="AF136" s="5"/>
      <c r="AG136" s="6"/>
      <c r="AI136" s="27"/>
      <c r="AJ136" s="5"/>
      <c r="AK136" s="6"/>
      <c r="AM136" s="27"/>
      <c r="AN136" s="5"/>
      <c r="AO136" s="6"/>
      <c r="AQ136" s="27"/>
      <c r="AR136" s="5"/>
      <c r="AS136" s="6"/>
      <c r="AU136" s="29"/>
    </row>
    <row r="137" spans="2:47" ht="15">
      <c r="B137" s="28" t="s">
        <v>265</v>
      </c>
      <c r="D137" s="5"/>
      <c r="E137" s="6"/>
      <c r="G137" s="27"/>
      <c r="H137" s="5"/>
      <c r="I137" s="6"/>
      <c r="K137" s="27"/>
      <c r="L137" s="5"/>
      <c r="M137" s="6"/>
      <c r="O137" s="27"/>
      <c r="P137" s="5"/>
      <c r="Q137" s="6"/>
      <c r="S137" s="27"/>
      <c r="T137" s="5"/>
      <c r="U137" s="6"/>
      <c r="W137" s="27"/>
      <c r="X137" s="5"/>
      <c r="Y137" s="6"/>
      <c r="AA137" s="27">
        <f>2201+2125202.75</f>
        <v>2127403.75</v>
      </c>
      <c r="AB137" s="5"/>
      <c r="AC137" s="6"/>
      <c r="AE137" s="27">
        <f>1780269.24+25336.88</f>
        <v>1805606.1199999999</v>
      </c>
      <c r="AF137" s="5"/>
      <c r="AG137" s="6"/>
      <c r="AI137" s="27">
        <v>2751479</v>
      </c>
      <c r="AJ137" s="5"/>
      <c r="AK137" s="6"/>
      <c r="AM137" s="27">
        <v>2921465.9</v>
      </c>
      <c r="AN137" s="5"/>
      <c r="AO137" s="6"/>
      <c r="AQ137" s="27">
        <v>3186381</v>
      </c>
      <c r="AR137" s="5"/>
      <c r="AS137" s="6"/>
      <c r="AU137" s="29">
        <v>1950800</v>
      </c>
    </row>
    <row r="138" spans="2:47" ht="15">
      <c r="B138" s="28" t="s">
        <v>23</v>
      </c>
      <c r="D138" s="5"/>
      <c r="E138" s="6"/>
      <c r="G138" s="26">
        <f>G133-G136-G137</f>
        <v>5951843</v>
      </c>
      <c r="H138" s="5"/>
      <c r="I138" s="6"/>
      <c r="K138" s="26">
        <f>K133-K136-K137</f>
        <v>6023540</v>
      </c>
      <c r="L138" s="5"/>
      <c r="M138" s="6"/>
      <c r="O138" s="26">
        <f>O133-O136-O137</f>
        <v>6059971</v>
      </c>
      <c r="P138" s="5"/>
      <c r="Q138" s="6"/>
      <c r="S138" s="26">
        <f>S133-S136-S137</f>
        <v>5433097</v>
      </c>
      <c r="T138" s="5"/>
      <c r="U138" s="6"/>
      <c r="W138" s="26">
        <f>W133-W136-W137</f>
        <v>7305605</v>
      </c>
      <c r="X138" s="5"/>
      <c r="Y138" s="6"/>
      <c r="AA138" s="26">
        <f>AA133-AA136-AA137</f>
        <v>6229237.25</v>
      </c>
      <c r="AB138" s="5"/>
      <c r="AC138" s="6"/>
      <c r="AE138" s="26">
        <f>AE133-AE136-AE137</f>
        <v>7931059.8799999999</v>
      </c>
      <c r="AF138" s="5"/>
      <c r="AG138" s="6"/>
      <c r="AI138" s="26">
        <f>AI133-AI136-AI137</f>
        <v>9324356</v>
      </c>
      <c r="AJ138" s="5"/>
      <c r="AK138" s="6"/>
      <c r="AM138" s="26">
        <f>AM133-AM136-AM137</f>
        <v>10714379.139999999</v>
      </c>
      <c r="AN138" s="5"/>
      <c r="AO138" s="6"/>
      <c r="AQ138" s="26">
        <f>AQ133-AQ136-AQ137</f>
        <v>11266254.199999999</v>
      </c>
      <c r="AR138" s="5"/>
      <c r="AS138" s="6"/>
      <c r="AU138" s="26">
        <f>AU133-AU136-AU137</f>
        <v>11982151.199999999</v>
      </c>
    </row>
    <row r="139" spans="2:47">
      <c r="D139" s="7"/>
      <c r="E139" s="7"/>
      <c r="F139" s="53"/>
      <c r="G139" s="25"/>
      <c r="H139" s="14"/>
      <c r="I139" s="7"/>
      <c r="J139" s="53"/>
      <c r="K139" s="25"/>
      <c r="L139" s="14"/>
      <c r="M139" s="7"/>
      <c r="N139" s="53"/>
      <c r="O139" s="25"/>
      <c r="P139" s="14"/>
      <c r="Q139" s="7"/>
      <c r="R139" s="53"/>
      <c r="S139" s="25"/>
      <c r="T139" s="14"/>
      <c r="U139" s="7"/>
      <c r="V139" s="53"/>
      <c r="W139" s="25"/>
      <c r="X139" s="14"/>
      <c r="Y139" s="7"/>
      <c r="Z139" s="53"/>
      <c r="AA139" s="25"/>
      <c r="AB139" s="14"/>
      <c r="AC139" s="7"/>
      <c r="AD139" s="53"/>
      <c r="AE139" s="25"/>
      <c r="AF139" s="14"/>
      <c r="AG139" s="7"/>
      <c r="AH139" s="53"/>
      <c r="AI139" s="25"/>
      <c r="AJ139" s="14"/>
      <c r="AK139" s="7"/>
      <c r="AL139" s="53"/>
      <c r="AM139" s="25"/>
      <c r="AN139" s="14"/>
      <c r="AO139" s="7"/>
      <c r="AP139" s="53"/>
      <c r="AQ139" s="25"/>
      <c r="AR139" s="14"/>
      <c r="AS139" s="7"/>
      <c r="AT139" s="53"/>
      <c r="AU139" s="25"/>
    </row>
    <row r="140" spans="2:47">
      <c r="B140" s="12"/>
      <c r="C140" s="12"/>
      <c r="D140" s="12"/>
      <c r="E140" s="12"/>
      <c r="F140" s="54"/>
      <c r="G140" s="24"/>
      <c r="H140" s="13"/>
      <c r="I140" s="12"/>
      <c r="J140" s="54"/>
      <c r="K140" s="24"/>
      <c r="L140" s="13"/>
      <c r="M140" s="12"/>
      <c r="N140" s="54"/>
      <c r="O140" s="24"/>
      <c r="P140" s="13"/>
      <c r="Q140" s="12"/>
      <c r="R140" s="54"/>
      <c r="S140" s="24"/>
      <c r="T140" s="13"/>
      <c r="U140" s="12"/>
      <c r="V140" s="54"/>
      <c r="W140" s="24"/>
      <c r="X140" s="13"/>
      <c r="Y140" s="12"/>
      <c r="Z140" s="54"/>
      <c r="AA140" s="24"/>
      <c r="AB140" s="13"/>
      <c r="AC140" s="12"/>
      <c r="AD140" s="54"/>
      <c r="AE140" s="24"/>
      <c r="AF140" s="13"/>
      <c r="AG140" s="12"/>
      <c r="AH140" s="54"/>
      <c r="AI140" s="24"/>
      <c r="AJ140" s="13"/>
      <c r="AK140" s="12"/>
      <c r="AL140" s="54"/>
      <c r="AM140" s="24"/>
      <c r="AN140" s="13"/>
      <c r="AO140" s="12"/>
      <c r="AP140" s="54"/>
      <c r="AQ140" s="24"/>
      <c r="AR140" s="13"/>
      <c r="AS140" s="12"/>
      <c r="AT140" s="54"/>
      <c r="AU140" s="24"/>
    </row>
    <row r="141" spans="2:47">
      <c r="B141" s="12"/>
      <c r="C141" s="12"/>
      <c r="D141" s="12"/>
      <c r="E141" s="12"/>
      <c r="F141" s="54"/>
      <c r="G141" s="24"/>
      <c r="H141" s="13"/>
      <c r="I141" s="12"/>
      <c r="J141" s="54"/>
      <c r="K141" s="24"/>
      <c r="L141" s="13"/>
      <c r="M141" s="12"/>
      <c r="N141" s="54"/>
      <c r="O141" s="24"/>
      <c r="P141" s="13"/>
      <c r="Q141" s="12"/>
      <c r="R141" s="54"/>
      <c r="S141" s="24"/>
      <c r="T141" s="13"/>
      <c r="U141" s="12"/>
      <c r="V141" s="54"/>
      <c r="W141" s="24"/>
      <c r="X141" s="13"/>
      <c r="Y141" s="12"/>
      <c r="Z141" s="54"/>
      <c r="AA141" s="24"/>
      <c r="AB141" s="13"/>
      <c r="AC141" s="12"/>
      <c r="AD141" s="54"/>
      <c r="AE141" s="24"/>
      <c r="AF141" s="13"/>
      <c r="AG141" s="12"/>
      <c r="AH141" s="54"/>
      <c r="AI141" s="24"/>
      <c r="AJ141" s="13"/>
      <c r="AK141" s="12"/>
      <c r="AL141" s="54"/>
      <c r="AM141" s="24"/>
      <c r="AN141" s="13"/>
      <c r="AO141" s="12"/>
      <c r="AP141" s="54"/>
      <c r="AQ141" s="24"/>
      <c r="AR141" s="13"/>
      <c r="AS141" s="12"/>
      <c r="AT141" s="54"/>
      <c r="AU141" s="24"/>
    </row>
    <row r="142" spans="2:47">
      <c r="B142" s="7"/>
      <c r="C142" s="7"/>
      <c r="D142" s="7"/>
      <c r="E142" s="7"/>
      <c r="F142" s="53"/>
      <c r="G142" s="25"/>
      <c r="H142" s="14"/>
      <c r="I142" s="7"/>
      <c r="J142" s="53"/>
      <c r="K142" s="25"/>
      <c r="L142" s="14"/>
      <c r="M142" s="7"/>
      <c r="N142" s="53"/>
      <c r="O142" s="25"/>
      <c r="P142" s="14"/>
      <c r="Q142" s="7"/>
      <c r="R142" s="53"/>
      <c r="S142" s="25"/>
      <c r="T142" s="14"/>
      <c r="U142" s="7"/>
      <c r="V142" s="53"/>
      <c r="W142" s="25"/>
      <c r="X142" s="14"/>
      <c r="Y142" s="7"/>
      <c r="Z142" s="53"/>
      <c r="AA142" s="25"/>
      <c r="AB142" s="14"/>
      <c r="AC142" s="7"/>
      <c r="AD142" s="53"/>
      <c r="AE142" s="25"/>
      <c r="AF142" s="14"/>
      <c r="AG142" s="7"/>
      <c r="AH142" s="53"/>
      <c r="AI142" s="25"/>
      <c r="AJ142" s="14"/>
      <c r="AK142" s="7"/>
      <c r="AL142" s="53"/>
      <c r="AM142" s="25"/>
      <c r="AN142" s="14"/>
      <c r="AO142" s="7"/>
      <c r="AP142" s="53"/>
      <c r="AQ142" s="25"/>
      <c r="AR142" s="14"/>
      <c r="AS142" s="7"/>
      <c r="AT142" s="53"/>
      <c r="AU142" s="25"/>
    </row>
    <row r="143" spans="2:47" ht="20.25">
      <c r="B143" s="470" t="s">
        <v>20</v>
      </c>
      <c r="C143" s="471"/>
      <c r="D143" s="422" t="str">
        <f>D$2</f>
        <v>2012-13</v>
      </c>
      <c r="E143" s="423"/>
      <c r="F143" s="423"/>
      <c r="G143" s="424"/>
      <c r="H143" s="425" t="str">
        <f>H$2</f>
        <v>2013-14</v>
      </c>
      <c r="I143" s="426"/>
      <c r="J143" s="426"/>
      <c r="K143" s="427"/>
      <c r="L143" s="428" t="str">
        <f>L$2</f>
        <v>2014-15</v>
      </c>
      <c r="M143" s="429"/>
      <c r="N143" s="429"/>
      <c r="O143" s="430"/>
      <c r="P143" s="431" t="str">
        <f>P$2</f>
        <v>2015-16</v>
      </c>
      <c r="Q143" s="432"/>
      <c r="R143" s="432"/>
      <c r="S143" s="433"/>
      <c r="T143" s="434" t="str">
        <f>T$2</f>
        <v>2016-17</v>
      </c>
      <c r="U143" s="435"/>
      <c r="V143" s="435"/>
      <c r="W143" s="436"/>
      <c r="X143" s="437" t="str">
        <f>X$2</f>
        <v>2017-18</v>
      </c>
      <c r="Y143" s="438"/>
      <c r="Z143" s="438"/>
      <c r="AA143" s="439"/>
      <c r="AB143" s="422" t="str">
        <f>AB$2</f>
        <v>2018-19</v>
      </c>
      <c r="AC143" s="423"/>
      <c r="AD143" s="423"/>
      <c r="AE143" s="424"/>
      <c r="AF143" s="425" t="str">
        <f>AF$2</f>
        <v>2019-20</v>
      </c>
      <c r="AG143" s="426"/>
      <c r="AH143" s="426"/>
      <c r="AI143" s="427"/>
      <c r="AJ143" s="428" t="str">
        <f>AJ$2</f>
        <v>2020-21</v>
      </c>
      <c r="AK143" s="429"/>
      <c r="AL143" s="429"/>
      <c r="AM143" s="430"/>
      <c r="AN143" s="431" t="str">
        <f>AN$2</f>
        <v>2021-22</v>
      </c>
      <c r="AO143" s="432"/>
      <c r="AP143" s="432"/>
      <c r="AQ143" s="433"/>
      <c r="AR143" s="434" t="str">
        <f>AR$2</f>
        <v>2022-23</v>
      </c>
      <c r="AS143" s="435"/>
      <c r="AT143" s="435"/>
      <c r="AU143" s="436"/>
    </row>
    <row r="144" spans="2:47" ht="15" customHeight="1">
      <c r="B144" s="7"/>
      <c r="C144" s="7"/>
      <c r="D144" s="462" t="s">
        <v>2</v>
      </c>
      <c r="E144" s="465" t="s">
        <v>3</v>
      </c>
      <c r="F144" s="453" t="s">
        <v>4</v>
      </c>
      <c r="G144" s="456" t="s">
        <v>21</v>
      </c>
      <c r="H144" s="462" t="s">
        <v>2</v>
      </c>
      <c r="I144" s="465" t="s">
        <v>3</v>
      </c>
      <c r="J144" s="453" t="s">
        <v>4</v>
      </c>
      <c r="K144" s="456" t="s">
        <v>21</v>
      </c>
      <c r="L144" s="462" t="s">
        <v>2</v>
      </c>
      <c r="M144" s="465" t="s">
        <v>3</v>
      </c>
      <c r="N144" s="453" t="s">
        <v>4</v>
      </c>
      <c r="O144" s="456" t="s">
        <v>21</v>
      </c>
      <c r="P144" s="462" t="s">
        <v>2</v>
      </c>
      <c r="Q144" s="465" t="s">
        <v>3</v>
      </c>
      <c r="R144" s="453" t="s">
        <v>4</v>
      </c>
      <c r="S144" s="456" t="s">
        <v>21</v>
      </c>
      <c r="T144" s="462" t="s">
        <v>2</v>
      </c>
      <c r="U144" s="465" t="s">
        <v>3</v>
      </c>
      <c r="V144" s="453" t="s">
        <v>4</v>
      </c>
      <c r="W144" s="456" t="s">
        <v>21</v>
      </c>
      <c r="X144" s="462" t="s">
        <v>2</v>
      </c>
      <c r="Y144" s="465" t="s">
        <v>3</v>
      </c>
      <c r="Z144" s="453" t="s">
        <v>4</v>
      </c>
      <c r="AA144" s="456" t="s">
        <v>21</v>
      </c>
      <c r="AB144" s="462" t="s">
        <v>2</v>
      </c>
      <c r="AC144" s="465" t="s">
        <v>3</v>
      </c>
      <c r="AD144" s="453" t="s">
        <v>4</v>
      </c>
      <c r="AE144" s="456" t="s">
        <v>21</v>
      </c>
      <c r="AF144" s="462" t="s">
        <v>2</v>
      </c>
      <c r="AG144" s="465" t="s">
        <v>3</v>
      </c>
      <c r="AH144" s="453" t="s">
        <v>4</v>
      </c>
      <c r="AI144" s="456" t="s">
        <v>21</v>
      </c>
      <c r="AJ144" s="462" t="s">
        <v>2</v>
      </c>
      <c r="AK144" s="465" t="s">
        <v>3</v>
      </c>
      <c r="AL144" s="453" t="s">
        <v>4</v>
      </c>
      <c r="AM144" s="456" t="s">
        <v>21</v>
      </c>
      <c r="AN144" s="462" t="s">
        <v>2</v>
      </c>
      <c r="AO144" s="465" t="s">
        <v>3</v>
      </c>
      <c r="AP144" s="453" t="s">
        <v>4</v>
      </c>
      <c r="AQ144" s="456" t="s">
        <v>21</v>
      </c>
      <c r="AR144" s="462" t="s">
        <v>2</v>
      </c>
      <c r="AS144" s="465" t="s">
        <v>3</v>
      </c>
      <c r="AT144" s="453" t="s">
        <v>4</v>
      </c>
      <c r="AU144" s="456" t="s">
        <v>21</v>
      </c>
    </row>
    <row r="145" spans="2:47">
      <c r="B145" s="7"/>
      <c r="C145" s="7"/>
      <c r="D145" s="463"/>
      <c r="E145" s="466"/>
      <c r="F145" s="454"/>
      <c r="G145" s="457"/>
      <c r="H145" s="463"/>
      <c r="I145" s="466"/>
      <c r="J145" s="454"/>
      <c r="K145" s="457"/>
      <c r="L145" s="463"/>
      <c r="M145" s="466"/>
      <c r="N145" s="454"/>
      <c r="O145" s="457"/>
      <c r="P145" s="463"/>
      <c r="Q145" s="466"/>
      <c r="R145" s="454"/>
      <c r="S145" s="457"/>
      <c r="T145" s="463"/>
      <c r="U145" s="466"/>
      <c r="V145" s="454"/>
      <c r="W145" s="457"/>
      <c r="X145" s="463"/>
      <c r="Y145" s="466"/>
      <c r="Z145" s="454"/>
      <c r="AA145" s="457"/>
      <c r="AB145" s="463"/>
      <c r="AC145" s="466"/>
      <c r="AD145" s="454"/>
      <c r="AE145" s="457"/>
      <c r="AF145" s="463"/>
      <c r="AG145" s="466"/>
      <c r="AH145" s="454"/>
      <c r="AI145" s="457"/>
      <c r="AJ145" s="463"/>
      <c r="AK145" s="466"/>
      <c r="AL145" s="454"/>
      <c r="AM145" s="457"/>
      <c r="AN145" s="463"/>
      <c r="AO145" s="466"/>
      <c r="AP145" s="454"/>
      <c r="AQ145" s="457"/>
      <c r="AR145" s="463"/>
      <c r="AS145" s="466"/>
      <c r="AT145" s="454"/>
      <c r="AU145" s="457"/>
    </row>
    <row r="146" spans="2:47">
      <c r="B146" s="144" t="s">
        <v>5</v>
      </c>
      <c r="C146" s="144" t="s">
        <v>6</v>
      </c>
      <c r="D146" s="464"/>
      <c r="E146" s="467"/>
      <c r="F146" s="455"/>
      <c r="G146" s="458"/>
      <c r="H146" s="464"/>
      <c r="I146" s="467"/>
      <c r="J146" s="455"/>
      <c r="K146" s="458"/>
      <c r="L146" s="464"/>
      <c r="M146" s="467"/>
      <c r="N146" s="455"/>
      <c r="O146" s="458"/>
      <c r="P146" s="464"/>
      <c r="Q146" s="467"/>
      <c r="R146" s="455"/>
      <c r="S146" s="458"/>
      <c r="T146" s="464"/>
      <c r="U146" s="467"/>
      <c r="V146" s="455"/>
      <c r="W146" s="458"/>
      <c r="X146" s="464"/>
      <c r="Y146" s="467"/>
      <c r="Z146" s="455"/>
      <c r="AA146" s="458"/>
      <c r="AB146" s="464"/>
      <c r="AC146" s="467"/>
      <c r="AD146" s="455"/>
      <c r="AE146" s="458"/>
      <c r="AF146" s="464"/>
      <c r="AG146" s="467"/>
      <c r="AH146" s="455"/>
      <c r="AI146" s="458"/>
      <c r="AJ146" s="464"/>
      <c r="AK146" s="467"/>
      <c r="AL146" s="455"/>
      <c r="AM146" s="458"/>
      <c r="AN146" s="464"/>
      <c r="AO146" s="467"/>
      <c r="AP146" s="455"/>
      <c r="AQ146" s="458"/>
      <c r="AR146" s="464"/>
      <c r="AS146" s="467"/>
      <c r="AT146" s="455"/>
      <c r="AU146" s="458"/>
    </row>
    <row r="147" spans="2:47">
      <c r="B147" s="459" t="s">
        <v>7</v>
      </c>
      <c r="C147" s="10" t="s">
        <v>8</v>
      </c>
      <c r="D147" s="113">
        <v>0</v>
      </c>
      <c r="E147" s="114">
        <v>0</v>
      </c>
      <c r="F147" s="3">
        <f>E147/30</f>
        <v>0</v>
      </c>
      <c r="G147" s="27"/>
      <c r="H147" s="113">
        <v>0</v>
      </c>
      <c r="I147" s="114">
        <v>0</v>
      </c>
      <c r="J147" s="3">
        <f>I147/30</f>
        <v>0</v>
      </c>
      <c r="K147" s="27"/>
      <c r="L147" s="113">
        <v>0</v>
      </c>
      <c r="M147" s="114">
        <v>0</v>
      </c>
      <c r="N147" s="3">
        <f>M147/30</f>
        <v>0</v>
      </c>
      <c r="O147" s="27"/>
      <c r="P147" s="113">
        <v>0</v>
      </c>
      <c r="Q147" s="114">
        <v>0</v>
      </c>
      <c r="R147" s="3">
        <f>Q147/30</f>
        <v>0</v>
      </c>
      <c r="S147" s="27"/>
      <c r="T147" s="113">
        <v>0</v>
      </c>
      <c r="U147" s="114">
        <v>0</v>
      </c>
      <c r="V147" s="3">
        <f>U147/30</f>
        <v>0</v>
      </c>
      <c r="W147" s="27"/>
      <c r="X147" s="113">
        <v>0</v>
      </c>
      <c r="Y147" s="114">
        <v>0</v>
      </c>
      <c r="Z147" s="3">
        <f>Y147/30</f>
        <v>0</v>
      </c>
      <c r="AA147" s="27">
        <v>0</v>
      </c>
      <c r="AB147" s="113">
        <v>0</v>
      </c>
      <c r="AC147" s="114"/>
      <c r="AD147" s="3">
        <f>AC147/30</f>
        <v>0</v>
      </c>
      <c r="AE147" s="27">
        <v>0</v>
      </c>
      <c r="AF147" s="113">
        <f t="shared" ref="AF147:AG148" si="146">T147+X147+AB147</f>
        <v>0</v>
      </c>
      <c r="AG147" s="113">
        <f t="shared" si="146"/>
        <v>0</v>
      </c>
      <c r="AH147" s="3">
        <f>AG147/30</f>
        <v>0</v>
      </c>
      <c r="AI147" s="27">
        <v>0</v>
      </c>
      <c r="AJ147" s="113">
        <v>0</v>
      </c>
      <c r="AK147" s="114">
        <v>0</v>
      </c>
      <c r="AL147" s="3">
        <f>AK147/30</f>
        <v>0</v>
      </c>
      <c r="AM147" s="27">
        <v>0</v>
      </c>
      <c r="AN147" s="113">
        <v>0</v>
      </c>
      <c r="AO147" s="114">
        <v>0</v>
      </c>
      <c r="AP147" s="3">
        <f>AO147/30</f>
        <v>0</v>
      </c>
      <c r="AQ147" s="27">
        <v>0</v>
      </c>
      <c r="AR147" s="1"/>
      <c r="AS147" s="2"/>
      <c r="AT147" s="3">
        <f>AS147/30</f>
        <v>0</v>
      </c>
      <c r="AU147" s="29">
        <v>0</v>
      </c>
    </row>
    <row r="148" spans="2:47">
      <c r="B148" s="460"/>
      <c r="C148" s="10" t="s">
        <v>9</v>
      </c>
      <c r="D148" s="113">
        <v>0</v>
      </c>
      <c r="E148" s="114">
        <v>0</v>
      </c>
      <c r="F148" s="3">
        <f>E148/30</f>
        <v>0</v>
      </c>
      <c r="G148" s="27"/>
      <c r="H148" s="113">
        <v>0</v>
      </c>
      <c r="I148" s="114">
        <v>0</v>
      </c>
      <c r="J148" s="3">
        <f>I148/30</f>
        <v>0</v>
      </c>
      <c r="K148" s="27"/>
      <c r="L148" s="113">
        <v>0</v>
      </c>
      <c r="M148" s="114">
        <v>0</v>
      </c>
      <c r="N148" s="3">
        <f>M148/30</f>
        <v>0</v>
      </c>
      <c r="O148" s="27"/>
      <c r="P148" s="113">
        <v>0</v>
      </c>
      <c r="Q148" s="114">
        <v>0</v>
      </c>
      <c r="R148" s="3">
        <f>Q148/30</f>
        <v>0</v>
      </c>
      <c r="S148" s="27"/>
      <c r="T148" s="113">
        <v>0</v>
      </c>
      <c r="U148" s="114">
        <v>0</v>
      </c>
      <c r="V148" s="3">
        <f>U148/30</f>
        <v>0</v>
      </c>
      <c r="W148" s="27"/>
      <c r="X148" s="113">
        <v>0</v>
      </c>
      <c r="Y148" s="114">
        <v>0</v>
      </c>
      <c r="Z148" s="3">
        <f>Y148/30</f>
        <v>0</v>
      </c>
      <c r="AA148" s="27">
        <v>0</v>
      </c>
      <c r="AB148" s="113">
        <v>0</v>
      </c>
      <c r="AC148" s="114"/>
      <c r="AD148" s="3">
        <f>AC148/30</f>
        <v>0</v>
      </c>
      <c r="AE148" s="27">
        <v>0</v>
      </c>
      <c r="AF148" s="113">
        <f t="shared" si="146"/>
        <v>0</v>
      </c>
      <c r="AG148" s="113">
        <f t="shared" si="146"/>
        <v>0</v>
      </c>
      <c r="AH148" s="3">
        <f>AG148/30</f>
        <v>0</v>
      </c>
      <c r="AI148" s="27">
        <v>0</v>
      </c>
      <c r="AJ148" s="113">
        <v>0</v>
      </c>
      <c r="AK148" s="114">
        <v>0</v>
      </c>
      <c r="AL148" s="3">
        <f>AK148/30</f>
        <v>0</v>
      </c>
      <c r="AM148" s="27">
        <v>0</v>
      </c>
      <c r="AN148" s="113">
        <v>0</v>
      </c>
      <c r="AO148" s="114">
        <v>0</v>
      </c>
      <c r="AP148" s="3">
        <f>AO148/30</f>
        <v>0</v>
      </c>
      <c r="AQ148" s="27">
        <v>0</v>
      </c>
      <c r="AR148" s="1"/>
      <c r="AS148" s="2"/>
      <c r="AT148" s="3">
        <f>AS148/30</f>
        <v>0</v>
      </c>
      <c r="AU148" s="29">
        <v>0</v>
      </c>
    </row>
    <row r="149" spans="2:47">
      <c r="B149" s="461"/>
      <c r="C149" s="11" t="s">
        <v>10</v>
      </c>
      <c r="D149" s="4">
        <f t="shared" ref="D149:Y149" si="147">SUM(D147:D148)</f>
        <v>0</v>
      </c>
      <c r="E149" s="3">
        <f t="shared" si="147"/>
        <v>0</v>
      </c>
      <c r="F149" s="3">
        <f>SUM(F147:F148)</f>
        <v>0</v>
      </c>
      <c r="G149" s="26">
        <f>SUM(G147:G148)</f>
        <v>0</v>
      </c>
      <c r="H149" s="4">
        <f t="shared" si="147"/>
        <v>0</v>
      </c>
      <c r="I149" s="3">
        <f t="shared" si="147"/>
        <v>0</v>
      </c>
      <c r="J149" s="3">
        <f>SUM(J147:J148)</f>
        <v>0</v>
      </c>
      <c r="K149" s="26">
        <f>SUM(K147:K148)</f>
        <v>0</v>
      </c>
      <c r="L149" s="4">
        <f t="shared" si="147"/>
        <v>0</v>
      </c>
      <c r="M149" s="3">
        <f t="shared" si="147"/>
        <v>0</v>
      </c>
      <c r="N149" s="3">
        <f>SUM(N147:N148)</f>
        <v>0</v>
      </c>
      <c r="O149" s="26">
        <f>SUM(O147:O148)</f>
        <v>0</v>
      </c>
      <c r="P149" s="4">
        <f t="shared" si="147"/>
        <v>0</v>
      </c>
      <c r="Q149" s="3">
        <f t="shared" si="147"/>
        <v>0</v>
      </c>
      <c r="R149" s="3">
        <f>SUM(R147:R148)</f>
        <v>0</v>
      </c>
      <c r="S149" s="26">
        <f>SUM(S147:S148)</f>
        <v>0</v>
      </c>
      <c r="T149" s="4">
        <f t="shared" si="147"/>
        <v>0</v>
      </c>
      <c r="U149" s="3">
        <f t="shared" si="147"/>
        <v>0</v>
      </c>
      <c r="V149" s="3">
        <f>SUM(V147:V148)</f>
        <v>0</v>
      </c>
      <c r="W149" s="26">
        <f>SUM(W147:W148)</f>
        <v>0</v>
      </c>
      <c r="X149" s="4">
        <f t="shared" si="147"/>
        <v>0</v>
      </c>
      <c r="Y149" s="3">
        <f t="shared" si="147"/>
        <v>0</v>
      </c>
      <c r="Z149" s="3">
        <f>SUM(Z147:Z148)</f>
        <v>0</v>
      </c>
      <c r="AA149" s="26">
        <f t="shared" ref="AA149" si="148">SUM(AA147:AA148)</f>
        <v>0</v>
      </c>
      <c r="AB149" s="4">
        <f>SUM(AB147:AB148)</f>
        <v>0</v>
      </c>
      <c r="AC149" s="3">
        <f>SUM(AC147:AC148)</f>
        <v>0</v>
      </c>
      <c r="AD149" s="3">
        <f>SUM(AD147:AD148)</f>
        <v>0</v>
      </c>
      <c r="AE149" s="26">
        <f t="shared" ref="AE149" si="149">SUM(AE147:AE148)</f>
        <v>0</v>
      </c>
      <c r="AF149" s="4">
        <f>SUM(AF147:AF148)</f>
        <v>0</v>
      </c>
      <c r="AG149" s="3">
        <f>SUM(AG147:AG148)</f>
        <v>0</v>
      </c>
      <c r="AH149" s="3">
        <f>SUM(AH147:AH148)</f>
        <v>0</v>
      </c>
      <c r="AI149" s="26">
        <f t="shared" ref="AI149" si="150">SUM(AI147:AI148)</f>
        <v>0</v>
      </c>
      <c r="AJ149" s="4">
        <f>SUM(AJ147:AJ148)</f>
        <v>0</v>
      </c>
      <c r="AK149" s="3">
        <f>SUM(AK147:AK148)</f>
        <v>0</v>
      </c>
      <c r="AL149" s="3">
        <f>SUM(AL147:AL148)</f>
        <v>0</v>
      </c>
      <c r="AM149" s="26">
        <f t="shared" ref="AM149" si="151">SUM(AM147:AM148)</f>
        <v>0</v>
      </c>
      <c r="AN149" s="4">
        <f>SUM(AN147:AN148)</f>
        <v>0</v>
      </c>
      <c r="AO149" s="3">
        <f>SUM(AO147:AO148)</f>
        <v>0</v>
      </c>
      <c r="AP149" s="3">
        <f>SUM(AP147:AP148)</f>
        <v>0</v>
      </c>
      <c r="AQ149" s="26">
        <f t="shared" ref="AQ149:AU149" si="152">SUM(AQ147:AQ148)</f>
        <v>0</v>
      </c>
      <c r="AR149" s="4">
        <f t="shared" si="152"/>
        <v>0</v>
      </c>
      <c r="AS149" s="3">
        <f t="shared" si="152"/>
        <v>0</v>
      </c>
      <c r="AT149" s="3">
        <f t="shared" si="152"/>
        <v>0</v>
      </c>
      <c r="AU149" s="26">
        <f t="shared" si="152"/>
        <v>0</v>
      </c>
    </row>
    <row r="150" spans="2:47">
      <c r="B150" s="8"/>
      <c r="C150" s="9"/>
      <c r="D150" s="5"/>
      <c r="E150" s="6"/>
      <c r="H150" s="5"/>
      <c r="I150" s="6"/>
      <c r="L150" s="5"/>
      <c r="M150" s="6"/>
      <c r="P150" s="5"/>
      <c r="Q150" s="6"/>
      <c r="T150" s="5"/>
      <c r="U150" s="6"/>
      <c r="X150" s="5"/>
      <c r="Y150" s="6"/>
      <c r="AB150" s="5"/>
      <c r="AC150" s="6"/>
      <c r="AF150" s="5"/>
      <c r="AG150" s="6"/>
      <c r="AJ150" s="5"/>
      <c r="AK150" s="6"/>
      <c r="AN150" s="5"/>
      <c r="AO150" s="6"/>
      <c r="AR150" s="5"/>
      <c r="AS150" s="6"/>
    </row>
    <row r="151" spans="2:47">
      <c r="B151" s="459" t="s">
        <v>11</v>
      </c>
      <c r="C151" s="10" t="s">
        <v>8</v>
      </c>
      <c r="D151" s="113">
        <v>0</v>
      </c>
      <c r="E151" s="114">
        <v>407</v>
      </c>
      <c r="F151" s="3">
        <f>E151/24</f>
        <v>16.958333333333332</v>
      </c>
      <c r="G151" s="27">
        <v>599086</v>
      </c>
      <c r="H151" s="113">
        <v>0</v>
      </c>
      <c r="I151" s="114">
        <v>393</v>
      </c>
      <c r="J151" s="3">
        <f>I151/24</f>
        <v>16.375</v>
      </c>
      <c r="K151" s="27">
        <v>548377</v>
      </c>
      <c r="L151" s="113">
        <v>34</v>
      </c>
      <c r="M151" s="114">
        <v>457</v>
      </c>
      <c r="N151" s="3">
        <f>M151/24</f>
        <v>19.041666666666668</v>
      </c>
      <c r="O151" s="27">
        <v>524066</v>
      </c>
      <c r="P151" s="113">
        <v>42</v>
      </c>
      <c r="Q151" s="114">
        <v>525</v>
      </c>
      <c r="R151" s="3">
        <f>Q151/24</f>
        <v>21.875</v>
      </c>
      <c r="S151" s="27">
        <v>479815</v>
      </c>
      <c r="T151" s="113">
        <v>76</v>
      </c>
      <c r="U151" s="114">
        <v>507</v>
      </c>
      <c r="V151" s="3">
        <f>U151/24</f>
        <v>21.125</v>
      </c>
      <c r="W151" s="27">
        <v>553929</v>
      </c>
      <c r="X151" s="113">
        <v>55</v>
      </c>
      <c r="Y151" s="114">
        <v>416</v>
      </c>
      <c r="Z151" s="3">
        <f>Y151/24</f>
        <v>17.333333333333332</v>
      </c>
      <c r="AA151" s="27">
        <v>121202</v>
      </c>
      <c r="AB151" s="113">
        <v>54</v>
      </c>
      <c r="AC151" s="114">
        <v>415.5</v>
      </c>
      <c r="AD151" s="3">
        <f>AC151/24</f>
        <v>17.3125</v>
      </c>
      <c r="AE151" s="27">
        <v>155572</v>
      </c>
      <c r="AF151" s="113">
        <v>33</v>
      </c>
      <c r="AG151" s="113">
        <v>498</v>
      </c>
      <c r="AH151" s="3">
        <f>AG151/24</f>
        <v>20.75</v>
      </c>
      <c r="AI151" s="27">
        <v>915619</v>
      </c>
      <c r="AJ151" s="113">
        <v>53</v>
      </c>
      <c r="AK151" s="114">
        <v>462</v>
      </c>
      <c r="AL151" s="3">
        <f>AK151/24</f>
        <v>19.25</v>
      </c>
      <c r="AM151" s="27">
        <v>1330396.5</v>
      </c>
      <c r="AN151" s="113">
        <v>110</v>
      </c>
      <c r="AO151" s="114">
        <v>684</v>
      </c>
      <c r="AP151" s="3">
        <f>AO151/24</f>
        <v>28.5</v>
      </c>
      <c r="AQ151" s="27">
        <v>1506886</v>
      </c>
      <c r="AR151" s="1">
        <v>71</v>
      </c>
      <c r="AS151" s="2">
        <v>485</v>
      </c>
      <c r="AT151" s="3">
        <f>AS151/24</f>
        <v>20.208333333333332</v>
      </c>
      <c r="AU151" s="29">
        <v>1421362</v>
      </c>
    </row>
    <row r="152" spans="2:47">
      <c r="B152" s="460"/>
      <c r="C152" s="10" t="s">
        <v>9</v>
      </c>
      <c r="D152" s="113">
        <v>0</v>
      </c>
      <c r="E152" s="114">
        <v>650</v>
      </c>
      <c r="F152" s="3">
        <f>E152/24</f>
        <v>27.083333333333332</v>
      </c>
      <c r="G152" s="27">
        <v>1176795</v>
      </c>
      <c r="H152" s="113">
        <v>0</v>
      </c>
      <c r="I152" s="114">
        <v>728</v>
      </c>
      <c r="J152" s="3">
        <f>I152/24</f>
        <v>30.333333333333332</v>
      </c>
      <c r="K152" s="27">
        <v>1596137</v>
      </c>
      <c r="L152" s="113">
        <v>40</v>
      </c>
      <c r="M152" s="114">
        <v>762</v>
      </c>
      <c r="N152" s="3">
        <f>M152/24</f>
        <v>31.75</v>
      </c>
      <c r="O152" s="27">
        <v>1788577</v>
      </c>
      <c r="P152" s="113">
        <v>53</v>
      </c>
      <c r="Q152" s="114">
        <v>888</v>
      </c>
      <c r="R152" s="3">
        <f>Q152/24</f>
        <v>37</v>
      </c>
      <c r="S152" s="27">
        <v>1333777</v>
      </c>
      <c r="T152" s="113">
        <v>82</v>
      </c>
      <c r="U152" s="114">
        <v>746</v>
      </c>
      <c r="V152" s="3">
        <f>U152/24</f>
        <v>31.083333333333332</v>
      </c>
      <c r="W152" s="27">
        <f>1425682-1979611+1973339</f>
        <v>1419410</v>
      </c>
      <c r="X152" s="113">
        <v>61</v>
      </c>
      <c r="Y152" s="114">
        <v>724</v>
      </c>
      <c r="Z152" s="3">
        <f>Y152/24</f>
        <v>30.166666666666668</v>
      </c>
      <c r="AA152" s="27">
        <v>548673</v>
      </c>
      <c r="AB152" s="113">
        <v>48</v>
      </c>
      <c r="AC152" s="114">
        <v>578</v>
      </c>
      <c r="AD152" s="3">
        <f>AC152/24</f>
        <v>24.083333333333332</v>
      </c>
      <c r="AE152" s="27">
        <v>377265</v>
      </c>
      <c r="AF152" s="113">
        <v>32</v>
      </c>
      <c r="AG152" s="113">
        <v>652</v>
      </c>
      <c r="AH152" s="3">
        <f>AG152/24</f>
        <v>27.166666666666668</v>
      </c>
      <c r="AI152" s="27">
        <v>1110398</v>
      </c>
      <c r="AJ152" s="113">
        <v>46</v>
      </c>
      <c r="AK152" s="114">
        <v>626</v>
      </c>
      <c r="AL152" s="3">
        <f>AK152/24</f>
        <v>26.083333333333332</v>
      </c>
      <c r="AM152" s="27">
        <v>2136795</v>
      </c>
      <c r="AN152" s="113">
        <v>88</v>
      </c>
      <c r="AO152" s="114">
        <v>816</v>
      </c>
      <c r="AP152" s="3">
        <f>AO152/24</f>
        <v>34</v>
      </c>
      <c r="AQ152" s="27">
        <v>2386527</v>
      </c>
      <c r="AR152" s="1">
        <v>43</v>
      </c>
      <c r="AS152" s="2">
        <v>409</v>
      </c>
      <c r="AT152" s="3">
        <f>AS152/24</f>
        <v>17.041666666666668</v>
      </c>
      <c r="AU152" s="29">
        <v>2125203</v>
      </c>
    </row>
    <row r="153" spans="2:47">
      <c r="B153" s="461"/>
      <c r="C153" s="11" t="s">
        <v>10</v>
      </c>
      <c r="D153" s="4">
        <f t="shared" ref="D153:AA153" si="153">SUM(D151:D152)</f>
        <v>0</v>
      </c>
      <c r="E153" s="3">
        <f t="shared" si="153"/>
        <v>1057</v>
      </c>
      <c r="F153" s="3">
        <f t="shared" si="153"/>
        <v>44.041666666666664</v>
      </c>
      <c r="G153" s="26">
        <f>SUM(G151:G152)</f>
        <v>1775881</v>
      </c>
      <c r="H153" s="4">
        <f t="shared" si="153"/>
        <v>0</v>
      </c>
      <c r="I153" s="3">
        <f t="shared" si="153"/>
        <v>1121</v>
      </c>
      <c r="J153" s="3">
        <f t="shared" si="153"/>
        <v>46.708333333333329</v>
      </c>
      <c r="K153" s="26">
        <f>SUM(K151:K152)</f>
        <v>2144514</v>
      </c>
      <c r="L153" s="4">
        <f t="shared" si="153"/>
        <v>74</v>
      </c>
      <c r="M153" s="3">
        <f t="shared" si="153"/>
        <v>1219</v>
      </c>
      <c r="N153" s="3">
        <f t="shared" si="153"/>
        <v>50.791666666666671</v>
      </c>
      <c r="O153" s="26">
        <f>SUM(O151:O152)</f>
        <v>2312643</v>
      </c>
      <c r="P153" s="4">
        <f t="shared" si="153"/>
        <v>95</v>
      </c>
      <c r="Q153" s="3">
        <f t="shared" si="153"/>
        <v>1413</v>
      </c>
      <c r="R153" s="3">
        <f t="shared" si="153"/>
        <v>58.875</v>
      </c>
      <c r="S153" s="26">
        <f>SUM(S151:S152)</f>
        <v>1813592</v>
      </c>
      <c r="T153" s="4">
        <f t="shared" si="153"/>
        <v>158</v>
      </c>
      <c r="U153" s="3">
        <f t="shared" si="153"/>
        <v>1253</v>
      </c>
      <c r="V153" s="3">
        <f t="shared" si="153"/>
        <v>52.208333333333329</v>
      </c>
      <c r="W153" s="26">
        <f>SUM(W151:W152)</f>
        <v>1973339</v>
      </c>
      <c r="X153" s="4">
        <f t="shared" si="153"/>
        <v>116</v>
      </c>
      <c r="Y153" s="3">
        <f t="shared" si="153"/>
        <v>1140</v>
      </c>
      <c r="Z153" s="3">
        <f t="shared" si="153"/>
        <v>47.5</v>
      </c>
      <c r="AA153" s="26">
        <f t="shared" si="153"/>
        <v>669875</v>
      </c>
      <c r="AB153" s="4">
        <f>SUM(AB151:AB152)</f>
        <v>102</v>
      </c>
      <c r="AC153" s="3">
        <f>SUM(AC151:AC152)</f>
        <v>993.5</v>
      </c>
      <c r="AD153" s="3">
        <f>SUM(AD151:AD152)</f>
        <v>41.395833333333329</v>
      </c>
      <c r="AE153" s="26">
        <f t="shared" ref="AE153" si="154">SUM(AE151:AE152)</f>
        <v>532837</v>
      </c>
      <c r="AF153" s="4">
        <f>SUM(AF151:AF152)</f>
        <v>65</v>
      </c>
      <c r="AG153" s="3">
        <f>SUM(AG151:AG152)</f>
        <v>1150</v>
      </c>
      <c r="AH153" s="3">
        <f>SUM(AH151:AH152)</f>
        <v>47.916666666666671</v>
      </c>
      <c r="AI153" s="26">
        <f t="shared" ref="AI153" si="155">SUM(AI151:AI152)</f>
        <v>2026017</v>
      </c>
      <c r="AJ153" s="113">
        <f>SUM(AJ151:AJ152)</f>
        <v>99</v>
      </c>
      <c r="AK153" s="114">
        <f>SUM(AK151:AK152)</f>
        <v>1088</v>
      </c>
      <c r="AL153" s="3">
        <f>SUM(AL151:AL152)</f>
        <v>45.333333333333329</v>
      </c>
      <c r="AM153" s="26">
        <f t="shared" ref="AM153" si="156">SUM(AM151:AM152)</f>
        <v>3467191.5</v>
      </c>
      <c r="AN153" s="4">
        <f>SUM(AN151:AN152)</f>
        <v>198</v>
      </c>
      <c r="AO153" s="3">
        <f>SUM(AO151:AO152)</f>
        <v>1500</v>
      </c>
      <c r="AP153" s="3">
        <f>SUM(AP151:AP152)</f>
        <v>62.5</v>
      </c>
      <c r="AQ153" s="26">
        <f t="shared" ref="AQ153:AU153" si="157">SUM(AQ151:AQ152)</f>
        <v>3893413</v>
      </c>
      <c r="AR153" s="4">
        <f t="shared" si="157"/>
        <v>114</v>
      </c>
      <c r="AS153" s="3">
        <f t="shared" si="157"/>
        <v>894</v>
      </c>
      <c r="AT153" s="3">
        <f t="shared" si="157"/>
        <v>37.25</v>
      </c>
      <c r="AU153" s="26">
        <f t="shared" si="157"/>
        <v>3546565</v>
      </c>
    </row>
    <row r="154" spans="2:47">
      <c r="B154" s="8"/>
      <c r="C154" s="9"/>
      <c r="D154" s="5"/>
      <c r="E154" s="6"/>
      <c r="G154" s="20"/>
      <c r="K154" s="6"/>
      <c r="L154" s="6"/>
      <c r="M154" s="6"/>
      <c r="O154" s="6"/>
      <c r="P154" s="6"/>
      <c r="Q154" s="6"/>
      <c r="S154" s="6"/>
      <c r="T154" s="6"/>
      <c r="U154" s="5"/>
      <c r="V154" s="5"/>
      <c r="W154" s="5"/>
      <c r="X154" s="5"/>
      <c r="Y154" s="6"/>
      <c r="AA154" s="150"/>
      <c r="AB154" s="5"/>
      <c r="AC154" s="6"/>
      <c r="AE154" s="150"/>
      <c r="AF154" s="5"/>
      <c r="AG154" s="6"/>
      <c r="AI154" s="150"/>
      <c r="AJ154" s="5"/>
      <c r="AK154" s="6"/>
      <c r="AN154" s="5"/>
      <c r="AO154" s="6"/>
      <c r="AR154" s="5"/>
      <c r="AS154" s="6"/>
    </row>
    <row r="155" spans="2:47">
      <c r="B155" s="459" t="s">
        <v>12</v>
      </c>
      <c r="C155" s="10" t="s">
        <v>8</v>
      </c>
      <c r="D155" s="113">
        <v>0</v>
      </c>
      <c r="E155" s="114">
        <v>1341</v>
      </c>
      <c r="F155" s="3">
        <f>E155/24</f>
        <v>55.875</v>
      </c>
      <c r="G155" s="27"/>
      <c r="H155" s="113">
        <v>0</v>
      </c>
      <c r="I155" s="114">
        <v>1676</v>
      </c>
      <c r="J155" s="3">
        <f>I155/24</f>
        <v>69.833333333333329</v>
      </c>
      <c r="K155" s="27"/>
      <c r="L155" s="113">
        <v>118</v>
      </c>
      <c r="M155" s="114">
        <v>1654</v>
      </c>
      <c r="N155" s="3">
        <f>M155/24</f>
        <v>68.916666666666671</v>
      </c>
      <c r="O155" s="27"/>
      <c r="P155" s="113">
        <v>131</v>
      </c>
      <c r="Q155" s="114">
        <v>1589.5</v>
      </c>
      <c r="R155" s="3">
        <f>Q155/24</f>
        <v>66.229166666666671</v>
      </c>
      <c r="S155" s="27"/>
      <c r="T155" s="113">
        <v>152</v>
      </c>
      <c r="U155" s="114">
        <v>1779</v>
      </c>
      <c r="V155" s="3">
        <f>U155/24</f>
        <v>74.125</v>
      </c>
      <c r="W155" s="27"/>
      <c r="X155" s="113">
        <v>159</v>
      </c>
      <c r="Y155" s="114">
        <v>1701</v>
      </c>
      <c r="Z155" s="3">
        <f>Y155/24</f>
        <v>70.875</v>
      </c>
      <c r="AA155" s="27">
        <v>365015</v>
      </c>
      <c r="AB155" s="113">
        <v>146</v>
      </c>
      <c r="AC155" s="114">
        <f>805+754+158</f>
        <v>1717</v>
      </c>
      <c r="AD155" s="3">
        <f>AC155/24</f>
        <v>71.541666666666671</v>
      </c>
      <c r="AE155" s="27">
        <v>301783</v>
      </c>
      <c r="AF155" s="113">
        <v>127</v>
      </c>
      <c r="AG155" s="114">
        <v>1553</v>
      </c>
      <c r="AH155" s="3">
        <f>AG155/24</f>
        <v>64.708333333333329</v>
      </c>
      <c r="AI155" s="27">
        <v>395887</v>
      </c>
      <c r="AJ155" s="113">
        <v>162</v>
      </c>
      <c r="AK155" s="114">
        <v>2050</v>
      </c>
      <c r="AL155" s="3">
        <f>AK155/24</f>
        <v>85.416666666666671</v>
      </c>
      <c r="AM155" s="27">
        <v>306794.5</v>
      </c>
      <c r="AN155" s="113">
        <v>154</v>
      </c>
      <c r="AO155" s="114">
        <v>1855</v>
      </c>
      <c r="AP155" s="3">
        <f>AO155/24</f>
        <v>77.291666666666671</v>
      </c>
      <c r="AQ155" s="27">
        <v>171785</v>
      </c>
      <c r="AR155" s="1">
        <v>156</v>
      </c>
      <c r="AS155" s="2">
        <v>1366</v>
      </c>
      <c r="AT155" s="3">
        <f>AS155/24</f>
        <v>56.916666666666664</v>
      </c>
      <c r="AU155" s="29">
        <v>130002</v>
      </c>
    </row>
    <row r="156" spans="2:47">
      <c r="B156" s="460"/>
      <c r="C156" s="10" t="s">
        <v>9</v>
      </c>
      <c r="D156" s="113">
        <v>0</v>
      </c>
      <c r="E156" s="114">
        <v>726</v>
      </c>
      <c r="F156" s="3">
        <f>E156/24</f>
        <v>30.25</v>
      </c>
      <c r="G156" s="27"/>
      <c r="H156" s="113">
        <v>0</v>
      </c>
      <c r="I156" s="114">
        <v>745</v>
      </c>
      <c r="J156" s="3">
        <f>I156/24</f>
        <v>31.041666666666668</v>
      </c>
      <c r="K156" s="27"/>
      <c r="L156" s="113">
        <v>50</v>
      </c>
      <c r="M156" s="114">
        <v>883</v>
      </c>
      <c r="N156" s="3">
        <f>M156/24</f>
        <v>36.791666666666664</v>
      </c>
      <c r="O156" s="27"/>
      <c r="P156" s="113">
        <v>79</v>
      </c>
      <c r="Q156" s="114">
        <v>1186</v>
      </c>
      <c r="R156" s="3">
        <f>Q156/24</f>
        <v>49.416666666666664</v>
      </c>
      <c r="S156" s="27"/>
      <c r="T156" s="113">
        <v>79</v>
      </c>
      <c r="U156" s="114">
        <v>1150</v>
      </c>
      <c r="V156" s="3">
        <f>U156/24</f>
        <v>47.916666666666664</v>
      </c>
      <c r="W156" s="27"/>
      <c r="X156" s="113">
        <v>79</v>
      </c>
      <c r="Y156" s="114">
        <v>960</v>
      </c>
      <c r="Z156" s="3">
        <f>Y156/24</f>
        <v>40</v>
      </c>
      <c r="AA156" s="27">
        <v>440334</v>
      </c>
      <c r="AB156" s="113">
        <v>81</v>
      </c>
      <c r="AC156" s="114">
        <f>549+477+87</f>
        <v>1113</v>
      </c>
      <c r="AD156" s="3">
        <f>AC156/24</f>
        <v>46.375</v>
      </c>
      <c r="AE156" s="27">
        <v>731830</v>
      </c>
      <c r="AF156" s="113">
        <v>75</v>
      </c>
      <c r="AG156" s="114">
        <v>1040</v>
      </c>
      <c r="AH156" s="3">
        <f>AG156/24</f>
        <v>43.333333333333336</v>
      </c>
      <c r="AI156" s="27">
        <v>418474</v>
      </c>
      <c r="AJ156" s="113">
        <v>177</v>
      </c>
      <c r="AK156" s="114">
        <v>2604.5</v>
      </c>
      <c r="AL156" s="3">
        <f>AK156/24</f>
        <v>108.52083333333333</v>
      </c>
      <c r="AM156" s="27">
        <v>243600.25</v>
      </c>
      <c r="AN156" s="113">
        <v>215</v>
      </c>
      <c r="AO156" s="114">
        <v>3029</v>
      </c>
      <c r="AP156" s="3">
        <f>AO156/24</f>
        <v>126.20833333333333</v>
      </c>
      <c r="AQ156" s="27">
        <v>281120</v>
      </c>
      <c r="AR156" s="1">
        <v>257</v>
      </c>
      <c r="AS156" s="2">
        <v>2337</v>
      </c>
      <c r="AT156" s="3">
        <f>AS156/24</f>
        <v>97.375</v>
      </c>
      <c r="AU156" s="29">
        <v>295680</v>
      </c>
    </row>
    <row r="157" spans="2:47">
      <c r="B157" s="461"/>
      <c r="C157" s="11" t="s">
        <v>10</v>
      </c>
      <c r="D157" s="4">
        <f t="shared" ref="D157:AA157" si="158">SUM(D155:D156)</f>
        <v>0</v>
      </c>
      <c r="E157" s="3">
        <f t="shared" si="158"/>
        <v>2067</v>
      </c>
      <c r="F157" s="3">
        <f t="shared" si="158"/>
        <v>86.125</v>
      </c>
      <c r="G157" s="26">
        <f>SUM(G155:G156)</f>
        <v>0</v>
      </c>
      <c r="H157" s="4">
        <f t="shared" si="158"/>
        <v>0</v>
      </c>
      <c r="I157" s="3">
        <f t="shared" si="158"/>
        <v>2421</v>
      </c>
      <c r="J157" s="3">
        <f t="shared" si="158"/>
        <v>100.875</v>
      </c>
      <c r="K157" s="26">
        <f>SUM(K155:K156)</f>
        <v>0</v>
      </c>
      <c r="L157" s="4">
        <f t="shared" si="158"/>
        <v>168</v>
      </c>
      <c r="M157" s="3">
        <f t="shared" si="158"/>
        <v>2537</v>
      </c>
      <c r="N157" s="3">
        <f t="shared" si="158"/>
        <v>105.70833333333334</v>
      </c>
      <c r="O157" s="26">
        <f>SUM(O155:O156)</f>
        <v>0</v>
      </c>
      <c r="P157" s="4">
        <f t="shared" si="158"/>
        <v>210</v>
      </c>
      <c r="Q157" s="3">
        <f t="shared" si="158"/>
        <v>2775.5</v>
      </c>
      <c r="R157" s="3">
        <f t="shared" si="158"/>
        <v>115.64583333333334</v>
      </c>
      <c r="S157" s="26">
        <f>SUM(S155:S156)</f>
        <v>0</v>
      </c>
      <c r="T157" s="4">
        <f t="shared" si="158"/>
        <v>231</v>
      </c>
      <c r="U157" s="3">
        <f t="shared" si="158"/>
        <v>2929</v>
      </c>
      <c r="V157" s="3">
        <f t="shared" si="158"/>
        <v>122.04166666666666</v>
      </c>
      <c r="W157" s="26">
        <f>SUM(W155:W156)</f>
        <v>0</v>
      </c>
      <c r="X157" s="4">
        <f t="shared" si="158"/>
        <v>238</v>
      </c>
      <c r="Y157" s="3">
        <f t="shared" si="158"/>
        <v>2661</v>
      </c>
      <c r="Z157" s="3">
        <f t="shared" si="158"/>
        <v>110.875</v>
      </c>
      <c r="AA157" s="26">
        <f t="shared" si="158"/>
        <v>805349</v>
      </c>
      <c r="AB157" s="4">
        <f>SUM(AB155:AB156)</f>
        <v>227</v>
      </c>
      <c r="AC157" s="3">
        <f>SUM(AC155:AC156)</f>
        <v>2830</v>
      </c>
      <c r="AD157" s="3">
        <f>SUM(AD155:AD156)</f>
        <v>117.91666666666667</v>
      </c>
      <c r="AE157" s="26">
        <f t="shared" ref="AE157" si="159">SUM(AE155:AE156)</f>
        <v>1033613</v>
      </c>
      <c r="AF157" s="4">
        <f>SUM(AF155:AF156)</f>
        <v>202</v>
      </c>
      <c r="AG157" s="3">
        <f>SUM(AG155:AG156)</f>
        <v>2593</v>
      </c>
      <c r="AH157" s="3">
        <f>SUM(AH155:AH156)</f>
        <v>108.04166666666666</v>
      </c>
      <c r="AI157" s="26">
        <f t="shared" ref="AI157" si="160">SUM(AI155:AI156)</f>
        <v>814361</v>
      </c>
      <c r="AJ157" s="113">
        <f>SUM(AJ155:AJ156)</f>
        <v>339</v>
      </c>
      <c r="AK157" s="114">
        <f>SUM(AK155:AK156)</f>
        <v>4654.5</v>
      </c>
      <c r="AL157" s="3">
        <f>SUM(AL155:AL156)</f>
        <v>193.9375</v>
      </c>
      <c r="AM157" s="26">
        <f t="shared" ref="AM157" si="161">SUM(AM155:AM156)</f>
        <v>550394.75</v>
      </c>
      <c r="AN157" s="4">
        <f>SUM(AN155:AN156)</f>
        <v>369</v>
      </c>
      <c r="AO157" s="3">
        <f>SUM(AO155:AO156)</f>
        <v>4884</v>
      </c>
      <c r="AP157" s="3">
        <f>SUM(AP155:AP156)</f>
        <v>203.5</v>
      </c>
      <c r="AQ157" s="26">
        <f t="shared" ref="AQ157" si="162">SUM(AQ155:AQ156)</f>
        <v>452905</v>
      </c>
      <c r="AR157" s="4">
        <f t="shared" ref="AR157:AU157" si="163">SUM(AR155:AR156)</f>
        <v>413</v>
      </c>
      <c r="AS157" s="3">
        <f t="shared" si="163"/>
        <v>3703</v>
      </c>
      <c r="AT157" s="3">
        <f t="shared" si="163"/>
        <v>154.29166666666666</v>
      </c>
      <c r="AU157" s="26">
        <f t="shared" si="163"/>
        <v>425682</v>
      </c>
    </row>
    <row r="158" spans="2:47">
      <c r="B158" s="8"/>
      <c r="C158" s="9"/>
      <c r="D158" s="5"/>
      <c r="E158" s="6"/>
      <c r="H158" s="5"/>
      <c r="I158" s="6"/>
      <c r="L158" s="5"/>
      <c r="M158" s="6"/>
      <c r="P158" s="5"/>
      <c r="Q158" s="6"/>
      <c r="T158" s="5"/>
      <c r="U158" s="6"/>
      <c r="X158" s="5"/>
      <c r="Y158" s="6"/>
      <c r="AA158" s="150"/>
      <c r="AB158" s="5"/>
      <c r="AC158" s="6"/>
      <c r="AE158" s="150"/>
      <c r="AF158" s="5"/>
      <c r="AG158" s="6"/>
      <c r="AI158" s="150"/>
      <c r="AJ158" s="5"/>
      <c r="AK158" s="6"/>
      <c r="AN158" s="5"/>
      <c r="AO158" s="6"/>
      <c r="AR158" s="5"/>
      <c r="AS158" s="6"/>
    </row>
    <row r="159" spans="2:47">
      <c r="B159" s="459" t="s">
        <v>13</v>
      </c>
      <c r="C159" s="10" t="s">
        <v>8</v>
      </c>
      <c r="D159" s="4">
        <f>D147+D151+D155</f>
        <v>0</v>
      </c>
      <c r="E159" s="3">
        <f>E155+E151+E147</f>
        <v>1748</v>
      </c>
      <c r="F159" s="3">
        <f t="shared" ref="F159:H160" si="164">F147+F151+F155</f>
        <v>72.833333333333329</v>
      </c>
      <c r="G159" s="26">
        <f>G147+G151+G155</f>
        <v>599086</v>
      </c>
      <c r="H159" s="4">
        <f t="shared" si="164"/>
        <v>0</v>
      </c>
      <c r="I159" s="3">
        <f>I155+I151+I147</f>
        <v>2069</v>
      </c>
      <c r="J159" s="3">
        <f t="shared" ref="J159:L160" si="165">J147+J151+J155</f>
        <v>86.208333333333329</v>
      </c>
      <c r="K159" s="26">
        <f>K147+K151+K155</f>
        <v>548377</v>
      </c>
      <c r="L159" s="4">
        <f t="shared" si="165"/>
        <v>152</v>
      </c>
      <c r="M159" s="3">
        <f>M155+M151+M147</f>
        <v>2111</v>
      </c>
      <c r="N159" s="3">
        <f t="shared" ref="N159:P160" si="166">N147+N151+N155</f>
        <v>87.958333333333343</v>
      </c>
      <c r="O159" s="26">
        <f>O147+O151+O155</f>
        <v>524066</v>
      </c>
      <c r="P159" s="4">
        <f t="shared" si="166"/>
        <v>173</v>
      </c>
      <c r="Q159" s="3">
        <f>Q155+Q151+Q147</f>
        <v>2114.5</v>
      </c>
      <c r="R159" s="3">
        <f t="shared" ref="R159:T160" si="167">R147+R151+R155</f>
        <v>88.104166666666671</v>
      </c>
      <c r="S159" s="26">
        <f>S147+S151+S155</f>
        <v>479815</v>
      </c>
      <c r="T159" s="4">
        <f t="shared" si="167"/>
        <v>228</v>
      </c>
      <c r="U159" s="3">
        <f>U155+U151+U147</f>
        <v>2286</v>
      </c>
      <c r="V159" s="3">
        <f t="shared" ref="V159:X160" si="168">V147+V151+V155</f>
        <v>95.25</v>
      </c>
      <c r="W159" s="26">
        <f>W147+W151+W155</f>
        <v>553929</v>
      </c>
      <c r="X159" s="4">
        <f t="shared" si="168"/>
        <v>214</v>
      </c>
      <c r="Y159" s="3">
        <f>Y155+Y151+Y147</f>
        <v>2117</v>
      </c>
      <c r="Z159" s="3">
        <f>Z147+Z151+Z155</f>
        <v>88.208333333333329</v>
      </c>
      <c r="AA159" s="26">
        <f t="shared" ref="AA159:AA160" si="169">AA147+AA151+AA155</f>
        <v>486217</v>
      </c>
      <c r="AB159" s="4">
        <f>AB147+AB151+AB155</f>
        <v>200</v>
      </c>
      <c r="AC159" s="3">
        <f>AC155+AC151+AC147</f>
        <v>2132.5</v>
      </c>
      <c r="AD159" s="3">
        <f>AD147+AD151+AD155</f>
        <v>88.854166666666671</v>
      </c>
      <c r="AE159" s="26">
        <f t="shared" ref="AE159:AE160" si="170">AE147+AE151+AE155</f>
        <v>457355</v>
      </c>
      <c r="AF159" s="4">
        <f>AF147+AF151+AF155</f>
        <v>160</v>
      </c>
      <c r="AG159" s="3">
        <f>AG155+AG151+AG147</f>
        <v>2051</v>
      </c>
      <c r="AH159" s="3">
        <f>AH147+AH151+AH155</f>
        <v>85.458333333333329</v>
      </c>
      <c r="AI159" s="26">
        <f t="shared" ref="AI159:AI160" si="171">AI147+AI151+AI155</f>
        <v>1311506</v>
      </c>
      <c r="AJ159" s="4">
        <f>AJ147+AJ151+AJ155</f>
        <v>215</v>
      </c>
      <c r="AK159" s="3">
        <f>AK155+AK151+AK147</f>
        <v>2512</v>
      </c>
      <c r="AL159" s="3">
        <f>AL147+AL151+AL155</f>
        <v>104.66666666666667</v>
      </c>
      <c r="AM159" s="26">
        <f t="shared" ref="AM159:AM160" si="172">AM147+AM151+AM155</f>
        <v>1637191</v>
      </c>
      <c r="AN159" s="4">
        <f>AN147+AN151+AN155</f>
        <v>264</v>
      </c>
      <c r="AO159" s="3">
        <f>AO155+AO151+AO147</f>
        <v>2539</v>
      </c>
      <c r="AP159" s="3">
        <f>AP147+AP151+AP155</f>
        <v>105.79166666666667</v>
      </c>
      <c r="AQ159" s="26">
        <f t="shared" ref="AQ159:AR160" si="173">AQ147+AQ151+AQ155</f>
        <v>1678671</v>
      </c>
      <c r="AR159" s="4">
        <f t="shared" si="173"/>
        <v>227</v>
      </c>
      <c r="AS159" s="3">
        <f>AS155+AS151+AS147</f>
        <v>1851</v>
      </c>
      <c r="AT159" s="3">
        <f>AT147+AT151+AT155</f>
        <v>77.125</v>
      </c>
      <c r="AU159" s="26">
        <f>AU147+AU151+AU155</f>
        <v>1551364</v>
      </c>
    </row>
    <row r="160" spans="2:47">
      <c r="B160" s="460"/>
      <c r="C160" s="10" t="s">
        <v>9</v>
      </c>
      <c r="D160" s="4">
        <f>D148+D152+D156</f>
        <v>0</v>
      </c>
      <c r="E160" s="3">
        <f>E156+E152+E148</f>
        <v>1376</v>
      </c>
      <c r="F160" s="3">
        <f t="shared" si="164"/>
        <v>57.333333333333329</v>
      </c>
      <c r="G160" s="26">
        <f>G148+G152+G156</f>
        <v>1176795</v>
      </c>
      <c r="H160" s="4">
        <f t="shared" si="164"/>
        <v>0</v>
      </c>
      <c r="I160" s="3">
        <f>I156+I152+I148</f>
        <v>1473</v>
      </c>
      <c r="J160" s="3">
        <f t="shared" si="165"/>
        <v>61.375</v>
      </c>
      <c r="K160" s="26">
        <f>K148+K152+K156</f>
        <v>1596137</v>
      </c>
      <c r="L160" s="4">
        <f t="shared" si="165"/>
        <v>90</v>
      </c>
      <c r="M160" s="3">
        <f>M156+M152+M148</f>
        <v>1645</v>
      </c>
      <c r="N160" s="3">
        <f t="shared" si="166"/>
        <v>68.541666666666657</v>
      </c>
      <c r="O160" s="26">
        <f>O148+O152+O156</f>
        <v>1788577</v>
      </c>
      <c r="P160" s="4">
        <f t="shared" si="166"/>
        <v>132</v>
      </c>
      <c r="Q160" s="3">
        <f>Q156+Q152+Q148</f>
        <v>2074</v>
      </c>
      <c r="R160" s="3">
        <f t="shared" si="167"/>
        <v>86.416666666666657</v>
      </c>
      <c r="S160" s="26">
        <f>S148+S152+S156</f>
        <v>1333777</v>
      </c>
      <c r="T160" s="4">
        <f t="shared" si="167"/>
        <v>161</v>
      </c>
      <c r="U160" s="3">
        <f>U156+U152+U148</f>
        <v>1896</v>
      </c>
      <c r="V160" s="3">
        <f t="shared" si="168"/>
        <v>79</v>
      </c>
      <c r="W160" s="26">
        <f>W148+W152+W156</f>
        <v>1419410</v>
      </c>
      <c r="X160" s="4">
        <f t="shared" si="168"/>
        <v>140</v>
      </c>
      <c r="Y160" s="3">
        <f>Y156+Y152+Y148</f>
        <v>1684</v>
      </c>
      <c r="Z160" s="3">
        <f>Z148+Z152+Z156</f>
        <v>70.166666666666671</v>
      </c>
      <c r="AA160" s="26">
        <f t="shared" si="169"/>
        <v>989007</v>
      </c>
      <c r="AB160" s="4">
        <f>AB148+AB152+AB156</f>
        <v>129</v>
      </c>
      <c r="AC160" s="3">
        <f>AC156+AC152+AC148</f>
        <v>1691</v>
      </c>
      <c r="AD160" s="3">
        <f>AD148+AD152+AD156</f>
        <v>70.458333333333329</v>
      </c>
      <c r="AE160" s="26">
        <f t="shared" si="170"/>
        <v>1109095</v>
      </c>
      <c r="AF160" s="4">
        <f>AF148+AF152+AF156</f>
        <v>107</v>
      </c>
      <c r="AG160" s="3">
        <f>AG156+AG152+AG148</f>
        <v>1692</v>
      </c>
      <c r="AH160" s="3">
        <f>AH148+AH152+AH156</f>
        <v>70.5</v>
      </c>
      <c r="AI160" s="26">
        <f t="shared" si="171"/>
        <v>1528872</v>
      </c>
      <c r="AJ160" s="4">
        <f>AJ148+AJ152+AJ156</f>
        <v>223</v>
      </c>
      <c r="AK160" s="3">
        <f>AK156+AK152+AK148</f>
        <v>3230.5</v>
      </c>
      <c r="AL160" s="3">
        <f>AL148+AL152+AL156</f>
        <v>134.60416666666666</v>
      </c>
      <c r="AM160" s="26">
        <f t="shared" si="172"/>
        <v>2380395.25</v>
      </c>
      <c r="AN160" s="4">
        <f>AN148+AN152+AN156</f>
        <v>303</v>
      </c>
      <c r="AO160" s="3">
        <f>AO156+AO152+AO148</f>
        <v>3845</v>
      </c>
      <c r="AP160" s="3">
        <f>AP148+AP152+AP156</f>
        <v>160.20833333333331</v>
      </c>
      <c r="AQ160" s="26">
        <f t="shared" si="173"/>
        <v>2667647</v>
      </c>
      <c r="AR160" s="4">
        <f t="shared" si="173"/>
        <v>300</v>
      </c>
      <c r="AS160" s="3">
        <f>AS156+AS152+AS148</f>
        <v>2746</v>
      </c>
      <c r="AT160" s="3">
        <f>AT148+AT152+AT156</f>
        <v>114.41666666666667</v>
      </c>
      <c r="AU160" s="26">
        <f>AU148+AU152+AU156</f>
        <v>2420883</v>
      </c>
    </row>
    <row r="161" spans="2:47">
      <c r="B161" s="461"/>
      <c r="C161" s="11" t="s">
        <v>10</v>
      </c>
      <c r="D161" s="4">
        <f t="shared" ref="D161:Z161" si="174">SUM(D159:D160)</f>
        <v>0</v>
      </c>
      <c r="E161" s="3">
        <f t="shared" si="174"/>
        <v>3124</v>
      </c>
      <c r="F161" s="3">
        <f t="shared" si="174"/>
        <v>130.16666666666666</v>
      </c>
      <c r="G161" s="26">
        <f>SUM(G159:G160)</f>
        <v>1775881</v>
      </c>
      <c r="H161" s="4">
        <f t="shared" si="174"/>
        <v>0</v>
      </c>
      <c r="I161" s="3">
        <f t="shared" si="174"/>
        <v>3542</v>
      </c>
      <c r="J161" s="3">
        <f t="shared" si="174"/>
        <v>147.58333333333331</v>
      </c>
      <c r="K161" s="26">
        <f>SUM(K159:K160)</f>
        <v>2144514</v>
      </c>
      <c r="L161" s="4">
        <f t="shared" si="174"/>
        <v>242</v>
      </c>
      <c r="M161" s="3">
        <f t="shared" si="174"/>
        <v>3756</v>
      </c>
      <c r="N161" s="3">
        <f t="shared" si="174"/>
        <v>156.5</v>
      </c>
      <c r="O161" s="26">
        <f>SUM(O159:O160)</f>
        <v>2312643</v>
      </c>
      <c r="P161" s="4">
        <f t="shared" si="174"/>
        <v>305</v>
      </c>
      <c r="Q161" s="3">
        <f t="shared" si="174"/>
        <v>4188.5</v>
      </c>
      <c r="R161" s="3">
        <f t="shared" si="174"/>
        <v>174.52083333333331</v>
      </c>
      <c r="S161" s="26">
        <f>SUM(S159:S160)</f>
        <v>1813592</v>
      </c>
      <c r="T161" s="4">
        <f t="shared" si="174"/>
        <v>389</v>
      </c>
      <c r="U161" s="3">
        <f t="shared" si="174"/>
        <v>4182</v>
      </c>
      <c r="V161" s="3">
        <f t="shared" si="174"/>
        <v>174.25</v>
      </c>
      <c r="W161" s="26">
        <f>SUM(W159:W160)</f>
        <v>1973339</v>
      </c>
      <c r="X161" s="4">
        <f t="shared" si="174"/>
        <v>354</v>
      </c>
      <c r="Y161" s="3">
        <f t="shared" si="174"/>
        <v>3801</v>
      </c>
      <c r="Z161" s="3">
        <f t="shared" si="174"/>
        <v>158.375</v>
      </c>
      <c r="AA161" s="26">
        <f t="shared" ref="AA161:AQ161" si="175">SUM(AA159:AA160)</f>
        <v>1475224</v>
      </c>
      <c r="AB161" s="4">
        <f t="shared" si="175"/>
        <v>329</v>
      </c>
      <c r="AC161" s="3">
        <f t="shared" si="175"/>
        <v>3823.5</v>
      </c>
      <c r="AD161" s="3">
        <f t="shared" si="175"/>
        <v>159.3125</v>
      </c>
      <c r="AE161" s="26">
        <f t="shared" si="175"/>
        <v>1566450</v>
      </c>
      <c r="AF161" s="4">
        <f t="shared" si="175"/>
        <v>267</v>
      </c>
      <c r="AG161" s="3">
        <f t="shared" si="175"/>
        <v>3743</v>
      </c>
      <c r="AH161" s="3">
        <f t="shared" si="175"/>
        <v>155.95833333333331</v>
      </c>
      <c r="AI161" s="26">
        <f t="shared" si="175"/>
        <v>2840378</v>
      </c>
      <c r="AJ161" s="4">
        <f t="shared" si="175"/>
        <v>438</v>
      </c>
      <c r="AK161" s="3">
        <f t="shared" si="175"/>
        <v>5742.5</v>
      </c>
      <c r="AL161" s="3">
        <f t="shared" si="175"/>
        <v>239.27083333333331</v>
      </c>
      <c r="AM161" s="26">
        <f t="shared" si="175"/>
        <v>4017586.25</v>
      </c>
      <c r="AN161" s="4">
        <f t="shared" si="175"/>
        <v>567</v>
      </c>
      <c r="AO161" s="3">
        <f t="shared" si="175"/>
        <v>6384</v>
      </c>
      <c r="AP161" s="3">
        <f t="shared" si="175"/>
        <v>266</v>
      </c>
      <c r="AQ161" s="26">
        <f t="shared" si="175"/>
        <v>4346318</v>
      </c>
      <c r="AR161" s="4">
        <f>SUM(AR159:AR160)</f>
        <v>527</v>
      </c>
      <c r="AS161" s="3">
        <f>SUM(AS159:AS160)</f>
        <v>4597</v>
      </c>
      <c r="AT161" s="402">
        <f>AT157+AT153+AT149</f>
        <v>191.54166666666666</v>
      </c>
      <c r="AU161" s="26">
        <f>SUM(AU159:AU160)</f>
        <v>3972247</v>
      </c>
    </row>
    <row r="162" spans="2:47" ht="21.75" customHeight="1">
      <c r="B162" s="7"/>
      <c r="C162" s="71" t="s">
        <v>15</v>
      </c>
      <c r="D162" s="114"/>
      <c r="E162" s="114"/>
      <c r="F162" s="3">
        <f>E162/24</f>
        <v>0</v>
      </c>
      <c r="G162" s="27"/>
      <c r="H162" s="114"/>
      <c r="I162" s="114"/>
      <c r="J162" s="3">
        <f>I162/24</f>
        <v>0</v>
      </c>
      <c r="K162" s="27"/>
      <c r="L162" s="114"/>
      <c r="M162" s="114"/>
      <c r="N162" s="3">
        <f>M162/24</f>
        <v>0</v>
      </c>
      <c r="O162" s="27"/>
      <c r="P162" s="114"/>
      <c r="Q162" s="114"/>
      <c r="R162" s="3">
        <f>Q162/24</f>
        <v>0</v>
      </c>
      <c r="S162" s="27"/>
      <c r="T162" s="114"/>
      <c r="U162" s="114"/>
      <c r="V162" s="3">
        <f>U162/24</f>
        <v>0</v>
      </c>
      <c r="W162" s="27"/>
      <c r="X162" s="114"/>
      <c r="Y162" s="114"/>
      <c r="Z162" s="3">
        <f>Y162/24</f>
        <v>0</v>
      </c>
      <c r="AA162" s="27"/>
      <c r="AB162" s="114"/>
      <c r="AC162" s="114"/>
      <c r="AD162" s="3">
        <f>AC162/24</f>
        <v>0</v>
      </c>
      <c r="AE162" s="27"/>
      <c r="AF162" s="114"/>
      <c r="AG162" s="114"/>
      <c r="AH162" s="3">
        <f>AG162/24</f>
        <v>0</v>
      </c>
      <c r="AI162" s="27"/>
      <c r="AJ162" s="114"/>
      <c r="AK162" s="114"/>
      <c r="AL162" s="3">
        <f>AK162/24</f>
        <v>0</v>
      </c>
      <c r="AM162" s="27"/>
      <c r="AN162" s="114"/>
      <c r="AO162" s="114"/>
      <c r="AP162" s="3">
        <f>AO162/24</f>
        <v>0</v>
      </c>
      <c r="AQ162" s="27"/>
      <c r="AR162" s="2"/>
      <c r="AS162" s="2"/>
      <c r="AT162" s="3">
        <f>AS162/24</f>
        <v>0</v>
      </c>
      <c r="AU162" s="29"/>
    </row>
    <row r="163" spans="2:47" ht="24.75" customHeight="1">
      <c r="B163" s="21" t="s">
        <v>22</v>
      </c>
      <c r="D163" s="5"/>
      <c r="E163" s="6"/>
      <c r="H163" s="5"/>
      <c r="I163" s="6"/>
      <c r="L163" s="5"/>
      <c r="M163" s="6"/>
      <c r="P163" s="5"/>
      <c r="Q163" s="6"/>
      <c r="T163" s="5"/>
      <c r="U163" s="6"/>
      <c r="X163" s="5"/>
      <c r="Y163" s="6"/>
      <c r="AA163" s="150"/>
      <c r="AB163" s="5"/>
      <c r="AC163" s="6"/>
      <c r="AE163" s="150"/>
      <c r="AF163" s="5"/>
      <c r="AG163" s="6"/>
      <c r="AI163" s="150"/>
      <c r="AJ163" s="5"/>
      <c r="AK163" s="6"/>
      <c r="AN163" s="5"/>
      <c r="AO163" s="6"/>
      <c r="AR163" s="5"/>
      <c r="AS163" s="6"/>
    </row>
    <row r="164" spans="2:47" ht="15">
      <c r="B164" s="28" t="s">
        <v>264</v>
      </c>
      <c r="D164" s="5"/>
      <c r="E164" s="6"/>
      <c r="G164" s="27"/>
      <c r="H164" s="5"/>
      <c r="I164" s="6"/>
      <c r="K164" s="27"/>
      <c r="L164" s="5"/>
      <c r="M164" s="6"/>
      <c r="O164" s="27"/>
      <c r="P164" s="5"/>
      <c r="Q164" s="6"/>
      <c r="S164" s="27"/>
      <c r="T164" s="5"/>
      <c r="U164" s="6"/>
      <c r="W164" s="27"/>
      <c r="X164" s="5"/>
      <c r="Y164" s="6"/>
      <c r="AA164" s="27"/>
      <c r="AB164" s="5"/>
      <c r="AC164" s="6"/>
      <c r="AE164" s="27"/>
      <c r="AF164" s="5"/>
      <c r="AG164" s="6"/>
      <c r="AI164" s="27"/>
      <c r="AJ164" s="5"/>
      <c r="AK164" s="6"/>
      <c r="AM164" s="27"/>
      <c r="AN164" s="5"/>
      <c r="AO164" s="6"/>
      <c r="AQ164" s="27"/>
      <c r="AR164" s="5"/>
      <c r="AS164" s="6"/>
      <c r="AU164" s="29"/>
    </row>
    <row r="165" spans="2:47" ht="15">
      <c r="B165" s="28" t="s">
        <v>265</v>
      </c>
      <c r="D165" s="5"/>
      <c r="E165" s="6"/>
      <c r="G165" s="27"/>
      <c r="H165" s="5"/>
      <c r="I165" s="6"/>
      <c r="K165" s="27"/>
      <c r="L165" s="5"/>
      <c r="M165" s="6"/>
      <c r="O165" s="27"/>
      <c r="P165" s="5"/>
      <c r="Q165" s="6"/>
      <c r="S165" s="27"/>
      <c r="T165" s="5"/>
      <c r="U165" s="6"/>
      <c r="W165" s="27"/>
      <c r="X165" s="5"/>
      <c r="Y165" s="6"/>
      <c r="AA165" s="27">
        <v>196785</v>
      </c>
      <c r="AB165" s="5"/>
      <c r="AC165" s="6"/>
      <c r="AE165" s="27">
        <f>295815+3121</f>
        <v>298936</v>
      </c>
      <c r="AF165" s="5"/>
      <c r="AG165" s="6"/>
      <c r="AI165" s="27">
        <v>188121</v>
      </c>
      <c r="AJ165" s="5"/>
      <c r="AK165" s="6"/>
      <c r="AM165" s="27">
        <v>51655.3</v>
      </c>
      <c r="AN165" s="5"/>
      <c r="AO165" s="6"/>
      <c r="AQ165" s="27">
        <v>66420</v>
      </c>
      <c r="AR165" s="5"/>
      <c r="AS165" s="6"/>
      <c r="AU165" s="29">
        <v>47646</v>
      </c>
    </row>
    <row r="166" spans="2:47" ht="15">
      <c r="B166" s="28" t="s">
        <v>23</v>
      </c>
      <c r="D166" s="5"/>
      <c r="E166" s="6"/>
      <c r="G166" s="26">
        <f>G161-G164-G165</f>
        <v>1775881</v>
      </c>
      <c r="H166" s="5"/>
      <c r="I166" s="6"/>
      <c r="K166" s="26">
        <f>K161-K164-K165</f>
        <v>2144514</v>
      </c>
      <c r="L166" s="5"/>
      <c r="M166" s="6"/>
      <c r="O166" s="26">
        <f>O161-O164-O165</f>
        <v>2312643</v>
      </c>
      <c r="P166" s="5"/>
      <c r="Q166" s="6"/>
      <c r="S166" s="26">
        <f>S161-S164-S165</f>
        <v>1813592</v>
      </c>
      <c r="T166" s="5"/>
      <c r="U166" s="6"/>
      <c r="W166" s="26">
        <f>W161-W164-W165</f>
        <v>1973339</v>
      </c>
      <c r="X166" s="5"/>
      <c r="Y166" s="6"/>
      <c r="AA166" s="26">
        <f>AA161-AA164-AA165</f>
        <v>1278439</v>
      </c>
      <c r="AB166" s="5"/>
      <c r="AC166" s="6"/>
      <c r="AE166" s="26">
        <f>AE161-AE164-AE165</f>
        <v>1267514</v>
      </c>
      <c r="AF166" s="5"/>
      <c r="AG166" s="6"/>
      <c r="AI166" s="26">
        <f>AI161-AI164-AI165</f>
        <v>2652257</v>
      </c>
      <c r="AJ166" s="5"/>
      <c r="AK166" s="6"/>
      <c r="AM166" s="26">
        <f>AM161-AM164-AM165</f>
        <v>3965930.95</v>
      </c>
      <c r="AN166" s="5"/>
      <c r="AO166" s="6"/>
      <c r="AQ166" s="26">
        <f>AQ161-AQ164-AQ165</f>
        <v>4279898</v>
      </c>
      <c r="AR166" s="5"/>
      <c r="AS166" s="6"/>
      <c r="AU166" s="26">
        <f>AU161-AU164-AU165</f>
        <v>3924601</v>
      </c>
    </row>
    <row r="167" spans="2:47">
      <c r="B167" s="7"/>
      <c r="C167" s="7"/>
      <c r="D167" s="7"/>
      <c r="E167" s="7"/>
      <c r="F167" s="53"/>
      <c r="G167" s="25"/>
      <c r="H167" s="14"/>
      <c r="I167" s="7"/>
      <c r="J167" s="53"/>
      <c r="K167" s="25"/>
      <c r="L167" s="14"/>
      <c r="M167" s="7"/>
      <c r="N167" s="53"/>
      <c r="O167" s="25"/>
      <c r="P167" s="14"/>
      <c r="Q167" s="7"/>
      <c r="R167" s="53"/>
      <c r="S167" s="25"/>
      <c r="T167" s="14"/>
      <c r="U167" s="7"/>
      <c r="V167" s="53"/>
      <c r="W167" s="25"/>
      <c r="X167" s="14"/>
      <c r="Y167" s="7"/>
      <c r="Z167" s="53"/>
      <c r="AA167" s="25"/>
      <c r="AB167" s="14"/>
      <c r="AC167" s="7"/>
      <c r="AD167" s="53"/>
      <c r="AE167" s="25"/>
      <c r="AF167" s="14"/>
      <c r="AG167" s="7"/>
      <c r="AH167" s="53"/>
      <c r="AI167" s="25"/>
      <c r="AJ167" s="14"/>
      <c r="AK167" s="7"/>
      <c r="AL167" s="53"/>
      <c r="AM167" s="25"/>
      <c r="AN167" s="14"/>
      <c r="AO167" s="7"/>
      <c r="AP167" s="53"/>
      <c r="AQ167" s="25"/>
      <c r="AR167" s="14"/>
      <c r="AS167" s="7"/>
      <c r="AT167" s="53"/>
      <c r="AU167" s="25"/>
    </row>
    <row r="168" spans="2:47">
      <c r="B168" s="7"/>
      <c r="C168" s="7"/>
      <c r="D168" s="7"/>
      <c r="E168" s="7"/>
      <c r="F168" s="53"/>
      <c r="G168" s="25"/>
      <c r="H168" s="14"/>
      <c r="I168" s="7"/>
      <c r="J168" s="53"/>
      <c r="K168" s="25"/>
      <c r="L168" s="14"/>
      <c r="M168" s="7"/>
      <c r="N168" s="53"/>
      <c r="O168" s="25"/>
      <c r="P168" s="14"/>
      <c r="Q168" s="7"/>
      <c r="R168" s="53"/>
      <c r="S168" s="25"/>
      <c r="T168" s="14"/>
      <c r="U168" s="7"/>
      <c r="V168" s="53"/>
      <c r="W168" s="25"/>
      <c r="X168" s="14"/>
      <c r="Y168" s="7"/>
      <c r="Z168" s="53"/>
      <c r="AA168" s="25"/>
      <c r="AB168" s="14"/>
      <c r="AC168" s="7"/>
      <c r="AD168" s="53"/>
      <c r="AE168" s="25"/>
      <c r="AF168" s="14"/>
      <c r="AG168" s="7"/>
      <c r="AH168" s="53"/>
      <c r="AI168" s="25"/>
      <c r="AJ168" s="14"/>
      <c r="AK168" s="7"/>
      <c r="AL168" s="53"/>
      <c r="AM168" s="25"/>
      <c r="AN168" s="14"/>
      <c r="AO168" s="7"/>
      <c r="AP168" s="53"/>
      <c r="AQ168" s="25"/>
      <c r="AR168" s="14"/>
      <c r="AS168" s="7"/>
      <c r="AT168" s="53"/>
      <c r="AU168" s="25"/>
    </row>
    <row r="169" spans="2:47">
      <c r="B169" s="12"/>
      <c r="C169" s="12"/>
      <c r="D169" s="12"/>
      <c r="E169" s="12"/>
      <c r="F169" s="54"/>
      <c r="G169" s="24"/>
      <c r="H169" s="13"/>
      <c r="I169" s="12"/>
      <c r="J169" s="54"/>
      <c r="K169" s="24"/>
      <c r="L169" s="13"/>
      <c r="M169" s="12"/>
      <c r="N169" s="54"/>
      <c r="O169" s="24"/>
      <c r="P169" s="13"/>
      <c r="Q169" s="12"/>
      <c r="R169" s="54"/>
      <c r="S169" s="24"/>
      <c r="T169" s="13"/>
      <c r="U169" s="12"/>
      <c r="V169" s="54"/>
      <c r="W169" s="24"/>
      <c r="X169" s="13"/>
      <c r="Y169" s="12"/>
      <c r="Z169" s="54"/>
      <c r="AA169" s="24"/>
      <c r="AB169" s="13"/>
      <c r="AC169" s="12"/>
      <c r="AD169" s="54"/>
      <c r="AE169" s="24"/>
      <c r="AF169" s="13"/>
      <c r="AG169" s="12"/>
      <c r="AH169" s="54"/>
      <c r="AI169" s="24"/>
      <c r="AJ169" s="13"/>
      <c r="AK169" s="12"/>
      <c r="AL169" s="54"/>
      <c r="AM169" s="24"/>
      <c r="AN169" s="13"/>
      <c r="AO169" s="12"/>
      <c r="AP169" s="54"/>
      <c r="AQ169" s="24"/>
      <c r="AR169" s="13"/>
      <c r="AS169" s="12"/>
      <c r="AT169" s="54"/>
      <c r="AU169" s="24"/>
    </row>
    <row r="170" spans="2:47">
      <c r="B170" s="12"/>
      <c r="C170" s="12"/>
      <c r="D170" s="12"/>
      <c r="E170" s="12"/>
      <c r="F170" s="54"/>
      <c r="G170" s="24"/>
      <c r="H170" s="13"/>
      <c r="I170" s="12"/>
      <c r="J170" s="54"/>
      <c r="K170" s="24"/>
      <c r="L170" s="13"/>
      <c r="M170" s="12"/>
      <c r="N170" s="54"/>
      <c r="O170" s="24"/>
      <c r="P170" s="13"/>
      <c r="Q170" s="12"/>
      <c r="R170" s="54"/>
      <c r="S170" s="24"/>
      <c r="T170" s="13"/>
      <c r="U170" s="12"/>
      <c r="V170" s="54"/>
      <c r="W170" s="24"/>
      <c r="X170" s="13"/>
      <c r="Y170" s="12"/>
      <c r="Z170" s="54"/>
      <c r="AA170" s="24"/>
      <c r="AB170" s="13"/>
      <c r="AC170" s="12"/>
      <c r="AD170" s="54"/>
      <c r="AE170" s="24"/>
      <c r="AF170" s="13"/>
      <c r="AG170" s="12"/>
      <c r="AH170" s="54"/>
      <c r="AI170" s="24"/>
      <c r="AJ170" s="13"/>
      <c r="AK170" s="12"/>
      <c r="AL170" s="54"/>
      <c r="AM170" s="24"/>
      <c r="AN170" s="13"/>
      <c r="AO170" s="12"/>
      <c r="AP170" s="54"/>
      <c r="AQ170" s="24"/>
      <c r="AR170" s="13"/>
      <c r="AS170" s="12"/>
      <c r="AT170" s="54"/>
      <c r="AU170" s="24"/>
    </row>
    <row r="171" spans="2:47">
      <c r="B171" s="7"/>
      <c r="C171" s="7"/>
      <c r="D171" s="7"/>
      <c r="E171" s="7"/>
      <c r="F171" s="53"/>
      <c r="G171" s="25"/>
      <c r="H171" s="14"/>
      <c r="I171" s="7"/>
      <c r="J171" s="53"/>
      <c r="K171" s="25"/>
      <c r="L171" s="14"/>
      <c r="M171" s="7"/>
      <c r="N171" s="53"/>
      <c r="O171" s="25"/>
      <c r="P171" s="14"/>
      <c r="Q171" s="7"/>
      <c r="R171" s="53"/>
      <c r="S171" s="25"/>
      <c r="T171" s="14"/>
      <c r="U171" s="7"/>
      <c r="V171" s="53"/>
      <c r="W171" s="25"/>
      <c r="X171" s="14"/>
      <c r="Y171" s="7"/>
      <c r="Z171" s="53"/>
      <c r="AA171" s="25"/>
      <c r="AB171" s="14"/>
      <c r="AC171" s="7"/>
      <c r="AD171" s="53"/>
      <c r="AE171" s="25"/>
      <c r="AF171" s="14"/>
      <c r="AG171" s="7"/>
      <c r="AH171" s="53"/>
      <c r="AI171" s="25"/>
      <c r="AJ171" s="14"/>
      <c r="AK171" s="7"/>
      <c r="AL171" s="53"/>
      <c r="AM171" s="25"/>
      <c r="AN171" s="14"/>
      <c r="AO171" s="7"/>
      <c r="AP171" s="53"/>
      <c r="AQ171" s="25"/>
      <c r="AR171" s="14"/>
      <c r="AS171" s="7"/>
      <c r="AT171" s="53"/>
      <c r="AU171" s="25"/>
    </row>
    <row r="172" spans="2:47" ht="20.25">
      <c r="B172" s="470" t="s">
        <v>271</v>
      </c>
      <c r="C172" s="471"/>
      <c r="D172" s="422" t="str">
        <f>D$2</f>
        <v>2012-13</v>
      </c>
      <c r="E172" s="423"/>
      <c r="F172" s="423"/>
      <c r="G172" s="424"/>
      <c r="H172" s="425" t="str">
        <f>H$2</f>
        <v>2013-14</v>
      </c>
      <c r="I172" s="426"/>
      <c r="J172" s="426"/>
      <c r="K172" s="427"/>
      <c r="L172" s="428" t="str">
        <f>L$2</f>
        <v>2014-15</v>
      </c>
      <c r="M172" s="429"/>
      <c r="N172" s="429"/>
      <c r="O172" s="430"/>
      <c r="P172" s="431" t="str">
        <f>P$2</f>
        <v>2015-16</v>
      </c>
      <c r="Q172" s="432"/>
      <c r="R172" s="432"/>
      <c r="S172" s="433"/>
      <c r="T172" s="434" t="str">
        <f>T$2</f>
        <v>2016-17</v>
      </c>
      <c r="U172" s="435"/>
      <c r="V172" s="435"/>
      <c r="W172" s="436"/>
      <c r="X172" s="437" t="str">
        <f>X$2</f>
        <v>2017-18</v>
      </c>
      <c r="Y172" s="438"/>
      <c r="Z172" s="438"/>
      <c r="AA172" s="439"/>
      <c r="AB172" s="422" t="str">
        <f>AB$2</f>
        <v>2018-19</v>
      </c>
      <c r="AC172" s="423"/>
      <c r="AD172" s="423"/>
      <c r="AE172" s="424"/>
      <c r="AF172" s="425" t="str">
        <f>AF$2</f>
        <v>2019-20</v>
      </c>
      <c r="AG172" s="426"/>
      <c r="AH172" s="426"/>
      <c r="AI172" s="427"/>
      <c r="AJ172" s="428" t="str">
        <f>AJ$2</f>
        <v>2020-21</v>
      </c>
      <c r="AK172" s="429"/>
      <c r="AL172" s="429"/>
      <c r="AM172" s="430"/>
      <c r="AN172" s="431" t="str">
        <f>AN$2</f>
        <v>2021-22</v>
      </c>
      <c r="AO172" s="432"/>
      <c r="AP172" s="432"/>
      <c r="AQ172" s="433"/>
      <c r="AR172" s="434" t="str">
        <f>AR$2</f>
        <v>2022-23</v>
      </c>
      <c r="AS172" s="435"/>
      <c r="AT172" s="435"/>
      <c r="AU172" s="436"/>
    </row>
    <row r="173" spans="2:47" ht="15" customHeight="1">
      <c r="B173" s="7"/>
      <c r="C173" s="7"/>
      <c r="D173" s="462" t="s">
        <v>2</v>
      </c>
      <c r="E173" s="465" t="s">
        <v>3</v>
      </c>
      <c r="F173" s="453" t="s">
        <v>4</v>
      </c>
      <c r="G173" s="456" t="s">
        <v>21</v>
      </c>
      <c r="H173" s="462" t="s">
        <v>2</v>
      </c>
      <c r="I173" s="465" t="s">
        <v>3</v>
      </c>
      <c r="J173" s="453" t="s">
        <v>4</v>
      </c>
      <c r="K173" s="456" t="s">
        <v>21</v>
      </c>
      <c r="L173" s="462" t="s">
        <v>2</v>
      </c>
      <c r="M173" s="465" t="s">
        <v>3</v>
      </c>
      <c r="N173" s="453" t="s">
        <v>4</v>
      </c>
      <c r="O173" s="456" t="s">
        <v>21</v>
      </c>
      <c r="P173" s="462" t="s">
        <v>2</v>
      </c>
      <c r="Q173" s="465" t="s">
        <v>3</v>
      </c>
      <c r="R173" s="453" t="s">
        <v>4</v>
      </c>
      <c r="S173" s="456" t="s">
        <v>21</v>
      </c>
      <c r="T173" s="462" t="s">
        <v>2</v>
      </c>
      <c r="U173" s="465" t="s">
        <v>3</v>
      </c>
      <c r="V173" s="453" t="s">
        <v>4</v>
      </c>
      <c r="W173" s="456" t="s">
        <v>21</v>
      </c>
      <c r="X173" s="462" t="s">
        <v>2</v>
      </c>
      <c r="Y173" s="465" t="s">
        <v>3</v>
      </c>
      <c r="Z173" s="453" t="s">
        <v>4</v>
      </c>
      <c r="AA173" s="456" t="s">
        <v>21</v>
      </c>
      <c r="AB173" s="462" t="s">
        <v>2</v>
      </c>
      <c r="AC173" s="465" t="s">
        <v>3</v>
      </c>
      <c r="AD173" s="453" t="s">
        <v>4</v>
      </c>
      <c r="AE173" s="456" t="s">
        <v>21</v>
      </c>
      <c r="AF173" s="462" t="s">
        <v>2</v>
      </c>
      <c r="AG173" s="465" t="s">
        <v>3</v>
      </c>
      <c r="AH173" s="453" t="s">
        <v>4</v>
      </c>
      <c r="AI173" s="456" t="s">
        <v>21</v>
      </c>
      <c r="AJ173" s="462" t="s">
        <v>2</v>
      </c>
      <c r="AK173" s="465" t="s">
        <v>3</v>
      </c>
      <c r="AL173" s="453" t="s">
        <v>4</v>
      </c>
      <c r="AM173" s="456" t="s">
        <v>21</v>
      </c>
      <c r="AN173" s="462" t="s">
        <v>2</v>
      </c>
      <c r="AO173" s="465" t="s">
        <v>3</v>
      </c>
      <c r="AP173" s="453" t="s">
        <v>4</v>
      </c>
      <c r="AQ173" s="456" t="s">
        <v>21</v>
      </c>
      <c r="AR173" s="462" t="s">
        <v>2</v>
      </c>
      <c r="AS173" s="465" t="s">
        <v>3</v>
      </c>
      <c r="AT173" s="453" t="s">
        <v>4</v>
      </c>
      <c r="AU173" s="456" t="s">
        <v>21</v>
      </c>
    </row>
    <row r="174" spans="2:47">
      <c r="B174" s="7"/>
      <c r="C174" s="7"/>
      <c r="D174" s="463"/>
      <c r="E174" s="466"/>
      <c r="F174" s="454"/>
      <c r="G174" s="457"/>
      <c r="H174" s="463"/>
      <c r="I174" s="466"/>
      <c r="J174" s="454"/>
      <c r="K174" s="457"/>
      <c r="L174" s="463"/>
      <c r="M174" s="466"/>
      <c r="N174" s="454"/>
      <c r="O174" s="457"/>
      <c r="P174" s="463"/>
      <c r="Q174" s="466"/>
      <c r="R174" s="454"/>
      <c r="S174" s="457"/>
      <c r="T174" s="463"/>
      <c r="U174" s="466"/>
      <c r="V174" s="454"/>
      <c r="W174" s="457"/>
      <c r="X174" s="463"/>
      <c r="Y174" s="466"/>
      <c r="Z174" s="454"/>
      <c r="AA174" s="457"/>
      <c r="AB174" s="463"/>
      <c r="AC174" s="466"/>
      <c r="AD174" s="454"/>
      <c r="AE174" s="457"/>
      <c r="AF174" s="463"/>
      <c r="AG174" s="466"/>
      <c r="AH174" s="454"/>
      <c r="AI174" s="457"/>
      <c r="AJ174" s="463"/>
      <c r="AK174" s="466"/>
      <c r="AL174" s="454"/>
      <c r="AM174" s="457"/>
      <c r="AN174" s="463"/>
      <c r="AO174" s="466"/>
      <c r="AP174" s="454"/>
      <c r="AQ174" s="457"/>
      <c r="AR174" s="463"/>
      <c r="AS174" s="466"/>
      <c r="AT174" s="454"/>
      <c r="AU174" s="457"/>
    </row>
    <row r="175" spans="2:47">
      <c r="B175" s="144" t="s">
        <v>5</v>
      </c>
      <c r="C175" s="144" t="s">
        <v>6</v>
      </c>
      <c r="D175" s="464"/>
      <c r="E175" s="467"/>
      <c r="F175" s="455"/>
      <c r="G175" s="458"/>
      <c r="H175" s="464"/>
      <c r="I175" s="467"/>
      <c r="J175" s="455"/>
      <c r="K175" s="458"/>
      <c r="L175" s="464"/>
      <c r="M175" s="467"/>
      <c r="N175" s="455"/>
      <c r="O175" s="458"/>
      <c r="P175" s="464"/>
      <c r="Q175" s="467"/>
      <c r="R175" s="455"/>
      <c r="S175" s="458"/>
      <c r="T175" s="464"/>
      <c r="U175" s="467"/>
      <c r="V175" s="455"/>
      <c r="W175" s="458"/>
      <c r="X175" s="464"/>
      <c r="Y175" s="467"/>
      <c r="Z175" s="455"/>
      <c r="AA175" s="458"/>
      <c r="AB175" s="464"/>
      <c r="AC175" s="467"/>
      <c r="AD175" s="455"/>
      <c r="AE175" s="458"/>
      <c r="AF175" s="464"/>
      <c r="AG175" s="467"/>
      <c r="AH175" s="455"/>
      <c r="AI175" s="458"/>
      <c r="AJ175" s="464"/>
      <c r="AK175" s="467"/>
      <c r="AL175" s="455"/>
      <c r="AM175" s="458"/>
      <c r="AN175" s="464"/>
      <c r="AO175" s="467"/>
      <c r="AP175" s="455"/>
      <c r="AQ175" s="458"/>
      <c r="AR175" s="464"/>
      <c r="AS175" s="467"/>
      <c r="AT175" s="455"/>
      <c r="AU175" s="458"/>
    </row>
    <row r="176" spans="2:47">
      <c r="B176" s="459" t="s">
        <v>7</v>
      </c>
      <c r="C176" s="10" t="s">
        <v>8</v>
      </c>
      <c r="D176" s="113"/>
      <c r="E176" s="114"/>
      <c r="F176" s="3">
        <f>E176/30</f>
        <v>0</v>
      </c>
      <c r="G176" s="95"/>
      <c r="H176" s="113"/>
      <c r="I176" s="114"/>
      <c r="J176" s="3">
        <f>I176/30</f>
        <v>0</v>
      </c>
      <c r="K176" s="95"/>
      <c r="L176" s="113"/>
      <c r="M176" s="114"/>
      <c r="N176" s="3">
        <f>M176/30</f>
        <v>0</v>
      </c>
      <c r="O176" s="27"/>
      <c r="P176" s="113"/>
      <c r="Q176" s="114"/>
      <c r="R176" s="3">
        <f>Q176/30</f>
        <v>0</v>
      </c>
      <c r="S176" s="27"/>
      <c r="T176" s="113"/>
      <c r="U176" s="114"/>
      <c r="V176" s="3">
        <f>U176/30</f>
        <v>0</v>
      </c>
      <c r="W176" s="27"/>
      <c r="X176" s="113"/>
      <c r="Y176" s="114"/>
      <c r="Z176" s="3">
        <f>Y176/30</f>
        <v>0</v>
      </c>
      <c r="AA176" s="27">
        <v>0</v>
      </c>
      <c r="AB176" s="113"/>
      <c r="AC176" s="114"/>
      <c r="AD176" s="3">
        <f>AC176/30</f>
        <v>0</v>
      </c>
      <c r="AE176" s="27">
        <v>0</v>
      </c>
      <c r="AF176" s="113"/>
      <c r="AG176" s="114"/>
      <c r="AH176" s="3">
        <f>AG176/30</f>
        <v>0</v>
      </c>
      <c r="AI176" s="27">
        <v>0</v>
      </c>
      <c r="AJ176" s="113"/>
      <c r="AK176" s="114"/>
      <c r="AL176" s="3">
        <f>AK176/30</f>
        <v>0</v>
      </c>
      <c r="AM176" s="27">
        <v>0</v>
      </c>
      <c r="AN176" s="113"/>
      <c r="AO176" s="114"/>
      <c r="AP176" s="3">
        <f>AO176/30</f>
        <v>0</v>
      </c>
      <c r="AQ176" s="27">
        <v>0</v>
      </c>
      <c r="AR176" s="1"/>
      <c r="AS176" s="2"/>
      <c r="AT176" s="3">
        <f>AS176/30</f>
        <v>0</v>
      </c>
      <c r="AU176" s="29">
        <v>0</v>
      </c>
    </row>
    <row r="177" spans="2:47">
      <c r="B177" s="460"/>
      <c r="C177" s="10" t="s">
        <v>9</v>
      </c>
      <c r="D177" s="113"/>
      <c r="E177" s="114"/>
      <c r="F177" s="3">
        <f>E177/30</f>
        <v>0</v>
      </c>
      <c r="G177" s="95"/>
      <c r="H177" s="113"/>
      <c r="I177" s="114"/>
      <c r="J177" s="3">
        <f>I177/30</f>
        <v>0</v>
      </c>
      <c r="K177" s="95"/>
      <c r="L177" s="113"/>
      <c r="M177" s="114"/>
      <c r="N177" s="3">
        <f>M177/30</f>
        <v>0</v>
      </c>
      <c r="O177" s="27"/>
      <c r="P177" s="113"/>
      <c r="Q177" s="114"/>
      <c r="R177" s="3">
        <f>Q177/30</f>
        <v>0</v>
      </c>
      <c r="S177" s="27"/>
      <c r="T177" s="113"/>
      <c r="U177" s="114"/>
      <c r="V177" s="3">
        <f>U177/30</f>
        <v>0</v>
      </c>
      <c r="W177" s="27"/>
      <c r="X177" s="113"/>
      <c r="Y177" s="114"/>
      <c r="Z177" s="3">
        <f>Y177/30</f>
        <v>0</v>
      </c>
      <c r="AA177" s="27">
        <v>0</v>
      </c>
      <c r="AB177" s="113"/>
      <c r="AC177" s="114"/>
      <c r="AD177" s="3">
        <f>AC177/30</f>
        <v>0</v>
      </c>
      <c r="AE177" s="27">
        <v>0</v>
      </c>
      <c r="AF177" s="113"/>
      <c r="AG177" s="114"/>
      <c r="AH177" s="3">
        <f>AG177/30</f>
        <v>0</v>
      </c>
      <c r="AI177" s="27">
        <v>0</v>
      </c>
      <c r="AJ177" s="113"/>
      <c r="AK177" s="114"/>
      <c r="AL177" s="3">
        <f>AK177/30</f>
        <v>0</v>
      </c>
      <c r="AM177" s="27">
        <v>0</v>
      </c>
      <c r="AN177" s="113"/>
      <c r="AO177" s="114"/>
      <c r="AP177" s="3">
        <f>AO177/30</f>
        <v>0</v>
      </c>
      <c r="AQ177" s="27">
        <v>0</v>
      </c>
      <c r="AR177" s="1"/>
      <c r="AS177" s="2"/>
      <c r="AT177" s="3">
        <f>AS177/30</f>
        <v>0</v>
      </c>
      <c r="AU177" s="29">
        <v>0</v>
      </c>
    </row>
    <row r="178" spans="2:47">
      <c r="B178" s="461"/>
      <c r="C178" s="11" t="s">
        <v>10</v>
      </c>
      <c r="D178" s="4">
        <f>SUM(D176:D177)</f>
        <v>0</v>
      </c>
      <c r="E178" s="3">
        <f>SUM(E176:E177)</f>
        <v>0</v>
      </c>
      <c r="F178" s="3">
        <f>SUM(F176:F177)</f>
        <v>0</v>
      </c>
      <c r="G178" s="27">
        <v>0</v>
      </c>
      <c r="H178" s="4">
        <f>SUM(H176:H177)</f>
        <v>0</v>
      </c>
      <c r="I178" s="3">
        <f>SUM(I176:I177)</f>
        <v>0</v>
      </c>
      <c r="J178" s="3">
        <f>SUM(J176:J177)</f>
        <v>0</v>
      </c>
      <c r="K178" s="27">
        <v>0</v>
      </c>
      <c r="L178" s="4">
        <f t="shared" ref="L178:Z178" si="176">SUM(L176:L177)</f>
        <v>0</v>
      </c>
      <c r="M178" s="3">
        <f t="shared" si="176"/>
        <v>0</v>
      </c>
      <c r="N178" s="3">
        <f t="shared" si="176"/>
        <v>0</v>
      </c>
      <c r="O178" s="26">
        <f t="shared" si="176"/>
        <v>0</v>
      </c>
      <c r="P178" s="4">
        <f t="shared" si="176"/>
        <v>0</v>
      </c>
      <c r="Q178" s="3">
        <f t="shared" si="176"/>
        <v>0</v>
      </c>
      <c r="R178" s="3">
        <f t="shared" si="176"/>
        <v>0</v>
      </c>
      <c r="S178" s="26">
        <f t="shared" si="176"/>
        <v>0</v>
      </c>
      <c r="T178" s="4">
        <f t="shared" si="176"/>
        <v>0</v>
      </c>
      <c r="U178" s="3">
        <f t="shared" si="176"/>
        <v>0</v>
      </c>
      <c r="V178" s="3">
        <f t="shared" si="176"/>
        <v>0</v>
      </c>
      <c r="W178" s="26">
        <f t="shared" si="176"/>
        <v>0</v>
      </c>
      <c r="X178" s="4">
        <f t="shared" si="176"/>
        <v>0</v>
      </c>
      <c r="Y178" s="3">
        <f t="shared" si="176"/>
        <v>0</v>
      </c>
      <c r="Z178" s="3">
        <f t="shared" si="176"/>
        <v>0</v>
      </c>
      <c r="AA178" s="26">
        <f t="shared" ref="AA178" si="177">SUM(AA176:AA177)</f>
        <v>0</v>
      </c>
      <c r="AB178" s="4">
        <f>SUM(AB176:AB177)</f>
        <v>0</v>
      </c>
      <c r="AC178" s="3">
        <f>SUM(AC176:AC177)</f>
        <v>0</v>
      </c>
      <c r="AD178" s="3">
        <f>SUM(AD176:AD177)</f>
        <v>0</v>
      </c>
      <c r="AE178" s="26">
        <f t="shared" ref="AE178" si="178">SUM(AE176:AE177)</f>
        <v>0</v>
      </c>
      <c r="AF178" s="4">
        <f>SUM(AF176:AF177)</f>
        <v>0</v>
      </c>
      <c r="AG178" s="3">
        <f>SUM(AG176:AG177)</f>
        <v>0</v>
      </c>
      <c r="AH178" s="3">
        <f>SUM(AH176:AH177)</f>
        <v>0</v>
      </c>
      <c r="AI178" s="26">
        <f t="shared" ref="AI178" si="179">SUM(AI176:AI177)</f>
        <v>0</v>
      </c>
      <c r="AJ178" s="4">
        <f>SUM(AJ176:AJ177)</f>
        <v>0</v>
      </c>
      <c r="AK178" s="3">
        <f>SUM(AK176:AK177)</f>
        <v>0</v>
      </c>
      <c r="AL178" s="3">
        <f>SUM(AL176:AL177)</f>
        <v>0</v>
      </c>
      <c r="AM178" s="26">
        <f t="shared" ref="AM178" si="180">SUM(AM176:AM177)</f>
        <v>0</v>
      </c>
      <c r="AN178" s="4">
        <f>SUM(AN176:AN177)</f>
        <v>0</v>
      </c>
      <c r="AO178" s="3">
        <f>SUM(AO176:AO177)</f>
        <v>0</v>
      </c>
      <c r="AP178" s="3">
        <f>SUM(AP176:AP177)</f>
        <v>0</v>
      </c>
      <c r="AQ178" s="26">
        <f t="shared" ref="AQ178:AU178" si="181">SUM(AQ176:AQ177)</f>
        <v>0</v>
      </c>
      <c r="AR178" s="4">
        <f t="shared" si="181"/>
        <v>0</v>
      </c>
      <c r="AS178" s="3">
        <f t="shared" si="181"/>
        <v>0</v>
      </c>
      <c r="AT178" s="3">
        <f t="shared" si="181"/>
        <v>0</v>
      </c>
      <c r="AU178" s="26">
        <f t="shared" si="181"/>
        <v>0</v>
      </c>
    </row>
    <row r="179" spans="2:47">
      <c r="B179" s="8"/>
      <c r="C179" s="9"/>
      <c r="D179" s="5"/>
      <c r="E179" s="6"/>
      <c r="H179" s="5"/>
      <c r="I179" s="6"/>
      <c r="L179" s="5"/>
      <c r="M179" s="6"/>
      <c r="P179" s="5"/>
      <c r="Q179" s="6"/>
      <c r="T179" s="5"/>
      <c r="U179" s="6"/>
      <c r="X179" s="5"/>
      <c r="Y179" s="6"/>
      <c r="AB179" s="5"/>
      <c r="AC179" s="6"/>
      <c r="AF179" s="5"/>
      <c r="AG179" s="6"/>
      <c r="AJ179" s="5"/>
      <c r="AK179" s="6"/>
      <c r="AN179" s="5"/>
      <c r="AO179" s="6"/>
      <c r="AR179" s="5"/>
      <c r="AS179" s="6"/>
    </row>
    <row r="180" spans="2:47">
      <c r="B180" s="459" t="s">
        <v>11</v>
      </c>
      <c r="C180" s="10" t="s">
        <v>8</v>
      </c>
      <c r="D180" s="113"/>
      <c r="E180" s="114"/>
      <c r="F180" s="3">
        <f>E180/24</f>
        <v>0</v>
      </c>
      <c r="G180" s="95"/>
      <c r="H180" s="113"/>
      <c r="I180" s="114"/>
      <c r="J180" s="3">
        <f>I180/24</f>
        <v>0</v>
      </c>
      <c r="K180" s="95"/>
      <c r="L180" s="113"/>
      <c r="M180" s="114"/>
      <c r="N180" s="3">
        <f>M180/24</f>
        <v>0</v>
      </c>
      <c r="O180" s="27"/>
      <c r="P180" s="113"/>
      <c r="Q180" s="114"/>
      <c r="R180" s="3">
        <f>Q180/24</f>
        <v>0</v>
      </c>
      <c r="S180" s="27"/>
      <c r="T180" s="113"/>
      <c r="U180" s="114"/>
      <c r="V180" s="3">
        <f>U180/24</f>
        <v>0</v>
      </c>
      <c r="W180" s="27"/>
      <c r="X180" s="113"/>
      <c r="Y180" s="114"/>
      <c r="Z180" s="3">
        <f>Y180/24</f>
        <v>0</v>
      </c>
      <c r="AA180" s="27"/>
      <c r="AB180" s="113"/>
      <c r="AC180" s="114"/>
      <c r="AD180" s="3">
        <f>AC180/24</f>
        <v>0</v>
      </c>
      <c r="AE180" s="27"/>
      <c r="AF180" s="113"/>
      <c r="AG180" s="114"/>
      <c r="AH180" s="3">
        <f>AG180/24</f>
        <v>0</v>
      </c>
      <c r="AI180" s="27"/>
      <c r="AJ180" s="113"/>
      <c r="AK180" s="114"/>
      <c r="AL180" s="3">
        <f>AK180/24</f>
        <v>0</v>
      </c>
      <c r="AM180" s="27">
        <v>0</v>
      </c>
      <c r="AN180" s="113"/>
      <c r="AO180" s="114"/>
      <c r="AP180" s="3">
        <f>AO180/24</f>
        <v>0</v>
      </c>
      <c r="AQ180" s="27">
        <v>0</v>
      </c>
      <c r="AR180" s="1"/>
      <c r="AS180" s="2"/>
      <c r="AT180" s="3">
        <f>AS180/24</f>
        <v>0</v>
      </c>
      <c r="AU180" s="29">
        <v>0</v>
      </c>
    </row>
    <row r="181" spans="2:47">
      <c r="B181" s="460"/>
      <c r="C181" s="10" t="s">
        <v>9</v>
      </c>
      <c r="D181" s="113"/>
      <c r="E181" s="114"/>
      <c r="F181" s="3">
        <f>E181/24</f>
        <v>0</v>
      </c>
      <c r="G181" s="95"/>
      <c r="H181" s="113"/>
      <c r="I181" s="114"/>
      <c r="J181" s="3">
        <f>I181/24</f>
        <v>0</v>
      </c>
      <c r="K181" s="95"/>
      <c r="L181" s="113"/>
      <c r="M181" s="114"/>
      <c r="N181" s="3">
        <f>M181/24</f>
        <v>0</v>
      </c>
      <c r="O181" s="27"/>
      <c r="P181" s="113"/>
      <c r="Q181" s="114"/>
      <c r="R181" s="3">
        <f>Q181/24</f>
        <v>0</v>
      </c>
      <c r="S181" s="27"/>
      <c r="T181" s="113"/>
      <c r="U181" s="114"/>
      <c r="V181" s="3">
        <f>U181/24</f>
        <v>0</v>
      </c>
      <c r="W181" s="27"/>
      <c r="X181" s="113"/>
      <c r="Y181" s="114"/>
      <c r="Z181" s="3">
        <f>Y181/24</f>
        <v>0</v>
      </c>
      <c r="AA181" s="27"/>
      <c r="AB181" s="113"/>
      <c r="AC181" s="114"/>
      <c r="AD181" s="3">
        <f>AC181/24</f>
        <v>0</v>
      </c>
      <c r="AE181" s="27"/>
      <c r="AF181" s="113"/>
      <c r="AG181" s="114"/>
      <c r="AH181" s="3">
        <f>AG181/24</f>
        <v>0</v>
      </c>
      <c r="AI181" s="27"/>
      <c r="AJ181" s="113"/>
      <c r="AK181" s="114"/>
      <c r="AL181" s="3">
        <f>AK181/24</f>
        <v>0</v>
      </c>
      <c r="AM181" s="27">
        <v>0</v>
      </c>
      <c r="AN181" s="113"/>
      <c r="AO181" s="114"/>
      <c r="AP181" s="3">
        <f>AO181/24</f>
        <v>0</v>
      </c>
      <c r="AQ181" s="27">
        <v>0</v>
      </c>
      <c r="AR181" s="1"/>
      <c r="AS181" s="2"/>
      <c r="AT181" s="3">
        <f>AS181/24</f>
        <v>0</v>
      </c>
      <c r="AU181" s="29">
        <v>0</v>
      </c>
    </row>
    <row r="182" spans="2:47">
      <c r="B182" s="461"/>
      <c r="C182" s="11" t="s">
        <v>10</v>
      </c>
      <c r="D182" s="4">
        <f>SUM(D180:D181)</f>
        <v>0</v>
      </c>
      <c r="E182" s="3">
        <f>SUM(E180:E181)</f>
        <v>0</v>
      </c>
      <c r="F182" s="3">
        <f>SUM(F180:F181)</f>
        <v>0</v>
      </c>
      <c r="G182" s="27">
        <v>0</v>
      </c>
      <c r="H182" s="4">
        <f>SUM(H180:H181)</f>
        <v>0</v>
      </c>
      <c r="I182" s="3">
        <f>SUM(I180:I181)</f>
        <v>0</v>
      </c>
      <c r="J182" s="3">
        <f>SUM(J180:J181)</f>
        <v>0</v>
      </c>
      <c r="K182" s="27">
        <v>0</v>
      </c>
      <c r="L182" s="4">
        <f t="shared" ref="L182:Z182" si="182">SUM(L180:L181)</f>
        <v>0</v>
      </c>
      <c r="M182" s="3">
        <f t="shared" si="182"/>
        <v>0</v>
      </c>
      <c r="N182" s="3">
        <f t="shared" si="182"/>
        <v>0</v>
      </c>
      <c r="O182" s="26">
        <f t="shared" si="182"/>
        <v>0</v>
      </c>
      <c r="P182" s="4">
        <f t="shared" si="182"/>
        <v>0</v>
      </c>
      <c r="Q182" s="3">
        <f t="shared" si="182"/>
        <v>0</v>
      </c>
      <c r="R182" s="3">
        <f t="shared" si="182"/>
        <v>0</v>
      </c>
      <c r="S182" s="26">
        <f t="shared" si="182"/>
        <v>0</v>
      </c>
      <c r="T182" s="4">
        <f t="shared" si="182"/>
        <v>0</v>
      </c>
      <c r="U182" s="3">
        <f t="shared" si="182"/>
        <v>0</v>
      </c>
      <c r="V182" s="3">
        <f t="shared" si="182"/>
        <v>0</v>
      </c>
      <c r="W182" s="26">
        <f t="shared" si="182"/>
        <v>0</v>
      </c>
      <c r="X182" s="4">
        <f t="shared" si="182"/>
        <v>0</v>
      </c>
      <c r="Y182" s="3">
        <f t="shared" si="182"/>
        <v>0</v>
      </c>
      <c r="Z182" s="3">
        <f t="shared" si="182"/>
        <v>0</v>
      </c>
      <c r="AA182" s="26">
        <f t="shared" ref="AA182" si="183">SUM(AA180:AA181)</f>
        <v>0</v>
      </c>
      <c r="AB182" s="4">
        <f>SUM(AB180:AB181)</f>
        <v>0</v>
      </c>
      <c r="AC182" s="3">
        <f>SUM(AC180:AC181)</f>
        <v>0</v>
      </c>
      <c r="AD182" s="3">
        <f>SUM(AD180:AD181)</f>
        <v>0</v>
      </c>
      <c r="AE182" s="26">
        <f t="shared" ref="AE182" si="184">SUM(AE180:AE181)</f>
        <v>0</v>
      </c>
      <c r="AF182" s="4">
        <f>SUM(AF180:AF181)</f>
        <v>0</v>
      </c>
      <c r="AG182" s="3">
        <f>SUM(AG180:AG181)</f>
        <v>0</v>
      </c>
      <c r="AH182" s="3">
        <f>SUM(AH180:AH181)</f>
        <v>0</v>
      </c>
      <c r="AI182" s="26">
        <f t="shared" ref="AI182" si="185">SUM(AI180:AI181)</f>
        <v>0</v>
      </c>
      <c r="AJ182" s="4">
        <f>SUM(AJ180:AJ181)</f>
        <v>0</v>
      </c>
      <c r="AK182" s="3">
        <f>SUM(AK180:AK181)</f>
        <v>0</v>
      </c>
      <c r="AL182" s="3">
        <f>SUM(AL180:AL181)</f>
        <v>0</v>
      </c>
      <c r="AM182" s="26">
        <f t="shared" ref="AM182" si="186">SUM(AM180:AM181)</f>
        <v>0</v>
      </c>
      <c r="AN182" s="4">
        <f>SUM(AN180:AN181)</f>
        <v>0</v>
      </c>
      <c r="AO182" s="3">
        <f>SUM(AO180:AO181)</f>
        <v>0</v>
      </c>
      <c r="AP182" s="3">
        <f>SUM(AP180:AP181)</f>
        <v>0</v>
      </c>
      <c r="AQ182" s="26">
        <f t="shared" ref="AQ182" si="187">SUM(AQ180:AQ181)</f>
        <v>0</v>
      </c>
      <c r="AR182" s="4">
        <f t="shared" ref="AR182:AU182" si="188">SUM(AR180:AR181)</f>
        <v>0</v>
      </c>
      <c r="AS182" s="3">
        <f t="shared" si="188"/>
        <v>0</v>
      </c>
      <c r="AT182" s="3">
        <f t="shared" si="188"/>
        <v>0</v>
      </c>
      <c r="AU182" s="26">
        <f t="shared" si="188"/>
        <v>0</v>
      </c>
    </row>
    <row r="183" spans="2:47">
      <c r="B183" s="8"/>
      <c r="C183" s="9"/>
      <c r="D183" s="5"/>
      <c r="E183" s="6"/>
      <c r="H183" s="5"/>
      <c r="I183" s="6"/>
      <c r="L183" s="5"/>
      <c r="M183" s="6"/>
      <c r="P183" s="5"/>
      <c r="Q183" s="6"/>
      <c r="T183" s="5"/>
      <c r="U183" s="6"/>
      <c r="X183" s="5"/>
      <c r="Y183" s="6"/>
      <c r="AA183" s="150"/>
      <c r="AB183" s="5"/>
      <c r="AC183" s="6"/>
      <c r="AE183" s="150"/>
      <c r="AF183" s="5"/>
      <c r="AG183" s="6"/>
      <c r="AI183" s="150"/>
      <c r="AJ183" s="5"/>
      <c r="AK183" s="6"/>
      <c r="AN183" s="5"/>
      <c r="AO183" s="6"/>
      <c r="AR183" s="5"/>
      <c r="AS183" s="6"/>
    </row>
    <row r="184" spans="2:47">
      <c r="B184" s="459" t="s">
        <v>12</v>
      </c>
      <c r="C184" s="10" t="s">
        <v>8</v>
      </c>
      <c r="D184" s="113"/>
      <c r="E184" s="114"/>
      <c r="F184" s="3">
        <f>E184/24</f>
        <v>0</v>
      </c>
      <c r="G184" s="95"/>
      <c r="H184" s="113"/>
      <c r="I184" s="114"/>
      <c r="J184" s="3">
        <f>I184/24</f>
        <v>0</v>
      </c>
      <c r="K184" s="95"/>
      <c r="L184" s="113"/>
      <c r="M184" s="114"/>
      <c r="N184" s="3">
        <f>M184/24</f>
        <v>0</v>
      </c>
      <c r="O184" s="27"/>
      <c r="P184" s="113"/>
      <c r="Q184" s="114"/>
      <c r="R184" s="3">
        <f>Q184/24</f>
        <v>0</v>
      </c>
      <c r="S184" s="27"/>
      <c r="T184" s="113"/>
      <c r="U184" s="114"/>
      <c r="V184" s="3">
        <f>U184/24</f>
        <v>0</v>
      </c>
      <c r="W184" s="27"/>
      <c r="X184" s="113"/>
      <c r="Y184" s="114"/>
      <c r="Z184" s="3">
        <f>Y184/24</f>
        <v>0</v>
      </c>
      <c r="AA184" s="27"/>
      <c r="AB184" s="113"/>
      <c r="AC184" s="114"/>
      <c r="AD184" s="3">
        <f>AC184/24</f>
        <v>0</v>
      </c>
      <c r="AE184" s="27"/>
      <c r="AF184" s="113"/>
      <c r="AG184" s="114"/>
      <c r="AH184" s="3">
        <f>AG184/24</f>
        <v>0</v>
      </c>
      <c r="AI184" s="27"/>
      <c r="AJ184" s="113"/>
      <c r="AK184" s="114"/>
      <c r="AL184" s="3">
        <f>AK184/24</f>
        <v>0</v>
      </c>
      <c r="AM184" s="27">
        <v>0</v>
      </c>
      <c r="AN184" s="113"/>
      <c r="AO184" s="114"/>
      <c r="AP184" s="3">
        <f>AO184/24</f>
        <v>0</v>
      </c>
      <c r="AQ184" s="27">
        <v>0</v>
      </c>
      <c r="AR184" s="1"/>
      <c r="AS184" s="2"/>
      <c r="AT184" s="3">
        <f>AS184/24</f>
        <v>0</v>
      </c>
      <c r="AU184" s="29">
        <v>0</v>
      </c>
    </row>
    <row r="185" spans="2:47">
      <c r="B185" s="460"/>
      <c r="C185" s="10" t="s">
        <v>9</v>
      </c>
      <c r="D185" s="113"/>
      <c r="E185" s="114"/>
      <c r="F185" s="3">
        <f>E185/24</f>
        <v>0</v>
      </c>
      <c r="G185" s="95"/>
      <c r="H185" s="113"/>
      <c r="I185" s="114"/>
      <c r="J185" s="3">
        <f>I185/24</f>
        <v>0</v>
      </c>
      <c r="K185" s="95"/>
      <c r="L185" s="113"/>
      <c r="M185" s="114"/>
      <c r="N185" s="3">
        <f>M185/24</f>
        <v>0</v>
      </c>
      <c r="O185" s="27"/>
      <c r="P185" s="113"/>
      <c r="Q185" s="114"/>
      <c r="R185" s="3">
        <f>Q185/24</f>
        <v>0</v>
      </c>
      <c r="S185" s="27"/>
      <c r="T185" s="113"/>
      <c r="U185" s="114"/>
      <c r="V185" s="3">
        <f>U185/24</f>
        <v>0</v>
      </c>
      <c r="W185" s="27"/>
      <c r="X185" s="113"/>
      <c r="Y185" s="114"/>
      <c r="Z185" s="3">
        <f>Y185/24</f>
        <v>0</v>
      </c>
      <c r="AA185" s="27"/>
      <c r="AB185" s="113"/>
      <c r="AC185" s="114"/>
      <c r="AD185" s="3">
        <f>AC185/24</f>
        <v>0</v>
      </c>
      <c r="AE185" s="27"/>
      <c r="AF185" s="113"/>
      <c r="AG185" s="114"/>
      <c r="AH185" s="3">
        <f>AG185/24</f>
        <v>0</v>
      </c>
      <c r="AI185" s="27"/>
      <c r="AJ185" s="113"/>
      <c r="AK185" s="114"/>
      <c r="AL185" s="3">
        <f>AK185/24</f>
        <v>0</v>
      </c>
      <c r="AM185" s="27">
        <v>0</v>
      </c>
      <c r="AN185" s="113"/>
      <c r="AO185" s="114"/>
      <c r="AP185" s="3">
        <f>AO185/24</f>
        <v>0</v>
      </c>
      <c r="AQ185" s="27">
        <v>0</v>
      </c>
      <c r="AR185" s="1"/>
      <c r="AS185" s="2"/>
      <c r="AT185" s="3">
        <f>AS185/24</f>
        <v>0</v>
      </c>
      <c r="AU185" s="29">
        <v>0</v>
      </c>
    </row>
    <row r="186" spans="2:47">
      <c r="B186" s="461"/>
      <c r="C186" s="11" t="s">
        <v>10</v>
      </c>
      <c r="D186" s="4">
        <f>SUM(D184:D185)</f>
        <v>0</v>
      </c>
      <c r="E186" s="3">
        <f>SUM(E184:E185)</f>
        <v>0</v>
      </c>
      <c r="F186" s="3">
        <f>SUM(F184:F185)</f>
        <v>0</v>
      </c>
      <c r="G186" s="27">
        <v>0</v>
      </c>
      <c r="H186" s="4">
        <f>SUM(H184:H185)</f>
        <v>0</v>
      </c>
      <c r="I186" s="3">
        <f>SUM(I184:I185)</f>
        <v>0</v>
      </c>
      <c r="J186" s="3">
        <f>SUM(J184:J185)</f>
        <v>0</v>
      </c>
      <c r="K186" s="27">
        <v>0</v>
      </c>
      <c r="L186" s="4">
        <f t="shared" ref="L186:Z186" si="189">SUM(L184:L185)</f>
        <v>0</v>
      </c>
      <c r="M186" s="3">
        <f t="shared" si="189"/>
        <v>0</v>
      </c>
      <c r="N186" s="3">
        <f t="shared" si="189"/>
        <v>0</v>
      </c>
      <c r="O186" s="26">
        <f t="shared" si="189"/>
        <v>0</v>
      </c>
      <c r="P186" s="4">
        <f t="shared" si="189"/>
        <v>0</v>
      </c>
      <c r="Q186" s="3">
        <f t="shared" si="189"/>
        <v>0</v>
      </c>
      <c r="R186" s="3">
        <f t="shared" si="189"/>
        <v>0</v>
      </c>
      <c r="S186" s="26">
        <f t="shared" si="189"/>
        <v>0</v>
      </c>
      <c r="T186" s="4">
        <f t="shared" si="189"/>
        <v>0</v>
      </c>
      <c r="U186" s="3">
        <f t="shared" si="189"/>
        <v>0</v>
      </c>
      <c r="V186" s="3">
        <f t="shared" si="189"/>
        <v>0</v>
      </c>
      <c r="W186" s="26">
        <f t="shared" si="189"/>
        <v>0</v>
      </c>
      <c r="X186" s="4">
        <f t="shared" si="189"/>
        <v>0</v>
      </c>
      <c r="Y186" s="3">
        <f t="shared" si="189"/>
        <v>0</v>
      </c>
      <c r="Z186" s="3">
        <f t="shared" si="189"/>
        <v>0</v>
      </c>
      <c r="AA186" s="26">
        <f t="shared" ref="AA186" si="190">SUM(AA184:AA185)</f>
        <v>0</v>
      </c>
      <c r="AB186" s="4">
        <f>SUM(AB184:AB185)</f>
        <v>0</v>
      </c>
      <c r="AC186" s="3">
        <f>SUM(AC184:AC185)</f>
        <v>0</v>
      </c>
      <c r="AD186" s="3">
        <f>SUM(AD184:AD185)</f>
        <v>0</v>
      </c>
      <c r="AE186" s="26">
        <f t="shared" ref="AE186" si="191">SUM(AE184:AE185)</f>
        <v>0</v>
      </c>
      <c r="AF186" s="4">
        <f>SUM(AF184:AF185)</f>
        <v>0</v>
      </c>
      <c r="AG186" s="3">
        <f>SUM(AG184:AG185)</f>
        <v>0</v>
      </c>
      <c r="AH186" s="3">
        <f>SUM(AH184:AH185)</f>
        <v>0</v>
      </c>
      <c r="AI186" s="26">
        <f t="shared" ref="AI186" si="192">SUM(AI184:AI185)</f>
        <v>0</v>
      </c>
      <c r="AJ186" s="4">
        <f>SUM(AJ184:AJ185)</f>
        <v>0</v>
      </c>
      <c r="AK186" s="3">
        <f>SUM(AK184:AK185)</f>
        <v>0</v>
      </c>
      <c r="AL186" s="3">
        <f>SUM(AL184:AL185)</f>
        <v>0</v>
      </c>
      <c r="AM186" s="26">
        <f t="shared" ref="AM186" si="193">SUM(AM184:AM185)</f>
        <v>0</v>
      </c>
      <c r="AN186" s="4">
        <f>SUM(AN184:AN185)</f>
        <v>0</v>
      </c>
      <c r="AO186" s="3">
        <f>SUM(AO184:AO185)</f>
        <v>0</v>
      </c>
      <c r="AP186" s="3">
        <f>SUM(AP184:AP185)</f>
        <v>0</v>
      </c>
      <c r="AQ186" s="26">
        <f t="shared" ref="AQ186" si="194">SUM(AQ184:AQ185)</f>
        <v>0</v>
      </c>
      <c r="AR186" s="4">
        <f t="shared" ref="AR186:AU186" si="195">SUM(AR184:AR185)</f>
        <v>0</v>
      </c>
      <c r="AS186" s="3">
        <f t="shared" si="195"/>
        <v>0</v>
      </c>
      <c r="AT186" s="3">
        <f t="shared" si="195"/>
        <v>0</v>
      </c>
      <c r="AU186" s="26">
        <f t="shared" si="195"/>
        <v>0</v>
      </c>
    </row>
    <row r="187" spans="2:47">
      <c r="B187" s="8"/>
      <c r="C187" s="9"/>
      <c r="D187" s="5"/>
      <c r="E187" s="6"/>
      <c r="H187" s="5"/>
      <c r="I187" s="6"/>
      <c r="L187" s="5"/>
      <c r="M187" s="6"/>
      <c r="P187" s="5"/>
      <c r="Q187" s="6"/>
      <c r="T187" s="5"/>
      <c r="U187" s="6"/>
      <c r="X187" s="5"/>
      <c r="Y187" s="6"/>
      <c r="AA187" s="150"/>
      <c r="AB187" s="5"/>
      <c r="AC187" s="6"/>
      <c r="AE187" s="150"/>
      <c r="AF187" s="5"/>
      <c r="AG187" s="6"/>
      <c r="AI187" s="150"/>
      <c r="AJ187" s="5"/>
      <c r="AK187" s="6"/>
      <c r="AN187" s="5"/>
      <c r="AO187" s="6"/>
      <c r="AR187" s="5"/>
      <c r="AS187" s="6"/>
    </row>
    <row r="188" spans="2:47">
      <c r="B188" s="459" t="s">
        <v>13</v>
      </c>
      <c r="C188" s="10" t="s">
        <v>8</v>
      </c>
      <c r="D188" s="4">
        <f>D176+D180+D184</f>
        <v>0</v>
      </c>
      <c r="E188" s="3">
        <f>E184+E180+E176</f>
        <v>0</v>
      </c>
      <c r="F188" s="3">
        <f>F176+F180+F184</f>
        <v>0</v>
      </c>
      <c r="G188" s="95"/>
      <c r="H188" s="4">
        <f>H176+H180+H184</f>
        <v>0</v>
      </c>
      <c r="I188" s="3">
        <f>I184+I180+I176</f>
        <v>0</v>
      </c>
      <c r="J188" s="3">
        <f>J176+J180+J184</f>
        <v>0</v>
      </c>
      <c r="K188" s="95"/>
      <c r="L188" s="4">
        <f>L176+L180+L184</f>
        <v>0</v>
      </c>
      <c r="M188" s="3">
        <f>M184+M180+M176</f>
        <v>0</v>
      </c>
      <c r="N188" s="3">
        <f t="shared" ref="N188:P189" si="196">N176+N180+N184</f>
        <v>0</v>
      </c>
      <c r="O188" s="26">
        <f t="shared" si="196"/>
        <v>0</v>
      </c>
      <c r="P188" s="4">
        <f t="shared" si="196"/>
        <v>0</v>
      </c>
      <c r="Q188" s="3">
        <f>Q184+Q180+Q176</f>
        <v>0</v>
      </c>
      <c r="R188" s="3">
        <f t="shared" ref="R188:T189" si="197">R176+R180+R184</f>
        <v>0</v>
      </c>
      <c r="S188" s="26">
        <f t="shared" si="197"/>
        <v>0</v>
      </c>
      <c r="T188" s="4">
        <f t="shared" si="197"/>
        <v>0</v>
      </c>
      <c r="U188" s="3">
        <f>U184+U180+U176</f>
        <v>0</v>
      </c>
      <c r="V188" s="3">
        <f t="shared" ref="V188:X189" si="198">V176+V180+V184</f>
        <v>0</v>
      </c>
      <c r="W188" s="26">
        <f t="shared" si="198"/>
        <v>0</v>
      </c>
      <c r="X188" s="4">
        <f t="shared" si="198"/>
        <v>0</v>
      </c>
      <c r="Y188" s="3">
        <f>Y184+Y180+Y176</f>
        <v>0</v>
      </c>
      <c r="Z188" s="3">
        <f>Z176+Z180+Z184</f>
        <v>0</v>
      </c>
      <c r="AA188" s="26">
        <f t="shared" ref="AA188" si="199">AA176+AA180+AA184</f>
        <v>0</v>
      </c>
      <c r="AB188" s="4">
        <f>AB176+AB180+AB184</f>
        <v>0</v>
      </c>
      <c r="AC188" s="3">
        <f>AC184+AC180+AC176</f>
        <v>0</v>
      </c>
      <c r="AD188" s="3">
        <f>AD176+AD180+AD184</f>
        <v>0</v>
      </c>
      <c r="AE188" s="26">
        <f t="shared" ref="AE188" si="200">AE176+AE180+AE184</f>
        <v>0</v>
      </c>
      <c r="AF188" s="4">
        <f>AF176+AF180+AF184</f>
        <v>0</v>
      </c>
      <c r="AG188" s="3">
        <f>AG184+AG180+AG176</f>
        <v>0</v>
      </c>
      <c r="AH188" s="3">
        <f>AH176+AH180+AH184</f>
        <v>0</v>
      </c>
      <c r="AI188" s="26">
        <f t="shared" ref="AI188" si="201">AI176+AI180+AI184</f>
        <v>0</v>
      </c>
      <c r="AJ188" s="4">
        <f>AJ176+AJ180+AJ184</f>
        <v>0</v>
      </c>
      <c r="AK188" s="3">
        <f>AK184+AK180+AK176</f>
        <v>0</v>
      </c>
      <c r="AL188" s="3">
        <f>AL176+AL180+AL184</f>
        <v>0</v>
      </c>
      <c r="AM188" s="26">
        <f t="shared" ref="AM188" si="202">AM176+AM180+AM184</f>
        <v>0</v>
      </c>
      <c r="AN188" s="4">
        <f>AN176+AN180+AN184</f>
        <v>0</v>
      </c>
      <c r="AO188" s="3">
        <f>AO184+AO180+AO176</f>
        <v>0</v>
      </c>
      <c r="AP188" s="3">
        <f>AP176+AP180+AP184</f>
        <v>0</v>
      </c>
      <c r="AQ188" s="26">
        <f t="shared" ref="AQ188:AR188" si="203">AQ176+AQ180+AQ184</f>
        <v>0</v>
      </c>
      <c r="AR188" s="4">
        <f t="shared" si="203"/>
        <v>0</v>
      </c>
      <c r="AS188" s="3">
        <f>AS184+AS180+AS176</f>
        <v>0</v>
      </c>
      <c r="AT188" s="3">
        <f>AT176+AT180+AT184</f>
        <v>0</v>
      </c>
      <c r="AU188" s="26">
        <f>AU176+AU180+AU184</f>
        <v>0</v>
      </c>
    </row>
    <row r="189" spans="2:47">
      <c r="B189" s="460"/>
      <c r="C189" s="10" t="s">
        <v>9</v>
      </c>
      <c r="D189" s="4">
        <f>D177+D181+D185</f>
        <v>0</v>
      </c>
      <c r="E189" s="3">
        <f>E185+E181+E177</f>
        <v>0</v>
      </c>
      <c r="F189" s="3">
        <f>F177+F181+F185</f>
        <v>0</v>
      </c>
      <c r="G189" s="95"/>
      <c r="H189" s="4">
        <f>H177+H181+H185</f>
        <v>0</v>
      </c>
      <c r="I189" s="3">
        <f>I185+I181+I177</f>
        <v>0</v>
      </c>
      <c r="J189" s="3">
        <f>J177+J181+J185</f>
        <v>0</v>
      </c>
      <c r="K189" s="95"/>
      <c r="L189" s="4">
        <f>L177+L181+L185</f>
        <v>0</v>
      </c>
      <c r="M189" s="3">
        <f>M185+M181+M177</f>
        <v>0</v>
      </c>
      <c r="N189" s="3">
        <f t="shared" si="196"/>
        <v>0</v>
      </c>
      <c r="O189" s="26">
        <f t="shared" si="196"/>
        <v>0</v>
      </c>
      <c r="P189" s="4">
        <f t="shared" si="196"/>
        <v>0</v>
      </c>
      <c r="Q189" s="3">
        <f>Q185+Q181+Q177</f>
        <v>0</v>
      </c>
      <c r="R189" s="3">
        <f t="shared" si="197"/>
        <v>0</v>
      </c>
      <c r="S189" s="26">
        <f t="shared" si="197"/>
        <v>0</v>
      </c>
      <c r="T189" s="4">
        <f t="shared" si="197"/>
        <v>0</v>
      </c>
      <c r="U189" s="3">
        <f>U185+U181+U177</f>
        <v>0</v>
      </c>
      <c r="V189" s="3">
        <f t="shared" si="198"/>
        <v>0</v>
      </c>
      <c r="W189" s="26">
        <f t="shared" si="198"/>
        <v>0</v>
      </c>
      <c r="X189" s="4">
        <f t="shared" si="198"/>
        <v>0</v>
      </c>
      <c r="Y189" s="3">
        <f>Y185+Y181+Y177</f>
        <v>0</v>
      </c>
      <c r="Z189" s="3">
        <f>Z177+Z181+Z185</f>
        <v>0</v>
      </c>
      <c r="AA189" s="26">
        <f t="shared" ref="AA189" si="204">AA177+AA181+AA185</f>
        <v>0</v>
      </c>
      <c r="AB189" s="4">
        <f>AB177+AB181+AB185</f>
        <v>0</v>
      </c>
      <c r="AC189" s="3">
        <f>AC185+AC181+AC177</f>
        <v>0</v>
      </c>
      <c r="AD189" s="3">
        <f>AD177+AD181+AD185</f>
        <v>0</v>
      </c>
      <c r="AE189" s="26">
        <f t="shared" ref="AE189" si="205">AE177+AE181+AE185</f>
        <v>0</v>
      </c>
      <c r="AF189" s="4">
        <f>AF177+AF181+AF185</f>
        <v>0</v>
      </c>
      <c r="AG189" s="3">
        <f>AG185+AG181+AG177</f>
        <v>0</v>
      </c>
      <c r="AH189" s="3">
        <f>AH177+AH181+AH185</f>
        <v>0</v>
      </c>
      <c r="AI189" s="26">
        <f t="shared" ref="AI189" si="206">AI177+AI181+AI185</f>
        <v>0</v>
      </c>
      <c r="AJ189" s="4">
        <f>AJ177+AJ181+AJ185</f>
        <v>0</v>
      </c>
      <c r="AK189" s="3">
        <f>AK185+AK181+AK177</f>
        <v>0</v>
      </c>
      <c r="AL189" s="3">
        <f>AL177+AL181+AL185</f>
        <v>0</v>
      </c>
      <c r="AM189" s="26">
        <f t="shared" ref="AM189" si="207">AM177+AM181+AM185</f>
        <v>0</v>
      </c>
      <c r="AN189" s="4">
        <f>AN177+AN181+AN185</f>
        <v>0</v>
      </c>
      <c r="AO189" s="3">
        <f>AO185+AO181+AO177</f>
        <v>0</v>
      </c>
      <c r="AP189" s="3">
        <f>AP177+AP181+AP185</f>
        <v>0</v>
      </c>
      <c r="AQ189" s="26">
        <f t="shared" ref="AQ189:AR189" si="208">AQ177+AQ181+AQ185</f>
        <v>0</v>
      </c>
      <c r="AR189" s="4">
        <f t="shared" si="208"/>
        <v>0</v>
      </c>
      <c r="AS189" s="3">
        <f>AS185+AS181+AS177</f>
        <v>0</v>
      </c>
      <c r="AT189" s="3">
        <f>AT177+AT181+AT185</f>
        <v>0</v>
      </c>
      <c r="AU189" s="26">
        <f>AU177+AU181+AU185</f>
        <v>0</v>
      </c>
    </row>
    <row r="190" spans="2:47">
      <c r="B190" s="461"/>
      <c r="C190" s="11" t="s">
        <v>10</v>
      </c>
      <c r="D190" s="4">
        <f>SUM(D188:D189)</f>
        <v>0</v>
      </c>
      <c r="E190" s="3">
        <f>SUM(E188:E189)</f>
        <v>0</v>
      </c>
      <c r="F190" s="3">
        <f>SUM(F188:F189)</f>
        <v>0</v>
      </c>
      <c r="G190" s="26">
        <f>G178+G182+G186</f>
        <v>0</v>
      </c>
      <c r="H190" s="4">
        <f>SUM(H188:H189)</f>
        <v>0</v>
      </c>
      <c r="I190" s="3">
        <f>SUM(I188:I189)</f>
        <v>0</v>
      </c>
      <c r="J190" s="3">
        <f>SUM(J188:J189)</f>
        <v>0</v>
      </c>
      <c r="K190" s="26">
        <f>K178+K182+K186</f>
        <v>0</v>
      </c>
      <c r="L190" s="4">
        <f t="shared" ref="L190:AQ190" si="209">SUM(L188:L189)</f>
        <v>0</v>
      </c>
      <c r="M190" s="3">
        <f t="shared" si="209"/>
        <v>0</v>
      </c>
      <c r="N190" s="3">
        <f t="shared" si="209"/>
        <v>0</v>
      </c>
      <c r="O190" s="26">
        <f t="shared" si="209"/>
        <v>0</v>
      </c>
      <c r="P190" s="4">
        <f t="shared" si="209"/>
        <v>0</v>
      </c>
      <c r="Q190" s="3">
        <f t="shared" si="209"/>
        <v>0</v>
      </c>
      <c r="R190" s="3">
        <f t="shared" si="209"/>
        <v>0</v>
      </c>
      <c r="S190" s="26">
        <f t="shared" si="209"/>
        <v>0</v>
      </c>
      <c r="T190" s="4">
        <f t="shared" si="209"/>
        <v>0</v>
      </c>
      <c r="U190" s="3">
        <f t="shared" si="209"/>
        <v>0</v>
      </c>
      <c r="V190" s="3">
        <f t="shared" si="209"/>
        <v>0</v>
      </c>
      <c r="W190" s="26">
        <f t="shared" si="209"/>
        <v>0</v>
      </c>
      <c r="X190" s="4">
        <f t="shared" si="209"/>
        <v>0</v>
      </c>
      <c r="Y190" s="3">
        <f t="shared" si="209"/>
        <v>0</v>
      </c>
      <c r="Z190" s="3">
        <f t="shared" si="209"/>
        <v>0</v>
      </c>
      <c r="AA190" s="26">
        <f t="shared" si="209"/>
        <v>0</v>
      </c>
      <c r="AB190" s="4">
        <f t="shared" si="209"/>
        <v>0</v>
      </c>
      <c r="AC190" s="3">
        <f t="shared" si="209"/>
        <v>0</v>
      </c>
      <c r="AD190" s="3">
        <f t="shared" si="209"/>
        <v>0</v>
      </c>
      <c r="AE190" s="26">
        <f t="shared" si="209"/>
        <v>0</v>
      </c>
      <c r="AF190" s="4">
        <f t="shared" si="209"/>
        <v>0</v>
      </c>
      <c r="AG190" s="3">
        <f t="shared" si="209"/>
        <v>0</v>
      </c>
      <c r="AH190" s="3">
        <f t="shared" si="209"/>
        <v>0</v>
      </c>
      <c r="AI190" s="26">
        <f t="shared" si="209"/>
        <v>0</v>
      </c>
      <c r="AJ190" s="4">
        <f t="shared" si="209"/>
        <v>0</v>
      </c>
      <c r="AK190" s="3">
        <f t="shared" si="209"/>
        <v>0</v>
      </c>
      <c r="AL190" s="3">
        <f t="shared" si="209"/>
        <v>0</v>
      </c>
      <c r="AM190" s="26">
        <f t="shared" si="209"/>
        <v>0</v>
      </c>
      <c r="AN190" s="4">
        <f t="shared" si="209"/>
        <v>0</v>
      </c>
      <c r="AO190" s="3">
        <f t="shared" si="209"/>
        <v>0</v>
      </c>
      <c r="AP190" s="3">
        <f t="shared" si="209"/>
        <v>0</v>
      </c>
      <c r="AQ190" s="26">
        <f t="shared" si="209"/>
        <v>0</v>
      </c>
      <c r="AR190" s="4">
        <f>SUM(AR188:AR189)</f>
        <v>0</v>
      </c>
      <c r="AS190" s="3">
        <f>SUM(AS188:AS189)</f>
        <v>0</v>
      </c>
      <c r="AT190" s="402">
        <f>AT186+AT182+AT178</f>
        <v>0</v>
      </c>
      <c r="AU190" s="26">
        <f>SUM(AU188:AU189)</f>
        <v>0</v>
      </c>
    </row>
    <row r="191" spans="2:47" ht="21.75" customHeight="1">
      <c r="B191" s="7"/>
      <c r="C191" s="71" t="s">
        <v>15</v>
      </c>
      <c r="D191" s="114"/>
      <c r="E191" s="114"/>
      <c r="F191" s="3">
        <f>E191/24</f>
        <v>0</v>
      </c>
      <c r="G191" s="27"/>
      <c r="H191" s="114"/>
      <c r="I191" s="114"/>
      <c r="J191" s="3">
        <f>I191/24</f>
        <v>0</v>
      </c>
      <c r="K191" s="27"/>
      <c r="L191" s="114"/>
      <c r="M191" s="114"/>
      <c r="N191" s="3">
        <f>M191/24</f>
        <v>0</v>
      </c>
      <c r="O191" s="27"/>
      <c r="P191" s="114"/>
      <c r="Q191" s="114"/>
      <c r="R191" s="3">
        <f>Q191/24</f>
        <v>0</v>
      </c>
      <c r="S191" s="27"/>
      <c r="T191" s="114"/>
      <c r="U191" s="114"/>
      <c r="V191" s="3">
        <f>U191/24</f>
        <v>0</v>
      </c>
      <c r="W191" s="27"/>
      <c r="X191" s="114"/>
      <c r="Y191" s="114"/>
      <c r="Z191" s="3">
        <f>Y191/24</f>
        <v>0</v>
      </c>
      <c r="AA191" s="27"/>
      <c r="AB191" s="114"/>
      <c r="AC191" s="114"/>
      <c r="AD191" s="3">
        <f>AC191/24</f>
        <v>0</v>
      </c>
      <c r="AE191" s="27"/>
      <c r="AF191" s="114"/>
      <c r="AG191" s="114"/>
      <c r="AH191" s="3">
        <f>AG191/24</f>
        <v>0</v>
      </c>
      <c r="AI191" s="27"/>
      <c r="AJ191" s="114"/>
      <c r="AK191" s="114"/>
      <c r="AL191" s="3">
        <f>AK191/24</f>
        <v>0</v>
      </c>
      <c r="AM191" s="27"/>
      <c r="AN191" s="114"/>
      <c r="AO191" s="114"/>
      <c r="AP191" s="3">
        <f>AO191/24</f>
        <v>0</v>
      </c>
      <c r="AQ191" s="27"/>
      <c r="AR191" s="2"/>
      <c r="AS191" s="2"/>
      <c r="AT191" s="3">
        <f>AS191/24</f>
        <v>0</v>
      </c>
      <c r="AU191" s="29"/>
    </row>
    <row r="192" spans="2:47" ht="24.75" customHeight="1">
      <c r="B192" s="21" t="s">
        <v>22</v>
      </c>
      <c r="D192" s="5"/>
      <c r="E192" s="6"/>
      <c r="H192" s="5"/>
      <c r="I192" s="6"/>
      <c r="L192" s="5"/>
      <c r="M192" s="6"/>
      <c r="P192" s="5"/>
      <c r="Q192" s="6"/>
      <c r="T192" s="5"/>
      <c r="U192" s="6"/>
      <c r="X192" s="5"/>
      <c r="Y192" s="6"/>
      <c r="AA192" s="6"/>
      <c r="AB192" s="6"/>
      <c r="AC192" s="6"/>
      <c r="AE192" s="6"/>
      <c r="AF192" s="6"/>
      <c r="AG192" s="6"/>
      <c r="AI192" s="6"/>
      <c r="AJ192" s="5"/>
      <c r="AK192" s="6"/>
      <c r="AN192" s="5"/>
      <c r="AO192" s="6"/>
      <c r="AR192" s="5"/>
      <c r="AS192" s="6"/>
    </row>
    <row r="193" spans="2:47" ht="15">
      <c r="B193" s="28" t="s">
        <v>264</v>
      </c>
      <c r="D193" s="5"/>
      <c r="E193" s="6"/>
      <c r="G193" s="27"/>
      <c r="H193" s="5"/>
      <c r="I193" s="6"/>
      <c r="K193" s="27"/>
      <c r="L193" s="5"/>
      <c r="M193" s="6"/>
      <c r="O193" s="27"/>
      <c r="P193" s="5"/>
      <c r="Q193" s="6"/>
      <c r="S193" s="27"/>
      <c r="T193" s="5"/>
      <c r="U193" s="6"/>
      <c r="W193" s="27"/>
      <c r="X193" s="5"/>
      <c r="Y193" s="6"/>
      <c r="AA193" s="27">
        <v>31811.38</v>
      </c>
      <c r="AB193" s="5"/>
      <c r="AC193" s="6"/>
      <c r="AE193" s="27">
        <v>34044.5</v>
      </c>
      <c r="AF193" s="5"/>
      <c r="AG193" s="6"/>
      <c r="AI193" s="27">
        <v>310627</v>
      </c>
      <c r="AJ193" s="5"/>
      <c r="AK193" s="6"/>
      <c r="AM193" s="27">
        <v>28630</v>
      </c>
      <c r="AN193" s="5"/>
      <c r="AO193" s="6"/>
      <c r="AQ193" s="27">
        <v>89451</v>
      </c>
      <c r="AR193" s="5"/>
      <c r="AS193" s="6"/>
      <c r="AU193" s="29">
        <v>140047</v>
      </c>
    </row>
    <row r="194" spans="2:47" ht="15">
      <c r="B194" s="28" t="s">
        <v>265</v>
      </c>
      <c r="D194" s="5"/>
      <c r="E194" s="6"/>
      <c r="G194" s="27"/>
      <c r="H194" s="5"/>
      <c r="I194" s="6"/>
      <c r="K194" s="27"/>
      <c r="L194" s="5"/>
      <c r="M194" s="6"/>
      <c r="O194" s="27"/>
      <c r="P194" s="5"/>
      <c r="Q194" s="6"/>
      <c r="S194" s="27"/>
      <c r="T194" s="5"/>
      <c r="U194" s="6"/>
      <c r="W194" s="27"/>
      <c r="X194" s="5"/>
      <c r="Y194" s="6"/>
      <c r="AA194" s="27">
        <f>2300078+2299835</f>
        <v>4599913</v>
      </c>
      <c r="AB194" s="5"/>
      <c r="AC194" s="6"/>
      <c r="AE194" s="27">
        <f>28571+673415.19+1692042.56+2299418.12+3404+1949.25+1204</f>
        <v>4700004.12</v>
      </c>
      <c r="AF194" s="5"/>
      <c r="AG194" s="6"/>
      <c r="AI194" s="27">
        <v>5681600</v>
      </c>
      <c r="AJ194" s="5"/>
      <c r="AK194" s="6"/>
      <c r="AM194" s="27">
        <v>5862667.2999999998</v>
      </c>
      <c r="AN194" s="5"/>
      <c r="AO194" s="6"/>
      <c r="AQ194" s="27">
        <f>2799472+3459501</f>
        <v>6258973</v>
      </c>
      <c r="AR194" s="5"/>
      <c r="AS194" s="6"/>
      <c r="AU194" s="29">
        <v>5853932</v>
      </c>
    </row>
    <row r="195" spans="2:47" ht="15">
      <c r="B195" s="28" t="s">
        <v>23</v>
      </c>
      <c r="D195" s="5"/>
      <c r="E195" s="6"/>
      <c r="G195" s="26">
        <f>G190-G193-G194</f>
        <v>0</v>
      </c>
      <c r="H195" s="5"/>
      <c r="I195" s="6"/>
      <c r="K195" s="26">
        <f>K190-K193-K194</f>
        <v>0</v>
      </c>
      <c r="L195" s="5"/>
      <c r="M195" s="6"/>
      <c r="O195" s="26">
        <f>O190-O193-O194</f>
        <v>0</v>
      </c>
      <c r="P195" s="5"/>
      <c r="Q195" s="6"/>
      <c r="S195" s="26">
        <f>S190-S193-S194</f>
        <v>0</v>
      </c>
      <c r="T195" s="5"/>
      <c r="U195" s="6"/>
      <c r="W195" s="26">
        <f>W190-W193-W194</f>
        <v>0</v>
      </c>
      <c r="X195" s="5"/>
      <c r="Y195" s="6"/>
      <c r="AA195" s="26">
        <f>AA190-AA193-AA194</f>
        <v>-4631724.38</v>
      </c>
      <c r="AB195" s="5"/>
      <c r="AC195" s="6"/>
      <c r="AE195" s="26">
        <f>AE190-AE193-AE194</f>
        <v>-4734048.62</v>
      </c>
      <c r="AF195" s="5"/>
      <c r="AG195" s="6"/>
      <c r="AI195" s="26">
        <f>AI190-AI193-AI194</f>
        <v>-5992227</v>
      </c>
      <c r="AJ195" s="5"/>
      <c r="AK195" s="6"/>
      <c r="AM195" s="26">
        <f>AM190-AM193-AM194</f>
        <v>-5891297.2999999998</v>
      </c>
      <c r="AN195" s="5"/>
      <c r="AO195" s="6"/>
      <c r="AQ195" s="26">
        <f>AQ190-AQ193-AQ194</f>
        <v>-6348424</v>
      </c>
      <c r="AR195" s="5"/>
      <c r="AS195" s="6"/>
      <c r="AU195" s="26">
        <f>AU190-AU193-AU194</f>
        <v>-5993979</v>
      </c>
    </row>
    <row r="196" spans="2:47">
      <c r="D196" s="7"/>
      <c r="E196" s="7"/>
      <c r="F196" s="53"/>
      <c r="G196" s="25"/>
      <c r="H196" s="14"/>
      <c r="I196" s="7"/>
      <c r="J196" s="53"/>
      <c r="K196" s="25"/>
      <c r="L196" s="14"/>
      <c r="M196" s="7"/>
      <c r="N196" s="53"/>
      <c r="O196" s="25"/>
      <c r="P196" s="14"/>
      <c r="Q196" s="7"/>
      <c r="R196" s="53"/>
      <c r="S196" s="25"/>
      <c r="T196" s="14"/>
      <c r="U196" s="7"/>
      <c r="V196" s="53"/>
      <c r="W196" s="25"/>
      <c r="X196" s="14"/>
      <c r="Y196" s="7"/>
      <c r="Z196" s="53"/>
      <c r="AA196" s="25"/>
      <c r="AB196" s="14"/>
      <c r="AC196" s="7"/>
      <c r="AD196" s="53"/>
      <c r="AE196" s="25"/>
      <c r="AF196" s="14"/>
      <c r="AG196" s="7"/>
      <c r="AH196" s="53"/>
      <c r="AI196" s="25"/>
      <c r="AJ196" s="14"/>
      <c r="AK196" s="7"/>
      <c r="AL196" s="53"/>
      <c r="AM196" s="25"/>
      <c r="AN196" s="14"/>
      <c r="AO196" s="7"/>
      <c r="AP196" s="53"/>
      <c r="AQ196" s="25"/>
      <c r="AR196" s="14"/>
      <c r="AS196" s="7"/>
      <c r="AT196" s="53"/>
      <c r="AU196" s="25"/>
    </row>
    <row r="197" spans="2:47">
      <c r="B197" s="12"/>
      <c r="C197" s="12"/>
      <c r="D197" s="12"/>
      <c r="E197" s="12"/>
      <c r="F197" s="54"/>
      <c r="G197" s="24"/>
      <c r="H197" s="13"/>
      <c r="I197" s="12"/>
      <c r="J197" s="54"/>
      <c r="K197" s="24"/>
      <c r="L197" s="13"/>
      <c r="M197" s="12"/>
      <c r="N197" s="54"/>
      <c r="O197" s="24"/>
      <c r="P197" s="13"/>
      <c r="Q197" s="12"/>
      <c r="R197" s="54"/>
      <c r="S197" s="24"/>
      <c r="T197" s="13"/>
      <c r="U197" s="12"/>
      <c r="V197" s="54"/>
      <c r="W197" s="24"/>
      <c r="X197" s="13"/>
      <c r="Y197" s="12"/>
      <c r="Z197" s="54"/>
      <c r="AA197" s="24"/>
      <c r="AB197" s="13"/>
      <c r="AC197" s="12"/>
      <c r="AD197" s="54"/>
      <c r="AE197" s="24"/>
      <c r="AF197" s="13"/>
      <c r="AG197" s="12"/>
      <c r="AH197" s="54"/>
      <c r="AI197" s="24"/>
      <c r="AJ197" s="13"/>
      <c r="AK197" s="12"/>
      <c r="AL197" s="54"/>
      <c r="AM197" s="24"/>
      <c r="AN197" s="13"/>
      <c r="AO197" s="12"/>
      <c r="AP197" s="54"/>
      <c r="AQ197" s="24"/>
      <c r="AR197" s="13"/>
      <c r="AS197" s="12"/>
      <c r="AT197" s="54"/>
      <c r="AU197" s="24"/>
    </row>
    <row r="198" spans="2:47">
      <c r="B198" s="12"/>
      <c r="C198" s="12"/>
      <c r="D198" s="12"/>
      <c r="E198" s="12"/>
      <c r="F198" s="54"/>
      <c r="G198" s="24"/>
      <c r="H198" s="13"/>
      <c r="I198" s="12"/>
      <c r="J198" s="54"/>
      <c r="K198" s="24"/>
      <c r="L198" s="13"/>
      <c r="M198" s="12"/>
      <c r="N198" s="54"/>
      <c r="O198" s="24"/>
      <c r="P198" s="13"/>
      <c r="Q198" s="12"/>
      <c r="R198" s="54"/>
      <c r="S198" s="24"/>
      <c r="T198" s="13"/>
      <c r="U198" s="12"/>
      <c r="V198" s="54"/>
      <c r="W198" s="24"/>
      <c r="X198" s="13"/>
      <c r="Y198" s="12"/>
      <c r="Z198" s="54"/>
      <c r="AA198" s="24"/>
      <c r="AB198" s="13"/>
      <c r="AC198" s="12"/>
      <c r="AD198" s="54"/>
      <c r="AE198" s="24"/>
      <c r="AF198" s="13"/>
      <c r="AG198" s="12"/>
      <c r="AH198" s="54"/>
      <c r="AI198" s="24"/>
      <c r="AJ198" s="13"/>
      <c r="AK198" s="12"/>
      <c r="AL198" s="54"/>
      <c r="AM198" s="24"/>
      <c r="AN198" s="13"/>
      <c r="AO198" s="12"/>
      <c r="AP198" s="54"/>
      <c r="AQ198" s="24"/>
      <c r="AR198" s="13"/>
      <c r="AS198" s="12"/>
      <c r="AT198" s="54"/>
      <c r="AU198" s="24"/>
    </row>
    <row r="199" spans="2:47">
      <c r="B199" s="7"/>
      <c r="C199" s="7"/>
      <c r="D199" s="7"/>
      <c r="E199" s="7"/>
      <c r="F199" s="53"/>
      <c r="G199" s="25"/>
      <c r="H199" s="14"/>
      <c r="I199" s="7"/>
      <c r="J199" s="53"/>
      <c r="K199" s="25"/>
      <c r="L199" s="14"/>
      <c r="M199" s="7"/>
      <c r="N199" s="53"/>
      <c r="O199" s="25"/>
      <c r="P199" s="14"/>
      <c r="Q199" s="7"/>
      <c r="R199" s="53"/>
      <c r="S199" s="25"/>
      <c r="T199" s="14"/>
      <c r="U199" s="7"/>
      <c r="V199" s="53"/>
      <c r="W199" s="25"/>
      <c r="X199" s="14"/>
      <c r="Y199" s="7"/>
      <c r="Z199" s="53"/>
      <c r="AA199" s="25"/>
      <c r="AB199" s="14"/>
      <c r="AC199" s="7"/>
      <c r="AD199" s="53"/>
      <c r="AE199" s="25"/>
      <c r="AF199" s="14"/>
      <c r="AG199" s="7"/>
      <c r="AH199" s="53"/>
      <c r="AI199" s="25"/>
      <c r="AJ199" s="14"/>
      <c r="AK199" s="7"/>
      <c r="AL199" s="53"/>
      <c r="AM199" s="25"/>
      <c r="AN199" s="14"/>
      <c r="AO199" s="7"/>
      <c r="AP199" s="53"/>
      <c r="AQ199" s="25"/>
      <c r="AR199" s="14"/>
      <c r="AS199" s="7"/>
      <c r="AT199" s="53"/>
      <c r="AU199" s="25"/>
    </row>
    <row r="200" spans="2:47" ht="20.25">
      <c r="B200" s="468" t="s">
        <v>270</v>
      </c>
      <c r="C200" s="469"/>
      <c r="D200" s="422" t="str">
        <f>D$2</f>
        <v>2012-13</v>
      </c>
      <c r="E200" s="423"/>
      <c r="F200" s="423"/>
      <c r="G200" s="424"/>
      <c r="H200" s="425" t="str">
        <f>H$2</f>
        <v>2013-14</v>
      </c>
      <c r="I200" s="426"/>
      <c r="J200" s="426"/>
      <c r="K200" s="427"/>
      <c r="L200" s="428" t="str">
        <f>L$2</f>
        <v>2014-15</v>
      </c>
      <c r="M200" s="429"/>
      <c r="N200" s="429"/>
      <c r="O200" s="430"/>
      <c r="P200" s="431" t="str">
        <f>P$2</f>
        <v>2015-16</v>
      </c>
      <c r="Q200" s="432"/>
      <c r="R200" s="432"/>
      <c r="S200" s="433"/>
      <c r="T200" s="434" t="str">
        <f>T$2</f>
        <v>2016-17</v>
      </c>
      <c r="U200" s="435"/>
      <c r="V200" s="435"/>
      <c r="W200" s="436"/>
      <c r="X200" s="437" t="str">
        <f>X$2</f>
        <v>2017-18</v>
      </c>
      <c r="Y200" s="438"/>
      <c r="Z200" s="438"/>
      <c r="AA200" s="439"/>
      <c r="AB200" s="422" t="str">
        <f>AB$2</f>
        <v>2018-19</v>
      </c>
      <c r="AC200" s="423"/>
      <c r="AD200" s="423"/>
      <c r="AE200" s="424"/>
      <c r="AF200" s="425" t="str">
        <f>AF$2</f>
        <v>2019-20</v>
      </c>
      <c r="AG200" s="426"/>
      <c r="AH200" s="426"/>
      <c r="AI200" s="427"/>
      <c r="AJ200" s="428" t="str">
        <f>AJ$2</f>
        <v>2020-21</v>
      </c>
      <c r="AK200" s="429"/>
      <c r="AL200" s="429"/>
      <c r="AM200" s="430"/>
      <c r="AN200" s="431" t="str">
        <f>AN$2</f>
        <v>2021-22</v>
      </c>
      <c r="AO200" s="432"/>
      <c r="AP200" s="432"/>
      <c r="AQ200" s="433"/>
      <c r="AR200" s="434" t="str">
        <f>AR$2</f>
        <v>2022-23</v>
      </c>
      <c r="AS200" s="435"/>
      <c r="AT200" s="435"/>
      <c r="AU200" s="436"/>
    </row>
    <row r="201" spans="2:47" ht="14.25" customHeight="1">
      <c r="D201" s="462" t="s">
        <v>2</v>
      </c>
      <c r="E201" s="465" t="s">
        <v>3</v>
      </c>
      <c r="F201" s="453" t="s">
        <v>4</v>
      </c>
      <c r="G201" s="456" t="s">
        <v>21</v>
      </c>
      <c r="H201" s="462" t="s">
        <v>2</v>
      </c>
      <c r="I201" s="465" t="s">
        <v>3</v>
      </c>
      <c r="J201" s="453" t="s">
        <v>4</v>
      </c>
      <c r="K201" s="456" t="s">
        <v>21</v>
      </c>
      <c r="L201" s="462" t="s">
        <v>2</v>
      </c>
      <c r="M201" s="465" t="s">
        <v>3</v>
      </c>
      <c r="N201" s="453" t="s">
        <v>4</v>
      </c>
      <c r="O201" s="456" t="s">
        <v>21</v>
      </c>
      <c r="P201" s="462" t="s">
        <v>2</v>
      </c>
      <c r="Q201" s="465" t="s">
        <v>3</v>
      </c>
      <c r="R201" s="453" t="s">
        <v>4</v>
      </c>
      <c r="S201" s="456" t="s">
        <v>21</v>
      </c>
      <c r="T201" s="462" t="s">
        <v>2</v>
      </c>
      <c r="U201" s="465" t="s">
        <v>3</v>
      </c>
      <c r="V201" s="453" t="s">
        <v>4</v>
      </c>
      <c r="W201" s="456" t="s">
        <v>21</v>
      </c>
      <c r="X201" s="462" t="s">
        <v>2</v>
      </c>
      <c r="Y201" s="465" t="s">
        <v>3</v>
      </c>
      <c r="Z201" s="453" t="s">
        <v>4</v>
      </c>
      <c r="AA201" s="456" t="s">
        <v>21</v>
      </c>
      <c r="AB201" s="462" t="s">
        <v>2</v>
      </c>
      <c r="AC201" s="465" t="s">
        <v>3</v>
      </c>
      <c r="AD201" s="453" t="s">
        <v>4</v>
      </c>
      <c r="AE201" s="456" t="s">
        <v>21</v>
      </c>
      <c r="AF201" s="462" t="s">
        <v>2</v>
      </c>
      <c r="AG201" s="465" t="s">
        <v>3</v>
      </c>
      <c r="AH201" s="453" t="s">
        <v>4</v>
      </c>
      <c r="AI201" s="456" t="s">
        <v>21</v>
      </c>
      <c r="AJ201" s="462" t="s">
        <v>2</v>
      </c>
      <c r="AK201" s="465" t="s">
        <v>3</v>
      </c>
      <c r="AL201" s="453" t="s">
        <v>4</v>
      </c>
      <c r="AM201" s="456" t="s">
        <v>21</v>
      </c>
      <c r="AN201" s="462" t="s">
        <v>2</v>
      </c>
      <c r="AO201" s="465" t="s">
        <v>3</v>
      </c>
      <c r="AP201" s="453" t="s">
        <v>4</v>
      </c>
      <c r="AQ201" s="456" t="s">
        <v>21</v>
      </c>
      <c r="AR201" s="462" t="s">
        <v>2</v>
      </c>
      <c r="AS201" s="465" t="s">
        <v>3</v>
      </c>
      <c r="AT201" s="453" t="s">
        <v>4</v>
      </c>
      <c r="AU201" s="456" t="s">
        <v>21</v>
      </c>
    </row>
    <row r="202" spans="2:47">
      <c r="B202" s="7"/>
      <c r="C202" s="7"/>
      <c r="D202" s="463"/>
      <c r="E202" s="466"/>
      <c r="F202" s="454"/>
      <c r="G202" s="457"/>
      <c r="H202" s="463"/>
      <c r="I202" s="466"/>
      <c r="J202" s="454"/>
      <c r="K202" s="457"/>
      <c r="L202" s="463"/>
      <c r="M202" s="466"/>
      <c r="N202" s="454"/>
      <c r="O202" s="457"/>
      <c r="P202" s="463"/>
      <c r="Q202" s="466"/>
      <c r="R202" s="454"/>
      <c r="S202" s="457"/>
      <c r="T202" s="463"/>
      <c r="U202" s="466"/>
      <c r="V202" s="454"/>
      <c r="W202" s="457"/>
      <c r="X202" s="463"/>
      <c r="Y202" s="466"/>
      <c r="Z202" s="454"/>
      <c r="AA202" s="457"/>
      <c r="AB202" s="463"/>
      <c r="AC202" s="466"/>
      <c r="AD202" s="454"/>
      <c r="AE202" s="457"/>
      <c r="AF202" s="463"/>
      <c r="AG202" s="466"/>
      <c r="AH202" s="454"/>
      <c r="AI202" s="457"/>
      <c r="AJ202" s="463"/>
      <c r="AK202" s="466"/>
      <c r="AL202" s="454"/>
      <c r="AM202" s="457"/>
      <c r="AN202" s="463"/>
      <c r="AO202" s="466"/>
      <c r="AP202" s="454"/>
      <c r="AQ202" s="457"/>
      <c r="AR202" s="463"/>
      <c r="AS202" s="466"/>
      <c r="AT202" s="454"/>
      <c r="AU202" s="457"/>
    </row>
    <row r="203" spans="2:47">
      <c r="B203" s="144" t="s">
        <v>5</v>
      </c>
      <c r="C203" s="144" t="s">
        <v>6</v>
      </c>
      <c r="D203" s="464"/>
      <c r="E203" s="467"/>
      <c r="F203" s="455"/>
      <c r="G203" s="458"/>
      <c r="H203" s="464"/>
      <c r="I203" s="467"/>
      <c r="J203" s="455"/>
      <c r="K203" s="458"/>
      <c r="L203" s="464"/>
      <c r="M203" s="467"/>
      <c r="N203" s="455"/>
      <c r="O203" s="458"/>
      <c r="P203" s="464"/>
      <c r="Q203" s="467"/>
      <c r="R203" s="455"/>
      <c r="S203" s="458"/>
      <c r="T203" s="464"/>
      <c r="U203" s="467"/>
      <c r="V203" s="455"/>
      <c r="W203" s="458"/>
      <c r="X203" s="464"/>
      <c r="Y203" s="467"/>
      <c r="Z203" s="455"/>
      <c r="AA203" s="458"/>
      <c r="AB203" s="464"/>
      <c r="AC203" s="467"/>
      <c r="AD203" s="455"/>
      <c r="AE203" s="458"/>
      <c r="AF203" s="464"/>
      <c r="AG203" s="467"/>
      <c r="AH203" s="455"/>
      <c r="AI203" s="458"/>
      <c r="AJ203" s="464"/>
      <c r="AK203" s="467"/>
      <c r="AL203" s="455"/>
      <c r="AM203" s="458"/>
      <c r="AN203" s="464"/>
      <c r="AO203" s="467"/>
      <c r="AP203" s="455"/>
      <c r="AQ203" s="458"/>
      <c r="AR203" s="464"/>
      <c r="AS203" s="467"/>
      <c r="AT203" s="455"/>
      <c r="AU203" s="458"/>
    </row>
    <row r="204" spans="2:47">
      <c r="B204" s="459" t="s">
        <v>7</v>
      </c>
      <c r="C204" s="10" t="s">
        <v>8</v>
      </c>
      <c r="D204" s="4">
        <f t="shared" ref="D204:G205" si="210">D147+D119+D91+D63+D34+D6</f>
        <v>0</v>
      </c>
      <c r="E204" s="3">
        <f t="shared" si="210"/>
        <v>22901</v>
      </c>
      <c r="F204" s="3">
        <f t="shared" si="210"/>
        <v>763.36666666666667</v>
      </c>
      <c r="G204" s="26">
        <f t="shared" si="210"/>
        <v>5995492</v>
      </c>
      <c r="H204" s="4">
        <f t="shared" ref="H204:K205" si="211">H147+H119+H91+H63+H34+H6</f>
        <v>0</v>
      </c>
      <c r="I204" s="3">
        <f t="shared" si="211"/>
        <v>23307</v>
      </c>
      <c r="J204" s="3">
        <f t="shared" si="211"/>
        <v>776.9</v>
      </c>
      <c r="K204" s="26">
        <f>K147+K119+K91+K63+K34+K6</f>
        <v>6096798</v>
      </c>
      <c r="L204" s="4">
        <f t="shared" ref="L204:O205" si="212">L147+L119+L91+L63+L34+L6</f>
        <v>742</v>
      </c>
      <c r="M204" s="3">
        <f t="shared" si="212"/>
        <v>23005</v>
      </c>
      <c r="N204" s="3">
        <f t="shared" si="212"/>
        <v>766.83333333333337</v>
      </c>
      <c r="O204" s="26">
        <f>O147+O119+O91+O63+O34+O6</f>
        <v>5999317</v>
      </c>
      <c r="P204" s="4">
        <f t="shared" ref="P204:R206" si="213">P147+P119+P91+P63+P34+P6+P176</f>
        <v>884</v>
      </c>
      <c r="Q204" s="3">
        <f t="shared" si="213"/>
        <v>23557</v>
      </c>
      <c r="R204" s="3">
        <f t="shared" si="213"/>
        <v>785.23333333333335</v>
      </c>
      <c r="S204" s="26">
        <f t="shared" ref="S204" si="214">S147+S119+S91+S63+S34+S6</f>
        <v>6416589</v>
      </c>
      <c r="T204" s="4">
        <f t="shared" ref="T204:V206" si="215">T147+T119+T91+T63+T34+T6+T176</f>
        <v>888</v>
      </c>
      <c r="U204" s="96">
        <f t="shared" si="215"/>
        <v>25009</v>
      </c>
      <c r="V204" s="96">
        <f t="shared" si="215"/>
        <v>833.63333333333333</v>
      </c>
      <c r="W204" s="26">
        <f t="shared" ref="W204" si="216">W147+W119+W91+W63+W34+W6</f>
        <v>6818433</v>
      </c>
      <c r="X204" s="4">
        <f t="shared" ref="X204:Z206" si="217">X147+X119+X91+X63+X34+X6+X176</f>
        <v>942</v>
      </c>
      <c r="Y204" s="3">
        <f t="shared" si="217"/>
        <v>24107</v>
      </c>
      <c r="Z204" s="3">
        <f t="shared" si="217"/>
        <v>803.56666666666672</v>
      </c>
      <c r="AA204" s="26">
        <f t="shared" ref="AA204" si="218">AA147+AA119+AA91+AA63+AA34+AA6</f>
        <v>6844565.75</v>
      </c>
      <c r="AB204" s="4">
        <f t="shared" ref="AB204:AD206" si="219">AB147+AB119+AB91+AB63+AB34+AB6+AB176</f>
        <v>934</v>
      </c>
      <c r="AC204" s="3">
        <f t="shared" si="219"/>
        <v>23894</v>
      </c>
      <c r="AD204" s="3">
        <f t="shared" si="219"/>
        <v>796.4666666666667</v>
      </c>
      <c r="AE204" s="26">
        <f t="shared" ref="AE204" si="220">AE147+AE119+AE91+AE63+AE34+AE6</f>
        <v>8110781</v>
      </c>
      <c r="AF204" s="4">
        <f t="shared" ref="AF204:AH206" si="221">AF147+AF119+AF91+AF63+AF34+AF6+AF176</f>
        <v>1006</v>
      </c>
      <c r="AG204" s="3">
        <f t="shared" si="221"/>
        <v>25885</v>
      </c>
      <c r="AH204" s="3">
        <f>AH147+AH119+AH91+AH63+AH34+AH6+AH176</f>
        <v>862.83333333333326</v>
      </c>
      <c r="AI204" s="26">
        <f t="shared" ref="AI204" si="222">AI147+AI119+AI91+AI63+AI34+AI6</f>
        <v>9109038</v>
      </c>
      <c r="AJ204" s="221">
        <f t="shared" ref="AJ204:AK204" si="223">+AJ176+AJ147+AJ119+AJ91+AJ63+AJ34+AJ6</f>
        <v>1019</v>
      </c>
      <c r="AK204" s="112">
        <f t="shared" si="223"/>
        <v>27021</v>
      </c>
      <c r="AL204" s="96">
        <f>+AL176+AL147+AL119+AL91+AL63+AL34+AL6</f>
        <v>900.7</v>
      </c>
      <c r="AM204" s="26">
        <f>+AM176+AM147+AM119+AM91+AM63+AM34+AM6</f>
        <v>9911244.8000000007</v>
      </c>
      <c r="AN204" s="4">
        <f t="shared" ref="AN204:AP206" si="224">AN147+AN119+AN91+AN63+AN34+AN6+AN176</f>
        <v>984</v>
      </c>
      <c r="AO204" s="112">
        <f t="shared" si="224"/>
        <v>26435</v>
      </c>
      <c r="AP204" s="96">
        <f t="shared" si="224"/>
        <v>881.16666666666663</v>
      </c>
      <c r="AQ204" s="26">
        <f t="shared" ref="AQ204" si="225">AQ147+AQ119+AQ91+AQ63+AQ34+AQ6</f>
        <v>9488029</v>
      </c>
      <c r="AR204" s="4">
        <f t="shared" ref="AR204:AT206" si="226">AR147+AR119+AR91+AR63+AR34+AR6+AR176</f>
        <v>921</v>
      </c>
      <c r="AS204" s="96">
        <f t="shared" si="226"/>
        <v>26189</v>
      </c>
      <c r="AT204" s="96">
        <f t="shared" si="226"/>
        <v>872.9666666666667</v>
      </c>
      <c r="AU204" s="26">
        <f t="shared" ref="AU204" si="227">AU147+AU119+AU91+AU63+AU34+AU6</f>
        <v>8799066.4800000004</v>
      </c>
    </row>
    <row r="205" spans="2:47">
      <c r="B205" s="460"/>
      <c r="C205" s="10" t="s">
        <v>9</v>
      </c>
      <c r="D205" s="4">
        <f t="shared" si="210"/>
        <v>0</v>
      </c>
      <c r="E205" s="3">
        <f t="shared" si="210"/>
        <v>3011</v>
      </c>
      <c r="F205" s="3">
        <f t="shared" si="210"/>
        <v>100.36666666666666</v>
      </c>
      <c r="G205" s="26">
        <f t="shared" si="210"/>
        <v>2755275</v>
      </c>
      <c r="H205" s="4">
        <f t="shared" si="211"/>
        <v>0</v>
      </c>
      <c r="I205" s="3">
        <f t="shared" si="211"/>
        <v>2757</v>
      </c>
      <c r="J205" s="3">
        <f t="shared" si="211"/>
        <v>91.9</v>
      </c>
      <c r="K205" s="26">
        <f t="shared" si="211"/>
        <v>2565375</v>
      </c>
      <c r="L205" s="4">
        <f t="shared" si="212"/>
        <v>108</v>
      </c>
      <c r="M205" s="3">
        <f t="shared" si="212"/>
        <v>2968</v>
      </c>
      <c r="N205" s="3">
        <f t="shared" si="212"/>
        <v>98.933333333333337</v>
      </c>
      <c r="O205" s="26">
        <f t="shared" si="212"/>
        <v>2718718</v>
      </c>
      <c r="P205" s="4">
        <f t="shared" si="213"/>
        <v>131</v>
      </c>
      <c r="Q205" s="3">
        <f t="shared" si="213"/>
        <v>2634</v>
      </c>
      <c r="R205" s="3">
        <f t="shared" si="213"/>
        <v>87.8</v>
      </c>
      <c r="S205" s="26">
        <f t="shared" ref="S205" si="228">S148+S120+S92+S64+S35+S7</f>
        <v>1882336</v>
      </c>
      <c r="T205" s="4">
        <f t="shared" si="215"/>
        <v>131</v>
      </c>
      <c r="U205" s="96">
        <f t="shared" si="215"/>
        <v>2860</v>
      </c>
      <c r="V205" s="96">
        <f t="shared" si="215"/>
        <v>95.333333333333329</v>
      </c>
      <c r="W205" s="26">
        <f t="shared" ref="W205" si="229">W148+W120+W92+W64+W35+W7</f>
        <v>2107600</v>
      </c>
      <c r="X205" s="4">
        <f t="shared" si="217"/>
        <v>144</v>
      </c>
      <c r="Y205" s="3">
        <f t="shared" si="217"/>
        <v>2693</v>
      </c>
      <c r="Z205" s="3">
        <f t="shared" si="217"/>
        <v>89.766666666666666</v>
      </c>
      <c r="AA205" s="26">
        <f t="shared" ref="AA205" si="230">AA148+AA120+AA92+AA64+AA35+AA7</f>
        <v>2255676.75</v>
      </c>
      <c r="AB205" s="4">
        <f t="shared" si="219"/>
        <v>143</v>
      </c>
      <c r="AC205" s="3">
        <f t="shared" si="219"/>
        <v>2726</v>
      </c>
      <c r="AD205" s="3">
        <f t="shared" si="219"/>
        <v>90.86666666666666</v>
      </c>
      <c r="AE205" s="26">
        <f t="shared" ref="AE205" si="231">AE148+AE120+AE92+AE64+AE35+AE7</f>
        <v>2092544</v>
      </c>
      <c r="AF205" s="4">
        <f t="shared" si="221"/>
        <v>156</v>
      </c>
      <c r="AG205" s="3">
        <f t="shared" si="221"/>
        <v>2933</v>
      </c>
      <c r="AH205" s="3">
        <f t="shared" si="221"/>
        <v>97.766666666666666</v>
      </c>
      <c r="AI205" s="26">
        <f t="shared" ref="AI205" si="232">AI148+AI120+AI92+AI64+AI35+AI7</f>
        <v>2549542</v>
      </c>
      <c r="AJ205" s="221">
        <f t="shared" ref="AJ205:AL205" si="233">+AJ177+AJ148+AJ120+AJ92+AJ64+AJ35+AJ7</f>
        <v>150</v>
      </c>
      <c r="AK205" s="112">
        <f t="shared" si="233"/>
        <v>2746</v>
      </c>
      <c r="AL205" s="96">
        <f t="shared" si="233"/>
        <v>91.533333333333331</v>
      </c>
      <c r="AM205" s="26">
        <f>+AM177+AM148+AM120+AM92+AM64+AM35+AM7</f>
        <v>2572850.75</v>
      </c>
      <c r="AN205" s="4">
        <f t="shared" si="224"/>
        <v>144</v>
      </c>
      <c r="AO205" s="112">
        <f t="shared" si="224"/>
        <v>2718</v>
      </c>
      <c r="AP205" s="96">
        <f t="shared" si="224"/>
        <v>90.6</v>
      </c>
      <c r="AQ205" s="26">
        <f t="shared" ref="AQ205" si="234">AQ148+AQ120+AQ92+AQ64+AQ35+AQ7</f>
        <v>2155638</v>
      </c>
      <c r="AR205" s="4">
        <f t="shared" si="226"/>
        <v>144</v>
      </c>
      <c r="AS205" s="96">
        <f t="shared" si="226"/>
        <v>3370</v>
      </c>
      <c r="AT205" s="96">
        <f t="shared" si="226"/>
        <v>112.33333333333334</v>
      </c>
      <c r="AU205" s="26">
        <f t="shared" ref="AU205" si="235">AU148+AU120+AU92+AU64+AU35+AU7</f>
        <v>2445064.7199999997</v>
      </c>
    </row>
    <row r="206" spans="2:47">
      <c r="B206" s="461"/>
      <c r="C206" s="11" t="s">
        <v>10</v>
      </c>
      <c r="D206" s="4">
        <f t="shared" ref="D206:O206" si="236">SUM(D204:D205)</f>
        <v>0</v>
      </c>
      <c r="E206" s="3">
        <f t="shared" si="236"/>
        <v>25912</v>
      </c>
      <c r="F206" s="3">
        <f t="shared" si="236"/>
        <v>863.73333333333335</v>
      </c>
      <c r="G206" s="26">
        <f t="shared" si="236"/>
        <v>8750767</v>
      </c>
      <c r="H206" s="4">
        <f t="shared" si="236"/>
        <v>0</v>
      </c>
      <c r="I206" s="3">
        <f t="shared" si="236"/>
        <v>26064</v>
      </c>
      <c r="J206" s="3">
        <f t="shared" si="236"/>
        <v>868.8</v>
      </c>
      <c r="K206" s="26">
        <f t="shared" si="236"/>
        <v>8662173</v>
      </c>
      <c r="L206" s="4">
        <f t="shared" si="236"/>
        <v>850</v>
      </c>
      <c r="M206" s="3">
        <f t="shared" si="236"/>
        <v>25973</v>
      </c>
      <c r="N206" s="3">
        <f t="shared" si="236"/>
        <v>865.76666666666665</v>
      </c>
      <c r="O206" s="26">
        <f t="shared" si="236"/>
        <v>8718035</v>
      </c>
      <c r="P206" s="4">
        <f t="shared" si="213"/>
        <v>1015</v>
      </c>
      <c r="Q206" s="3">
        <f t="shared" si="213"/>
        <v>26191</v>
      </c>
      <c r="R206" s="3">
        <f t="shared" si="213"/>
        <v>873.0333333333333</v>
      </c>
      <c r="S206" s="26">
        <f>SUM(S204:S205)</f>
        <v>8298925</v>
      </c>
      <c r="T206" s="4">
        <f t="shared" si="215"/>
        <v>1019</v>
      </c>
      <c r="U206" s="96">
        <f t="shared" si="215"/>
        <v>27869</v>
      </c>
      <c r="V206" s="96">
        <f t="shared" si="215"/>
        <v>928.9666666666667</v>
      </c>
      <c r="W206" s="26">
        <f>SUM(W204:W205)</f>
        <v>8926033</v>
      </c>
      <c r="X206" s="4">
        <f t="shared" si="217"/>
        <v>1086</v>
      </c>
      <c r="Y206" s="3">
        <f t="shared" si="217"/>
        <v>26800</v>
      </c>
      <c r="Z206" s="3">
        <f t="shared" si="217"/>
        <v>893.33333333333326</v>
      </c>
      <c r="AA206" s="26">
        <f>SUM(AA204:AA205)</f>
        <v>9100242.5</v>
      </c>
      <c r="AB206" s="4">
        <f t="shared" si="219"/>
        <v>1077</v>
      </c>
      <c r="AC206" s="3">
        <f t="shared" si="219"/>
        <v>26620</v>
      </c>
      <c r="AD206" s="3">
        <f t="shared" si="219"/>
        <v>887.33333333333326</v>
      </c>
      <c r="AE206" s="26">
        <f>SUM(AE204:AE205)</f>
        <v>10203325</v>
      </c>
      <c r="AF206" s="4">
        <f t="shared" si="221"/>
        <v>1162</v>
      </c>
      <c r="AG206" s="3">
        <f t="shared" si="221"/>
        <v>28818</v>
      </c>
      <c r="AH206" s="3">
        <f t="shared" si="221"/>
        <v>960.6</v>
      </c>
      <c r="AI206" s="26">
        <f>SUM(AI204:AI205)</f>
        <v>11658580</v>
      </c>
      <c r="AJ206" s="221">
        <f t="shared" ref="AJ206:AL206" si="237">AJ149+AJ121+AJ93+AJ65+AJ36+AJ8+AJ178</f>
        <v>1169</v>
      </c>
      <c r="AK206" s="112">
        <f t="shared" si="237"/>
        <v>29767</v>
      </c>
      <c r="AL206" s="96">
        <f t="shared" si="237"/>
        <v>992.23333333333335</v>
      </c>
      <c r="AM206" s="26">
        <f>SUM(AM204:AM205)</f>
        <v>12484095.550000001</v>
      </c>
      <c r="AN206" s="4">
        <f t="shared" si="224"/>
        <v>1128</v>
      </c>
      <c r="AO206" s="112">
        <f t="shared" si="224"/>
        <v>29153</v>
      </c>
      <c r="AP206" s="96">
        <f t="shared" si="224"/>
        <v>971.76666666666665</v>
      </c>
      <c r="AQ206" s="26">
        <f>SUM(AQ204:AQ205)</f>
        <v>11643667</v>
      </c>
      <c r="AR206" s="4">
        <f t="shared" si="226"/>
        <v>1065</v>
      </c>
      <c r="AS206" s="96">
        <f t="shared" si="226"/>
        <v>29559</v>
      </c>
      <c r="AT206" s="96">
        <f t="shared" si="226"/>
        <v>985.30000000000007</v>
      </c>
      <c r="AU206" s="26">
        <f>SUM(AU204:AU205)</f>
        <v>11244131.199999999</v>
      </c>
    </row>
    <row r="207" spans="2:47">
      <c r="B207" s="8"/>
      <c r="C207" s="9"/>
      <c r="D207" s="5"/>
      <c r="E207" s="6"/>
      <c r="H207" s="5"/>
      <c r="I207" s="6"/>
      <c r="L207" s="5"/>
      <c r="M207" s="6"/>
      <c r="P207" s="5"/>
      <c r="Q207" s="6"/>
      <c r="T207" s="5"/>
      <c r="U207" s="97"/>
      <c r="V207" s="97"/>
      <c r="X207" s="5"/>
      <c r="Y207" s="6"/>
      <c r="AB207" s="5"/>
      <c r="AC207" s="6"/>
      <c r="AF207" s="5"/>
      <c r="AG207" s="6"/>
      <c r="AJ207" s="222"/>
      <c r="AK207" s="220"/>
      <c r="AL207" s="97"/>
      <c r="AN207" s="5"/>
      <c r="AO207" s="220"/>
      <c r="AP207" s="97"/>
      <c r="AR207" s="5"/>
      <c r="AS207" s="97"/>
      <c r="AT207" s="97"/>
    </row>
    <row r="208" spans="2:47">
      <c r="B208" s="459" t="s">
        <v>11</v>
      </c>
      <c r="C208" s="10" t="s">
        <v>8</v>
      </c>
      <c r="D208" s="4">
        <f t="shared" ref="D208:G209" si="238">D151+D123+D95+D67+D38+D10</f>
        <v>0</v>
      </c>
      <c r="E208" s="3">
        <f t="shared" si="238"/>
        <v>6686</v>
      </c>
      <c r="F208" s="3">
        <f t="shared" si="238"/>
        <v>278.58333333333337</v>
      </c>
      <c r="G208" s="26">
        <f t="shared" si="238"/>
        <v>26095628</v>
      </c>
      <c r="H208" s="4">
        <f t="shared" ref="H208:K209" si="239">H151+H123+H95+H67+H38+H10</f>
        <v>0</v>
      </c>
      <c r="I208" s="3">
        <f t="shared" si="239"/>
        <v>4208</v>
      </c>
      <c r="J208" s="3">
        <f t="shared" si="239"/>
        <v>175.33333333333331</v>
      </c>
      <c r="K208" s="26">
        <f>K151+K123+K95+K67+K38+K10</f>
        <v>22746137</v>
      </c>
      <c r="L208" s="4">
        <f t="shared" ref="L208:O209" si="240">L151+L123+L95+L67+L38+L10</f>
        <v>442</v>
      </c>
      <c r="M208" s="3">
        <f t="shared" si="240"/>
        <v>5910</v>
      </c>
      <c r="N208" s="3">
        <f t="shared" si="240"/>
        <v>246.25</v>
      </c>
      <c r="O208" s="26">
        <f>O151+O123+O95+O67+O38+O10</f>
        <v>25695602</v>
      </c>
      <c r="P208" s="4">
        <f t="shared" ref="P208:R210" si="241">P151+P123+P95+P67+P38+P10+P180</f>
        <v>198</v>
      </c>
      <c r="Q208" s="3">
        <f t="shared" si="241"/>
        <v>2609</v>
      </c>
      <c r="R208" s="3">
        <f t="shared" si="241"/>
        <v>108.70833333333334</v>
      </c>
      <c r="S208" s="26">
        <f t="shared" ref="S208" si="242">S151+S123+S95+S67+S38+S10</f>
        <v>25689164</v>
      </c>
      <c r="T208" s="4">
        <f t="shared" ref="T208:V210" si="243">T151+T123+T95+T67+T38+T10+T180</f>
        <v>246</v>
      </c>
      <c r="U208" s="96">
        <f t="shared" si="243"/>
        <v>2389</v>
      </c>
      <c r="V208" s="96">
        <f t="shared" si="243"/>
        <v>99.541666666666671</v>
      </c>
      <c r="W208" s="26">
        <f t="shared" ref="W208" si="244">W151+W123+W95+W67+W38+W10</f>
        <v>27839056</v>
      </c>
      <c r="X208" s="4">
        <f t="shared" ref="X208:Z210" si="245">X151+X123+X95+X67+X38+X10+X180</f>
        <v>270</v>
      </c>
      <c r="Y208" s="3">
        <f t="shared" si="245"/>
        <v>2672</v>
      </c>
      <c r="Z208" s="3">
        <f t="shared" si="245"/>
        <v>111.33333333333334</v>
      </c>
      <c r="AA208" s="26">
        <f t="shared" ref="AA208" si="246">AA151+AA123+AA95+AA67+AA38+AA10</f>
        <v>925920.75</v>
      </c>
      <c r="AB208" s="4">
        <f t="shared" ref="AB208:AD210" si="247">AB151+AB123+AB95+AB67+AB38+AB10+AB180</f>
        <v>267</v>
      </c>
      <c r="AC208" s="3">
        <f t="shared" si="247"/>
        <v>2700.5</v>
      </c>
      <c r="AD208" s="3">
        <f t="shared" si="247"/>
        <v>112.52083333333334</v>
      </c>
      <c r="AE208" s="26">
        <f t="shared" ref="AE208" si="248">AE151+AE123+AE95+AE67+AE38+AE10</f>
        <v>1030825.5</v>
      </c>
      <c r="AF208" s="4">
        <f t="shared" ref="AF208:AH210" si="249">AF151+AF123+AF95+AF67+AF38+AF10+AF180</f>
        <v>230</v>
      </c>
      <c r="AG208" s="3">
        <f t="shared" si="249"/>
        <v>2851</v>
      </c>
      <c r="AH208" s="3">
        <f t="shared" si="249"/>
        <v>118.79166666666666</v>
      </c>
      <c r="AI208" s="26">
        <f t="shared" ref="AI208" si="250">AI151+AI123+AI95+AI67+AI38+AI10</f>
        <v>1565695</v>
      </c>
      <c r="AJ208" s="221">
        <f t="shared" ref="AJ208:AM208" si="251">+AJ180+AJ151+AJ123+AJ95+AJ67+AJ38+AJ10</f>
        <v>340</v>
      </c>
      <c r="AK208" s="112">
        <f t="shared" si="251"/>
        <v>3792</v>
      </c>
      <c r="AL208" s="96">
        <f t="shared" si="251"/>
        <v>158</v>
      </c>
      <c r="AM208" s="26">
        <f t="shared" si="251"/>
        <v>2118736.5</v>
      </c>
      <c r="AN208" s="4">
        <f t="shared" ref="AN208:AP210" si="252">AN151+AN123+AN95+AN67+AN38+AN10+AN180</f>
        <v>439</v>
      </c>
      <c r="AO208" s="112">
        <f t="shared" si="252"/>
        <v>4085</v>
      </c>
      <c r="AP208" s="96">
        <f t="shared" si="252"/>
        <v>170.20833333333331</v>
      </c>
      <c r="AQ208" s="26">
        <f t="shared" ref="AQ208" si="253">AQ151+AQ123+AQ95+AQ67+AQ38+AQ10</f>
        <v>2721840.45</v>
      </c>
      <c r="AR208" s="4">
        <f t="shared" ref="AR208:AT210" si="254">AR151+AR123+AR95+AR67+AR38+AR10+AR180</f>
        <v>415</v>
      </c>
      <c r="AS208" s="96">
        <f t="shared" si="254"/>
        <v>4723</v>
      </c>
      <c r="AT208" s="96">
        <f t="shared" si="254"/>
        <v>196.79166666666669</v>
      </c>
      <c r="AU208" s="26">
        <f t="shared" ref="AU208" si="255">AU151+AU123+AU95+AU67+AU38+AU10</f>
        <v>2519433</v>
      </c>
    </row>
    <row r="209" spans="2:47">
      <c r="B209" s="460"/>
      <c r="C209" s="10" t="s">
        <v>9</v>
      </c>
      <c r="D209" s="4">
        <f t="shared" si="238"/>
        <v>0</v>
      </c>
      <c r="E209" s="3">
        <f t="shared" si="238"/>
        <v>6533</v>
      </c>
      <c r="F209" s="3">
        <f t="shared" si="238"/>
        <v>272.20833333333331</v>
      </c>
      <c r="G209" s="26">
        <f t="shared" si="238"/>
        <v>15099554</v>
      </c>
      <c r="H209" s="4">
        <f t="shared" si="239"/>
        <v>0</v>
      </c>
      <c r="I209" s="3">
        <f t="shared" si="239"/>
        <v>6071</v>
      </c>
      <c r="J209" s="3">
        <f t="shared" si="239"/>
        <v>252.95833333333331</v>
      </c>
      <c r="K209" s="26">
        <f t="shared" si="239"/>
        <v>14768427</v>
      </c>
      <c r="L209" s="4">
        <f t="shared" si="240"/>
        <v>352</v>
      </c>
      <c r="M209" s="3">
        <f t="shared" si="240"/>
        <v>6097</v>
      </c>
      <c r="N209" s="3">
        <f t="shared" si="240"/>
        <v>254.04166666666663</v>
      </c>
      <c r="O209" s="26">
        <f t="shared" si="240"/>
        <v>16231105</v>
      </c>
      <c r="P209" s="4">
        <f t="shared" si="241"/>
        <v>340</v>
      </c>
      <c r="Q209" s="3">
        <f t="shared" si="241"/>
        <v>5512</v>
      </c>
      <c r="R209" s="3">
        <f t="shared" si="241"/>
        <v>229.66666666666666</v>
      </c>
      <c r="S209" s="26">
        <f t="shared" ref="S209" si="256">S152+S124+S96+S68+S39+S11</f>
        <v>16251925</v>
      </c>
      <c r="T209" s="4">
        <f t="shared" si="243"/>
        <v>373</v>
      </c>
      <c r="U209" s="96">
        <f t="shared" si="243"/>
        <v>4746</v>
      </c>
      <c r="V209" s="96">
        <f t="shared" si="243"/>
        <v>197.75</v>
      </c>
      <c r="W209" s="26">
        <f t="shared" ref="W209" si="257">W152+W124+W96+W68+W39+W11</f>
        <v>16526411</v>
      </c>
      <c r="X209" s="4">
        <f t="shared" si="245"/>
        <v>416</v>
      </c>
      <c r="Y209" s="3">
        <f t="shared" si="245"/>
        <v>4993</v>
      </c>
      <c r="Z209" s="3">
        <f t="shared" si="245"/>
        <v>208.04166666666669</v>
      </c>
      <c r="AA209" s="26">
        <f t="shared" ref="AA209" si="258">AA152+AA124+AA96+AA68+AA39+AA11</f>
        <v>3128617.5</v>
      </c>
      <c r="AB209" s="4">
        <f t="shared" si="247"/>
        <v>345</v>
      </c>
      <c r="AC209" s="3">
        <f t="shared" si="247"/>
        <v>5100</v>
      </c>
      <c r="AD209" s="3">
        <f t="shared" si="247"/>
        <v>212.5</v>
      </c>
      <c r="AE209" s="26">
        <f t="shared" ref="AE209" si="259">AE152+AE124+AE96+AE68+AE39+AE11</f>
        <v>5247110.8499999996</v>
      </c>
      <c r="AF209" s="4">
        <f t="shared" si="249"/>
        <v>339</v>
      </c>
      <c r="AG209" s="3">
        <f t="shared" si="249"/>
        <v>5858</v>
      </c>
      <c r="AH209" s="3">
        <f t="shared" si="249"/>
        <v>244.08333333333331</v>
      </c>
      <c r="AI209" s="26">
        <f t="shared" ref="AI209" si="260">AI152+AI124+AI96+AI68+AI39+AI11</f>
        <v>5436931</v>
      </c>
      <c r="AJ209" s="221">
        <f t="shared" ref="AJ209:AM209" si="261">+AJ181+AJ152+AJ124+AJ96+AJ68+AJ39+AJ11</f>
        <v>375</v>
      </c>
      <c r="AK209" s="112">
        <f t="shared" si="261"/>
        <v>5023</v>
      </c>
      <c r="AL209" s="96">
        <f t="shared" si="261"/>
        <v>209.29166666666669</v>
      </c>
      <c r="AM209" s="26">
        <f t="shared" si="261"/>
        <v>6127475</v>
      </c>
      <c r="AN209" s="4">
        <f t="shared" si="252"/>
        <v>421</v>
      </c>
      <c r="AO209" s="112">
        <f t="shared" si="252"/>
        <v>5190</v>
      </c>
      <c r="AP209" s="96">
        <f t="shared" si="252"/>
        <v>216.25</v>
      </c>
      <c r="AQ209" s="26">
        <f t="shared" ref="AQ209" si="262">AQ152+AQ124+AQ96+AQ68+AQ39+AQ11</f>
        <v>6591035.5999999996</v>
      </c>
      <c r="AR209" s="4">
        <f t="shared" si="254"/>
        <v>362</v>
      </c>
      <c r="AS209" s="96">
        <f t="shared" si="254"/>
        <v>5190</v>
      </c>
      <c r="AT209" s="96">
        <f t="shared" si="254"/>
        <v>216.25</v>
      </c>
      <c r="AU209" s="26">
        <f t="shared" ref="AU209" si="263">AU152+AU124+AU96+AU68+AU39+AU11</f>
        <v>5585663</v>
      </c>
    </row>
    <row r="210" spans="2:47">
      <c r="B210" s="461"/>
      <c r="C210" s="11" t="s">
        <v>10</v>
      </c>
      <c r="D210" s="4">
        <f t="shared" ref="D210:O210" si="264">SUM(D208:D209)</f>
        <v>0</v>
      </c>
      <c r="E210" s="3">
        <f t="shared" si="264"/>
        <v>13219</v>
      </c>
      <c r="F210" s="3">
        <f t="shared" si="264"/>
        <v>550.79166666666674</v>
      </c>
      <c r="G210" s="26">
        <f t="shared" si="264"/>
        <v>41195182</v>
      </c>
      <c r="H210" s="4">
        <f t="shared" si="264"/>
        <v>0</v>
      </c>
      <c r="I210" s="3">
        <f t="shared" si="264"/>
        <v>10279</v>
      </c>
      <c r="J210" s="3">
        <f t="shared" si="264"/>
        <v>428.29166666666663</v>
      </c>
      <c r="K210" s="26">
        <f t="shared" si="264"/>
        <v>37514564</v>
      </c>
      <c r="L210" s="4">
        <f t="shared" si="264"/>
        <v>794</v>
      </c>
      <c r="M210" s="3">
        <f t="shared" si="264"/>
        <v>12007</v>
      </c>
      <c r="N210" s="3">
        <f t="shared" si="264"/>
        <v>500.29166666666663</v>
      </c>
      <c r="O210" s="26">
        <f t="shared" si="264"/>
        <v>41926707</v>
      </c>
      <c r="P210" s="4">
        <f t="shared" si="241"/>
        <v>538</v>
      </c>
      <c r="Q210" s="3">
        <f t="shared" si="241"/>
        <v>8121</v>
      </c>
      <c r="R210" s="3">
        <f t="shared" si="241"/>
        <v>338.375</v>
      </c>
      <c r="S210" s="26">
        <f>SUM(S208:S209)</f>
        <v>41941089</v>
      </c>
      <c r="T210" s="4">
        <f t="shared" si="243"/>
        <v>619</v>
      </c>
      <c r="U210" s="96">
        <f t="shared" si="243"/>
        <v>7135</v>
      </c>
      <c r="V210" s="96">
        <f t="shared" si="243"/>
        <v>297.29166666666663</v>
      </c>
      <c r="W210" s="26">
        <f>SUM(W208:W209)</f>
        <v>44365467</v>
      </c>
      <c r="X210" s="4">
        <f t="shared" si="245"/>
        <v>686</v>
      </c>
      <c r="Y210" s="3">
        <f t="shared" si="245"/>
        <v>7665</v>
      </c>
      <c r="Z210" s="3">
        <f t="shared" si="245"/>
        <v>319.375</v>
      </c>
      <c r="AA210" s="26">
        <f>SUM(AA208:AA209)</f>
        <v>4054538.25</v>
      </c>
      <c r="AB210" s="4">
        <f t="shared" si="247"/>
        <v>612</v>
      </c>
      <c r="AC210" s="3">
        <f t="shared" si="247"/>
        <v>7800.5</v>
      </c>
      <c r="AD210" s="3">
        <f t="shared" si="247"/>
        <v>325.02083333333331</v>
      </c>
      <c r="AE210" s="26">
        <f>SUM(AE208:AE209)</f>
        <v>6277936.3499999996</v>
      </c>
      <c r="AF210" s="4">
        <f t="shared" si="249"/>
        <v>569</v>
      </c>
      <c r="AG210" s="3">
        <f t="shared" si="249"/>
        <v>8709</v>
      </c>
      <c r="AH210" s="3">
        <f t="shared" si="249"/>
        <v>362.875</v>
      </c>
      <c r="AI210" s="26">
        <f>SUM(AI208:AI209)</f>
        <v>7002626</v>
      </c>
      <c r="AJ210" s="221">
        <f t="shared" ref="AJ210:AL210" si="265">AJ153+AJ125+AJ97+AJ69+AJ40+AJ12+AJ182</f>
        <v>715</v>
      </c>
      <c r="AK210" s="112">
        <f t="shared" si="265"/>
        <v>8815</v>
      </c>
      <c r="AL210" s="96">
        <f t="shared" si="265"/>
        <v>367.29166666666669</v>
      </c>
      <c r="AM210" s="26">
        <f>SUM(AM208:AM209)</f>
        <v>8246211.5</v>
      </c>
      <c r="AN210" s="4">
        <f t="shared" si="252"/>
        <v>860</v>
      </c>
      <c r="AO210" s="112">
        <f t="shared" si="252"/>
        <v>9275</v>
      </c>
      <c r="AP210" s="96">
        <f t="shared" si="252"/>
        <v>386.45833333333337</v>
      </c>
      <c r="AQ210" s="26">
        <f>SUM(AQ208:AQ209)</f>
        <v>9312876.0500000007</v>
      </c>
      <c r="AR210" s="4">
        <f t="shared" si="254"/>
        <v>777</v>
      </c>
      <c r="AS210" s="96">
        <f t="shared" si="254"/>
        <v>9913</v>
      </c>
      <c r="AT210" s="96">
        <f t="shared" si="254"/>
        <v>413.04166666666669</v>
      </c>
      <c r="AU210" s="26">
        <f>SUM(AU208:AU209)</f>
        <v>8105096</v>
      </c>
    </row>
    <row r="211" spans="2:47">
      <c r="B211" s="8"/>
      <c r="C211" s="9"/>
      <c r="D211" s="5"/>
      <c r="E211" s="6"/>
      <c r="H211" s="5"/>
      <c r="I211" s="6"/>
      <c r="L211" s="5"/>
      <c r="M211" s="6"/>
      <c r="P211" s="5"/>
      <c r="Q211" s="6"/>
      <c r="T211" s="5"/>
      <c r="U211" s="97"/>
      <c r="V211" s="97"/>
      <c r="X211" s="5"/>
      <c r="Y211" s="6"/>
      <c r="AB211" s="5"/>
      <c r="AC211" s="6"/>
      <c r="AF211" s="5"/>
      <c r="AG211" s="6"/>
      <c r="AJ211" s="222"/>
      <c r="AK211" s="220"/>
      <c r="AL211" s="97"/>
      <c r="AN211" s="5"/>
      <c r="AO211" s="220"/>
      <c r="AP211" s="97"/>
      <c r="AR211" s="5"/>
      <c r="AS211" s="97"/>
      <c r="AT211" s="97"/>
    </row>
    <row r="212" spans="2:47">
      <c r="B212" s="459" t="s">
        <v>12</v>
      </c>
      <c r="C212" s="10" t="s">
        <v>8</v>
      </c>
      <c r="D212" s="4">
        <f t="shared" ref="D212:G213" si="266">D155+D127+D99+D71+D42+D14</f>
        <v>0</v>
      </c>
      <c r="E212" s="3">
        <f t="shared" si="266"/>
        <v>44936</v>
      </c>
      <c r="F212" s="3">
        <f t="shared" si="266"/>
        <v>1872.3333333333333</v>
      </c>
      <c r="G212" s="26">
        <f t="shared" si="266"/>
        <v>0</v>
      </c>
      <c r="H212" s="4">
        <f t="shared" ref="H212:K213" si="267">H155+H127+H99+H71+H42+H14</f>
        <v>0</v>
      </c>
      <c r="I212" s="3">
        <f t="shared" si="267"/>
        <v>46191</v>
      </c>
      <c r="J212" s="3">
        <f t="shared" si="267"/>
        <v>1924.625</v>
      </c>
      <c r="K212" s="26">
        <f>K155+K127+K99+K71+K42+K14</f>
        <v>2848226</v>
      </c>
      <c r="L212" s="4">
        <f t="shared" ref="L212:O213" si="268">L155+L127+L99+L71+L42+L14</f>
        <v>1189</v>
      </c>
      <c r="M212" s="3">
        <f t="shared" si="268"/>
        <v>44799</v>
      </c>
      <c r="N212" s="3">
        <f t="shared" si="268"/>
        <v>1866.625</v>
      </c>
      <c r="O212" s="26">
        <f>O155+O127+O99+O71+O42+O14</f>
        <v>0</v>
      </c>
      <c r="P212" s="4">
        <f t="shared" ref="P212:R214" si="269">P155+P127+P99+P71+P42+P14+P184</f>
        <v>1512</v>
      </c>
      <c r="Q212" s="3">
        <f t="shared" si="269"/>
        <v>48774</v>
      </c>
      <c r="R212" s="3">
        <f t="shared" si="269"/>
        <v>2032.25</v>
      </c>
      <c r="S212" s="26">
        <f t="shared" ref="S212" si="270">S155+S127+S99+S71+S42+S14</f>
        <v>0</v>
      </c>
      <c r="T212" s="4">
        <f t="shared" ref="T212:V214" si="271">T155+T127+T99+T71+T42+T14+T184</f>
        <v>1587</v>
      </c>
      <c r="U212" s="96">
        <f t="shared" si="271"/>
        <v>50791</v>
      </c>
      <c r="V212" s="96">
        <f t="shared" si="271"/>
        <v>2116.291666666667</v>
      </c>
      <c r="W212" s="26">
        <f t="shared" ref="W212" si="272">W155+W127+W99+W71+W42+W14</f>
        <v>0</v>
      </c>
      <c r="X212" s="4">
        <f t="shared" ref="X212:Z214" si="273">X155+X127+X99+X71+X42+X14+X184</f>
        <v>1730</v>
      </c>
      <c r="Y212" s="3">
        <f t="shared" si="273"/>
        <v>47763.5</v>
      </c>
      <c r="Z212" s="3">
        <f t="shared" si="273"/>
        <v>1990.1458333333335</v>
      </c>
      <c r="AA212" s="26">
        <f t="shared" ref="AA212" si="274">AA155+AA127+AA99+AA71+AA42+AA14</f>
        <v>28272297.949999999</v>
      </c>
      <c r="AB212" s="4">
        <f t="shared" ref="AB212:AD214" si="275">AB155+AB127+AB99+AB71+AB42+AB14+AB184</f>
        <v>1645</v>
      </c>
      <c r="AC212" s="3">
        <f t="shared" si="275"/>
        <v>51712</v>
      </c>
      <c r="AD212" s="3">
        <f t="shared" si="275"/>
        <v>2154.6666666666665</v>
      </c>
      <c r="AE212" s="26">
        <f t="shared" ref="AE212" si="276">AE155+AE127+AE99+AE71+AE42+AE14</f>
        <v>31044849.100000001</v>
      </c>
      <c r="AF212" s="4">
        <f t="shared" ref="AF212:AH214" si="277">AF155+AF127+AF99+AF71+AF42+AF14+AF184</f>
        <v>1601</v>
      </c>
      <c r="AG212" s="3">
        <f t="shared" si="277"/>
        <v>48811.5</v>
      </c>
      <c r="AH212" s="3">
        <f t="shared" si="277"/>
        <v>2033.8125</v>
      </c>
      <c r="AI212" s="26">
        <f t="shared" ref="AI212" si="278">AI155+AI127+AI99+AI71+AI42+AI14</f>
        <v>32061069</v>
      </c>
      <c r="AJ212" s="221">
        <f t="shared" ref="AJ212:AM212" si="279">+AJ184+AJ155+AJ127+AJ99+AJ71+AJ42+AJ14</f>
        <v>1655</v>
      </c>
      <c r="AK212" s="112">
        <f t="shared" si="279"/>
        <v>52346.5</v>
      </c>
      <c r="AL212" s="96">
        <f t="shared" si="279"/>
        <v>2181.104166666667</v>
      </c>
      <c r="AM212" s="26">
        <f t="shared" si="279"/>
        <v>33374406.490000002</v>
      </c>
      <c r="AN212" s="4">
        <f t="shared" ref="AN212:AP214" si="280">AN155+AN127+AN99+AN71+AN42+AN14+AN184</f>
        <v>1692</v>
      </c>
      <c r="AO212" s="112">
        <f t="shared" si="280"/>
        <v>50447</v>
      </c>
      <c r="AP212" s="96">
        <f t="shared" si="280"/>
        <v>2101.9583333333335</v>
      </c>
      <c r="AQ212" s="26">
        <f t="shared" ref="AQ212" si="281">AQ155+AQ127+AQ99+AQ71+AQ42+AQ14</f>
        <v>35598082.200000003</v>
      </c>
      <c r="AR212" s="4">
        <f t="shared" ref="AR212:AT214" si="282">AR155+AR127+AR99+AR71+AR42+AR14+AR184</f>
        <v>1627</v>
      </c>
      <c r="AS212" s="96">
        <f t="shared" si="282"/>
        <v>50456.5</v>
      </c>
      <c r="AT212" s="96">
        <f t="shared" si="282"/>
        <v>2102.354166666667</v>
      </c>
      <c r="AU212" s="26">
        <f t="shared" ref="AU212" si="283">AU155+AU127+AU99+AU71+AU42+AU14</f>
        <v>35098428</v>
      </c>
    </row>
    <row r="213" spans="2:47">
      <c r="B213" s="460"/>
      <c r="C213" s="10" t="s">
        <v>9</v>
      </c>
      <c r="D213" s="4">
        <f t="shared" si="266"/>
        <v>0</v>
      </c>
      <c r="E213" s="3">
        <f t="shared" si="266"/>
        <v>11560</v>
      </c>
      <c r="F213" s="3">
        <f t="shared" si="266"/>
        <v>481.66666666666663</v>
      </c>
      <c r="G213" s="26">
        <f t="shared" si="266"/>
        <v>0</v>
      </c>
      <c r="H213" s="4">
        <f t="shared" si="267"/>
        <v>0</v>
      </c>
      <c r="I213" s="3">
        <f t="shared" si="267"/>
        <v>12023</v>
      </c>
      <c r="J213" s="3">
        <f t="shared" si="267"/>
        <v>500.95833333333337</v>
      </c>
      <c r="K213" s="26">
        <f t="shared" si="267"/>
        <v>1517262</v>
      </c>
      <c r="L213" s="4">
        <f t="shared" si="268"/>
        <v>370</v>
      </c>
      <c r="M213" s="3">
        <f t="shared" si="268"/>
        <v>12034</v>
      </c>
      <c r="N213" s="3">
        <f t="shared" si="268"/>
        <v>501.41666666666663</v>
      </c>
      <c r="O213" s="26">
        <f t="shared" si="268"/>
        <v>0</v>
      </c>
      <c r="P213" s="4">
        <f t="shared" si="269"/>
        <v>478</v>
      </c>
      <c r="Q213" s="3">
        <f t="shared" si="269"/>
        <v>13161</v>
      </c>
      <c r="R213" s="3">
        <f t="shared" si="269"/>
        <v>548.375</v>
      </c>
      <c r="S213" s="26">
        <f t="shared" ref="S213" si="284">S156+S128+S100+S72+S43+S15</f>
        <v>0</v>
      </c>
      <c r="T213" s="4">
        <f t="shared" si="271"/>
        <v>471</v>
      </c>
      <c r="U213" s="96">
        <f t="shared" si="271"/>
        <v>14075</v>
      </c>
      <c r="V213" s="96">
        <f t="shared" si="271"/>
        <v>586.45833333333337</v>
      </c>
      <c r="W213" s="26">
        <f t="shared" ref="W213" si="285">W156+W128+W100+W72+W43+W15</f>
        <v>0</v>
      </c>
      <c r="X213" s="4">
        <f t="shared" si="273"/>
        <v>511</v>
      </c>
      <c r="Y213" s="3">
        <f t="shared" si="273"/>
        <v>12065.5</v>
      </c>
      <c r="Z213" s="3">
        <f t="shared" si="273"/>
        <v>502.72916666666669</v>
      </c>
      <c r="AA213" s="26">
        <f t="shared" ref="AA213" si="286">AA156+AA128+AA100+AA72+AA43+AA15</f>
        <v>15601274</v>
      </c>
      <c r="AB213" s="4">
        <f t="shared" si="275"/>
        <v>478</v>
      </c>
      <c r="AC213" s="3">
        <f t="shared" si="275"/>
        <v>14531.5</v>
      </c>
      <c r="AD213" s="3">
        <f t="shared" si="275"/>
        <v>605.47916666666674</v>
      </c>
      <c r="AE213" s="26">
        <f t="shared" ref="AE213" si="287">AE156+AE128+AE100+AE72+AE43+AE15</f>
        <v>13767712.5</v>
      </c>
      <c r="AF213" s="4">
        <f t="shared" si="277"/>
        <v>483</v>
      </c>
      <c r="AG213" s="3">
        <f t="shared" si="277"/>
        <v>15338.5</v>
      </c>
      <c r="AH213" s="3">
        <f t="shared" si="277"/>
        <v>639.10416666666652</v>
      </c>
      <c r="AI213" s="26">
        <f t="shared" ref="AI213" si="288">AI156+AI128+AI100+AI72+AI43+AI15</f>
        <v>17338494</v>
      </c>
      <c r="AJ213" s="221">
        <f t="shared" ref="AJ213:AM213" si="289">+AJ185+AJ156+AJ128+AJ100+AJ72+AJ43+AJ15</f>
        <v>618</v>
      </c>
      <c r="AK213" s="112">
        <f t="shared" si="289"/>
        <v>18349.5</v>
      </c>
      <c r="AL213" s="96">
        <f t="shared" si="289"/>
        <v>764.5625</v>
      </c>
      <c r="AM213" s="26">
        <f t="shared" si="289"/>
        <v>19224936.199999999</v>
      </c>
      <c r="AN213" s="4">
        <f t="shared" si="280"/>
        <v>678</v>
      </c>
      <c r="AO213" s="112">
        <f t="shared" si="280"/>
        <v>17997</v>
      </c>
      <c r="AP213" s="96">
        <f t="shared" si="280"/>
        <v>749.875</v>
      </c>
      <c r="AQ213" s="26">
        <f t="shared" ref="AQ213" si="290">AQ156+AQ128+AQ100+AQ72+AQ43+AQ15</f>
        <v>16740962</v>
      </c>
      <c r="AR213" s="4">
        <f t="shared" si="282"/>
        <v>653</v>
      </c>
      <c r="AS213" s="96">
        <f t="shared" si="282"/>
        <v>16079</v>
      </c>
      <c r="AT213" s="96">
        <f t="shared" si="282"/>
        <v>669.95833333333326</v>
      </c>
      <c r="AU213" s="26">
        <f t="shared" ref="AU213" si="291">AU156+AU128+AU100+AU72+AU43+AU15</f>
        <v>16348500</v>
      </c>
    </row>
    <row r="214" spans="2:47">
      <c r="B214" s="461"/>
      <c r="C214" s="11" t="s">
        <v>10</v>
      </c>
      <c r="D214" s="4">
        <f t="shared" ref="D214:O214" si="292">SUM(D212:D213)</f>
        <v>0</v>
      </c>
      <c r="E214" s="3">
        <f t="shared" si="292"/>
        <v>56496</v>
      </c>
      <c r="F214" s="3">
        <f t="shared" si="292"/>
        <v>2354</v>
      </c>
      <c r="G214" s="26">
        <f t="shared" si="292"/>
        <v>0</v>
      </c>
      <c r="H214" s="4">
        <f t="shared" si="292"/>
        <v>0</v>
      </c>
      <c r="I214" s="3">
        <f t="shared" si="292"/>
        <v>58214</v>
      </c>
      <c r="J214" s="3">
        <f t="shared" si="292"/>
        <v>2425.5833333333335</v>
      </c>
      <c r="K214" s="26">
        <f t="shared" si="292"/>
        <v>4365488</v>
      </c>
      <c r="L214" s="4">
        <f t="shared" si="292"/>
        <v>1559</v>
      </c>
      <c r="M214" s="3">
        <f t="shared" si="292"/>
        <v>56833</v>
      </c>
      <c r="N214" s="3">
        <f t="shared" si="292"/>
        <v>2368.0416666666665</v>
      </c>
      <c r="O214" s="26">
        <f t="shared" si="292"/>
        <v>0</v>
      </c>
      <c r="P214" s="4">
        <f t="shared" si="269"/>
        <v>1990</v>
      </c>
      <c r="Q214" s="3">
        <f t="shared" si="269"/>
        <v>61935</v>
      </c>
      <c r="R214" s="3">
        <f t="shared" si="269"/>
        <v>2580.625</v>
      </c>
      <c r="S214" s="26">
        <f>SUM(S212:S213)</f>
        <v>0</v>
      </c>
      <c r="T214" s="4">
        <f t="shared" si="271"/>
        <v>2058</v>
      </c>
      <c r="U214" s="96">
        <f t="shared" si="271"/>
        <v>64866</v>
      </c>
      <c r="V214" s="96">
        <f t="shared" si="271"/>
        <v>2702.75</v>
      </c>
      <c r="W214" s="26">
        <f>SUM(W212:W213)</f>
        <v>0</v>
      </c>
      <c r="X214" s="4">
        <f t="shared" si="273"/>
        <v>2241</v>
      </c>
      <c r="Y214" s="3">
        <f t="shared" si="273"/>
        <v>59829</v>
      </c>
      <c r="Z214" s="3">
        <f t="shared" si="273"/>
        <v>2492.875</v>
      </c>
      <c r="AA214" s="26">
        <f>SUM(AA212:AA213)</f>
        <v>43873571.950000003</v>
      </c>
      <c r="AB214" s="4">
        <f t="shared" si="275"/>
        <v>2123</v>
      </c>
      <c r="AC214" s="3">
        <f t="shared" si="275"/>
        <v>66243.5</v>
      </c>
      <c r="AD214" s="3">
        <f t="shared" si="275"/>
        <v>2760.1458333333335</v>
      </c>
      <c r="AE214" s="26">
        <f>SUM(AE212:AE213)</f>
        <v>44812561.600000001</v>
      </c>
      <c r="AF214" s="4">
        <f t="shared" si="277"/>
        <v>2084</v>
      </c>
      <c r="AG214" s="3">
        <f t="shared" si="277"/>
        <v>64150</v>
      </c>
      <c r="AH214" s="3">
        <f t="shared" si="277"/>
        <v>2672.916666666667</v>
      </c>
      <c r="AI214" s="26">
        <f>SUM(AI212:AI213)</f>
        <v>49399563</v>
      </c>
      <c r="AJ214" s="221">
        <f t="shared" ref="AJ214:AL214" si="293">AJ157+AJ129+AJ101+AJ73+AJ44+AJ16+AJ186</f>
        <v>2273</v>
      </c>
      <c r="AK214" s="112">
        <f t="shared" si="293"/>
        <v>70696</v>
      </c>
      <c r="AL214" s="96">
        <f t="shared" si="293"/>
        <v>2945.666666666667</v>
      </c>
      <c r="AM214" s="26">
        <f>SUM(AM212:AM213)</f>
        <v>52599342.689999998</v>
      </c>
      <c r="AN214" s="4">
        <f t="shared" si="280"/>
        <v>2370</v>
      </c>
      <c r="AO214" s="112">
        <f t="shared" si="280"/>
        <v>68444</v>
      </c>
      <c r="AP214" s="96">
        <f t="shared" si="280"/>
        <v>2851.8333333333335</v>
      </c>
      <c r="AQ214" s="26">
        <f>SUM(AQ212:AQ213)</f>
        <v>52339044.200000003</v>
      </c>
      <c r="AR214" s="4">
        <f t="shared" si="282"/>
        <v>2280</v>
      </c>
      <c r="AS214" s="96">
        <f t="shared" si="282"/>
        <v>66535.5</v>
      </c>
      <c r="AT214" s="96">
        <f t="shared" si="282"/>
        <v>2772.3125</v>
      </c>
      <c r="AU214" s="26">
        <f>SUM(AU212:AU213)</f>
        <v>51446928</v>
      </c>
    </row>
    <row r="215" spans="2:47">
      <c r="B215" s="8"/>
      <c r="C215" s="9"/>
      <c r="D215" s="5"/>
      <c r="E215" s="6"/>
      <c r="H215" s="5"/>
      <c r="I215" s="6"/>
      <c r="L215" s="5"/>
      <c r="M215" s="6"/>
      <c r="P215" s="5"/>
      <c r="Q215" s="6"/>
      <c r="T215" s="5"/>
      <c r="U215" s="97"/>
      <c r="V215" s="97"/>
      <c r="X215" s="5"/>
      <c r="Y215" s="6"/>
      <c r="AB215" s="5"/>
      <c r="AC215" s="6"/>
      <c r="AF215" s="5"/>
      <c r="AG215" s="6"/>
      <c r="AJ215" s="222"/>
      <c r="AK215" s="97"/>
      <c r="AL215" s="97"/>
      <c r="AN215" s="5"/>
      <c r="AO215" s="220"/>
      <c r="AP215" s="97"/>
      <c r="AR215" s="5"/>
      <c r="AS215" s="97"/>
      <c r="AT215" s="97"/>
    </row>
    <row r="216" spans="2:47">
      <c r="B216" s="459" t="s">
        <v>13</v>
      </c>
      <c r="C216" s="10" t="s">
        <v>8</v>
      </c>
      <c r="D216" s="4">
        <f t="shared" ref="D216:F217" si="294">D204+D208+D212</f>
        <v>0</v>
      </c>
      <c r="E216" s="3">
        <f t="shared" si="294"/>
        <v>74523</v>
      </c>
      <c r="F216" s="3">
        <f t="shared" si="294"/>
        <v>2914.2833333333333</v>
      </c>
      <c r="G216" s="26">
        <f t="shared" ref="G216" si="295">G159+G131+G103+G75+G46+G18</f>
        <v>32091120</v>
      </c>
      <c r="H216" s="4">
        <f t="shared" ref="H216:J217" si="296">H204+H208+H212</f>
        <v>0</v>
      </c>
      <c r="I216" s="3">
        <f t="shared" si="296"/>
        <v>73706</v>
      </c>
      <c r="J216" s="3">
        <f t="shared" si="296"/>
        <v>2876.8583333333336</v>
      </c>
      <c r="K216" s="26">
        <f>K159+K131+K103+K75+K46+K18</f>
        <v>31691161</v>
      </c>
      <c r="L216" s="4">
        <f t="shared" ref="L216:N217" si="297">L204+L208+L212</f>
        <v>2373</v>
      </c>
      <c r="M216" s="3">
        <f t="shared" si="297"/>
        <v>73714</v>
      </c>
      <c r="N216" s="3">
        <f t="shared" si="297"/>
        <v>2879.7083333333335</v>
      </c>
      <c r="O216" s="26">
        <f>O159+O131+O103+O75+O46+O18</f>
        <v>31694919</v>
      </c>
      <c r="P216" s="4">
        <f t="shared" ref="P216:R219" si="298">P159+P131+P103+P75+P46+P18+P188</f>
        <v>2594</v>
      </c>
      <c r="Q216" s="3">
        <f t="shared" si="298"/>
        <v>74940</v>
      </c>
      <c r="R216" s="3">
        <f t="shared" si="298"/>
        <v>2926.1916666666666</v>
      </c>
      <c r="S216" s="26">
        <f t="shared" ref="S216:S217" si="299">S159+S131+S103+S75+S46+S18</f>
        <v>32105753</v>
      </c>
      <c r="T216" s="4">
        <f t="shared" ref="T216:V219" si="300">T159+T131+T103+T75+T46+T18+T188</f>
        <v>2721</v>
      </c>
      <c r="U216" s="96">
        <f t="shared" si="300"/>
        <v>78189</v>
      </c>
      <c r="V216" s="96">
        <f t="shared" si="300"/>
        <v>3049.4666666666667</v>
      </c>
      <c r="W216" s="26">
        <f t="shared" ref="W216:W217" si="301">W159+W131+W103+W75+W46+W18</f>
        <v>34657489</v>
      </c>
      <c r="X216" s="4">
        <f t="shared" ref="X216:Z219" si="302">X159+X131+X103+X75+X46+X18+X188</f>
        <v>2942</v>
      </c>
      <c r="Y216" s="3">
        <f t="shared" si="302"/>
        <v>74542.5</v>
      </c>
      <c r="Z216" s="3">
        <f t="shared" si="302"/>
        <v>2905.0458333333331</v>
      </c>
      <c r="AA216" s="26">
        <f t="shared" ref="AA216:AA217" si="303">AA159+AA131+AA103+AA75+AA46+AA18</f>
        <v>36042784.450000003</v>
      </c>
      <c r="AB216" s="4">
        <f t="shared" ref="AB216:AD219" si="304">AB159+AB131+AB103+AB75+AB46+AB18+AB188</f>
        <v>2846</v>
      </c>
      <c r="AC216" s="3">
        <f t="shared" si="304"/>
        <v>78306.5</v>
      </c>
      <c r="AD216" s="3">
        <f t="shared" si="304"/>
        <v>3063.6541666666662</v>
      </c>
      <c r="AE216" s="26">
        <f t="shared" ref="AE216:AE217" si="305">AE159+AE131+AE103+AE75+AE46+AE18</f>
        <v>40186455.600000001</v>
      </c>
      <c r="AF216" s="4">
        <f t="shared" ref="AF216:AH219" si="306">AF159+AF131+AF103+AF75+AF46+AF18+AF188</f>
        <v>2837</v>
      </c>
      <c r="AG216" s="3">
        <f t="shared" si="306"/>
        <v>77547.5</v>
      </c>
      <c r="AH216" s="3">
        <f t="shared" si="306"/>
        <v>3015.4375</v>
      </c>
      <c r="AI216" s="26">
        <f t="shared" ref="AI216:AI217" si="307">AI159+AI131+AI103+AI75+AI46+AI18</f>
        <v>42735802</v>
      </c>
      <c r="AJ216" s="221">
        <f t="shared" ref="AJ216:AL219" si="308">AJ159+AJ131+AJ103+AJ75+AJ46+AJ18+AJ188</f>
        <v>3014</v>
      </c>
      <c r="AK216" s="112">
        <f t="shared" si="308"/>
        <v>83159.5</v>
      </c>
      <c r="AL216" s="96">
        <f t="shared" si="308"/>
        <v>3239.8041666666668</v>
      </c>
      <c r="AM216" s="26">
        <f t="shared" ref="AM216:AM217" si="309">+AM188+AM159+AM131+AM103+AM75+AM46+AM18</f>
        <v>45404387.789999999</v>
      </c>
      <c r="AN216" s="4">
        <f t="shared" ref="AN216:AP219" si="310">AN159+AN131+AN103+AN75+AN46+AN18+AN188</f>
        <v>3115</v>
      </c>
      <c r="AO216" s="112">
        <f t="shared" si="310"/>
        <v>80967</v>
      </c>
      <c r="AP216" s="96">
        <f t="shared" si="310"/>
        <v>3153.333333333333</v>
      </c>
      <c r="AQ216" s="26">
        <f t="shared" ref="AQ216:AQ217" si="311">AQ159+AQ131+AQ103+AQ75+AQ46+AQ18</f>
        <v>47807951.649999999</v>
      </c>
      <c r="AR216" s="4">
        <f t="shared" ref="AR216:AT219" si="312">AR159+AR131+AR103+AR75+AR46+AR18+AR188</f>
        <v>2963</v>
      </c>
      <c r="AS216" s="96">
        <f t="shared" si="312"/>
        <v>81368.5</v>
      </c>
      <c r="AT216" s="96">
        <f t="shared" si="312"/>
        <v>3172.1125000000002</v>
      </c>
      <c r="AU216" s="26">
        <f t="shared" ref="AU216:AU217" si="313">AU159+AU131+AU103+AU75+AU46+AU18</f>
        <v>46416927.480000004</v>
      </c>
    </row>
    <row r="217" spans="2:47">
      <c r="B217" s="460"/>
      <c r="C217" s="10" t="s">
        <v>9</v>
      </c>
      <c r="D217" s="4">
        <f t="shared" si="294"/>
        <v>0</v>
      </c>
      <c r="E217" s="3">
        <f t="shared" si="294"/>
        <v>21104</v>
      </c>
      <c r="F217" s="3">
        <f t="shared" si="294"/>
        <v>854.24166666666656</v>
      </c>
      <c r="G217" s="26">
        <f>G160+G132+G104+G76+G47+G19</f>
        <v>17854829</v>
      </c>
      <c r="H217" s="4">
        <f t="shared" si="296"/>
        <v>0</v>
      </c>
      <c r="I217" s="3">
        <f t="shared" si="296"/>
        <v>20851</v>
      </c>
      <c r="J217" s="3">
        <f>J205+J209+J213</f>
        <v>845.81666666666672</v>
      </c>
      <c r="K217" s="26">
        <f t="shared" ref="K217" si="314">K160+K132+K104+K76+K47+K19</f>
        <v>18851064</v>
      </c>
      <c r="L217" s="4">
        <f t="shared" si="297"/>
        <v>830</v>
      </c>
      <c r="M217" s="3">
        <f t="shared" si="297"/>
        <v>21099</v>
      </c>
      <c r="N217" s="3">
        <f t="shared" si="297"/>
        <v>854.39166666666665</v>
      </c>
      <c r="O217" s="26">
        <f t="shared" ref="O217" si="315">O160+O132+O104+O76+O47+O19</f>
        <v>18949823</v>
      </c>
      <c r="P217" s="4">
        <f t="shared" si="298"/>
        <v>949</v>
      </c>
      <c r="Q217" s="3">
        <f t="shared" si="298"/>
        <v>21307</v>
      </c>
      <c r="R217" s="3">
        <f t="shared" si="298"/>
        <v>865.8416666666667</v>
      </c>
      <c r="S217" s="26">
        <f t="shared" si="299"/>
        <v>18134261</v>
      </c>
      <c r="T217" s="4">
        <f t="shared" si="300"/>
        <v>975</v>
      </c>
      <c r="U217" s="96">
        <f t="shared" si="300"/>
        <v>21681</v>
      </c>
      <c r="V217" s="96">
        <f t="shared" si="300"/>
        <v>879.54166666666674</v>
      </c>
      <c r="W217" s="26">
        <f t="shared" si="301"/>
        <v>18634011</v>
      </c>
      <c r="X217" s="4">
        <f t="shared" si="302"/>
        <v>1071</v>
      </c>
      <c r="Y217" s="3">
        <f t="shared" si="302"/>
        <v>19751.5</v>
      </c>
      <c r="Z217" s="3">
        <f t="shared" si="302"/>
        <v>800.53750000000014</v>
      </c>
      <c r="AA217" s="26">
        <f t="shared" si="303"/>
        <v>20985568.25</v>
      </c>
      <c r="AB217" s="4">
        <f t="shared" si="304"/>
        <v>966</v>
      </c>
      <c r="AC217" s="3">
        <f t="shared" si="304"/>
        <v>22357.5</v>
      </c>
      <c r="AD217" s="3">
        <f t="shared" si="304"/>
        <v>908.8458333333333</v>
      </c>
      <c r="AE217" s="26">
        <f t="shared" si="305"/>
        <v>21107367.350000001</v>
      </c>
      <c r="AF217" s="4">
        <f t="shared" si="306"/>
        <v>978</v>
      </c>
      <c r="AG217" s="3">
        <f t="shared" si="306"/>
        <v>24129.5</v>
      </c>
      <c r="AH217" s="3">
        <f t="shared" si="306"/>
        <v>980.95416666666665</v>
      </c>
      <c r="AI217" s="26">
        <f t="shared" si="307"/>
        <v>25324967</v>
      </c>
      <c r="AJ217" s="221">
        <f t="shared" si="308"/>
        <v>1143</v>
      </c>
      <c r="AK217" s="112">
        <f t="shared" si="308"/>
        <v>26118.5</v>
      </c>
      <c r="AL217" s="96">
        <f t="shared" si="308"/>
        <v>1065.3875</v>
      </c>
      <c r="AM217" s="26">
        <f t="shared" si="309"/>
        <v>27925261.949999999</v>
      </c>
      <c r="AN217" s="4">
        <f t="shared" si="310"/>
        <v>1243</v>
      </c>
      <c r="AO217" s="112">
        <f t="shared" si="310"/>
        <v>25905</v>
      </c>
      <c r="AP217" s="96">
        <f t="shared" si="310"/>
        <v>1056.7249999999999</v>
      </c>
      <c r="AQ217" s="26">
        <f t="shared" si="311"/>
        <v>25487635.600000001</v>
      </c>
      <c r="AR217" s="4">
        <f t="shared" si="312"/>
        <v>1159</v>
      </c>
      <c r="AS217" s="96">
        <f t="shared" si="312"/>
        <v>24639</v>
      </c>
      <c r="AT217" s="96">
        <f t="shared" si="312"/>
        <v>998.54166666666674</v>
      </c>
      <c r="AU217" s="26">
        <f t="shared" si="313"/>
        <v>24379227.719999999</v>
      </c>
    </row>
    <row r="218" spans="2:47">
      <c r="B218" s="461"/>
      <c r="C218" s="11" t="s">
        <v>10</v>
      </c>
      <c r="D218" s="4">
        <f t="shared" ref="D218:O218" si="316">SUM(D216:D217)</f>
        <v>0</v>
      </c>
      <c r="E218" s="3">
        <f t="shared" si="316"/>
        <v>95627</v>
      </c>
      <c r="F218" s="3">
        <f t="shared" si="316"/>
        <v>3768.5249999999996</v>
      </c>
      <c r="G218" s="26">
        <f t="shared" si="316"/>
        <v>49945949</v>
      </c>
      <c r="H218" s="4">
        <f t="shared" si="316"/>
        <v>0</v>
      </c>
      <c r="I218" s="3">
        <f t="shared" si="316"/>
        <v>94557</v>
      </c>
      <c r="J218" s="3">
        <f t="shared" si="316"/>
        <v>3722.6750000000002</v>
      </c>
      <c r="K218" s="26">
        <f t="shared" si="316"/>
        <v>50542225</v>
      </c>
      <c r="L218" s="4">
        <f t="shared" si="316"/>
        <v>3203</v>
      </c>
      <c r="M218" s="3">
        <f t="shared" si="316"/>
        <v>94813</v>
      </c>
      <c r="N218" s="3">
        <f t="shared" si="316"/>
        <v>3734.1000000000004</v>
      </c>
      <c r="O218" s="26">
        <f t="shared" si="316"/>
        <v>50644742</v>
      </c>
      <c r="P218" s="4">
        <f t="shared" si="298"/>
        <v>3543</v>
      </c>
      <c r="Q218" s="3">
        <f t="shared" si="298"/>
        <v>96247</v>
      </c>
      <c r="R218" s="3">
        <f t="shared" si="298"/>
        <v>3792.0333333333328</v>
      </c>
      <c r="S218" s="26">
        <f>SUM(S216:S217)</f>
        <v>50240014</v>
      </c>
      <c r="T218" s="4">
        <f t="shared" si="300"/>
        <v>3696</v>
      </c>
      <c r="U218" s="96">
        <f t="shared" si="300"/>
        <v>99870</v>
      </c>
      <c r="V218" s="96">
        <f t="shared" si="300"/>
        <v>3929.0083333333337</v>
      </c>
      <c r="W218" s="26">
        <f>SUM(W216:W217)</f>
        <v>53291500</v>
      </c>
      <c r="X218" s="4">
        <f t="shared" si="302"/>
        <v>4013</v>
      </c>
      <c r="Y218" s="3">
        <f t="shared" si="302"/>
        <v>94294</v>
      </c>
      <c r="Z218" s="3">
        <f t="shared" si="302"/>
        <v>3705.5833333333335</v>
      </c>
      <c r="AA218" s="26">
        <f>SUM(AA216:AA217)</f>
        <v>57028352.700000003</v>
      </c>
      <c r="AB218" s="4">
        <f t="shared" si="304"/>
        <v>3812</v>
      </c>
      <c r="AC218" s="3">
        <f t="shared" si="304"/>
        <v>100664</v>
      </c>
      <c r="AD218" s="3">
        <f t="shared" si="304"/>
        <v>3972.5</v>
      </c>
      <c r="AE218" s="26">
        <f>SUM(AE216:AE217)</f>
        <v>61293822.950000003</v>
      </c>
      <c r="AF218" s="4">
        <f t="shared" si="306"/>
        <v>3815</v>
      </c>
      <c r="AG218" s="3">
        <f t="shared" si="306"/>
        <v>101677</v>
      </c>
      <c r="AH218" s="3">
        <f t="shared" si="306"/>
        <v>3996.3916666666664</v>
      </c>
      <c r="AI218" s="26">
        <f>SUM(AI216:AI217)</f>
        <v>68060769</v>
      </c>
      <c r="AJ218" s="221">
        <f t="shared" si="308"/>
        <v>4157</v>
      </c>
      <c r="AK218" s="112">
        <f t="shared" si="308"/>
        <v>109278</v>
      </c>
      <c r="AL218" s="96">
        <f t="shared" si="308"/>
        <v>4305.1916666666666</v>
      </c>
      <c r="AM218" s="26">
        <f>SUM(AM216:AM217)</f>
        <v>73329649.739999995</v>
      </c>
      <c r="AN218" s="4">
        <f t="shared" si="310"/>
        <v>4358</v>
      </c>
      <c r="AO218" s="112">
        <f t="shared" si="310"/>
        <v>106872</v>
      </c>
      <c r="AP218" s="96">
        <f t="shared" si="310"/>
        <v>4210.0583333333334</v>
      </c>
      <c r="AQ218" s="26">
        <f>SUM(AQ216:AQ217)</f>
        <v>73295587.25</v>
      </c>
      <c r="AR218" s="4">
        <f t="shared" si="312"/>
        <v>4122</v>
      </c>
      <c r="AS218" s="96">
        <f t="shared" si="312"/>
        <v>106007.5</v>
      </c>
      <c r="AT218" s="96">
        <f t="shared" si="312"/>
        <v>4170.6541666666672</v>
      </c>
      <c r="AU218" s="26">
        <f>SUM(AU216:AU217)</f>
        <v>70796155.200000003</v>
      </c>
    </row>
    <row r="219" spans="2:47" ht="21.75" customHeight="1">
      <c r="B219" s="7"/>
      <c r="C219" s="71" t="s">
        <v>15</v>
      </c>
      <c r="D219" s="3">
        <f t="shared" ref="D219:N219" si="317">D162+D134+D106+D78+D49+D21</f>
        <v>0</v>
      </c>
      <c r="E219" s="3">
        <f t="shared" si="317"/>
        <v>0</v>
      </c>
      <c r="F219" s="3">
        <f t="shared" si="317"/>
        <v>0</v>
      </c>
      <c r="G219" s="26">
        <f t="shared" si="317"/>
        <v>0</v>
      </c>
      <c r="H219" s="3">
        <f t="shared" si="317"/>
        <v>0</v>
      </c>
      <c r="I219" s="3">
        <f t="shared" si="317"/>
        <v>0</v>
      </c>
      <c r="J219" s="3">
        <f t="shared" si="317"/>
        <v>0</v>
      </c>
      <c r="K219" s="26">
        <f t="shared" ref="K219" si="318">K162+K134+K106+K78+K49+K21</f>
        <v>0</v>
      </c>
      <c r="L219" s="3">
        <f t="shared" si="317"/>
        <v>0</v>
      </c>
      <c r="M219" s="3">
        <f t="shared" si="317"/>
        <v>0</v>
      </c>
      <c r="N219" s="3">
        <f t="shared" si="317"/>
        <v>0</v>
      </c>
      <c r="O219" s="26">
        <f t="shared" ref="O219" si="319">O162+O134+O106+O78+O49+O21</f>
        <v>0</v>
      </c>
      <c r="P219" s="3">
        <f t="shared" si="298"/>
        <v>522</v>
      </c>
      <c r="Q219" s="3">
        <f t="shared" si="298"/>
        <v>16718</v>
      </c>
      <c r="R219" s="3">
        <f t="shared" si="298"/>
        <v>696.58333333333337</v>
      </c>
      <c r="S219" s="26">
        <f t="shared" ref="S219" si="320">S162+S134+S106+S78+S49+S21</f>
        <v>0</v>
      </c>
      <c r="T219" s="3">
        <f t="shared" si="300"/>
        <v>535</v>
      </c>
      <c r="U219" s="96">
        <f t="shared" si="300"/>
        <v>0</v>
      </c>
      <c r="V219" s="3">
        <f t="shared" si="300"/>
        <v>0</v>
      </c>
      <c r="W219" s="26">
        <f t="shared" ref="W219" si="321">W162+W134+W106+W78+W49+W21</f>
        <v>0</v>
      </c>
      <c r="X219" s="3">
        <f t="shared" si="302"/>
        <v>559</v>
      </c>
      <c r="Y219" s="3">
        <f t="shared" si="302"/>
        <v>0</v>
      </c>
      <c r="Z219" s="3">
        <f t="shared" si="302"/>
        <v>0</v>
      </c>
      <c r="AA219" s="26">
        <f t="shared" ref="AA219" si="322">AA162+AA134+AA106+AA78+AA49+AA21</f>
        <v>0</v>
      </c>
      <c r="AB219" s="3">
        <f t="shared" si="304"/>
        <v>564</v>
      </c>
      <c r="AC219" s="3">
        <f t="shared" si="304"/>
        <v>0</v>
      </c>
      <c r="AD219" s="3">
        <f t="shared" si="304"/>
        <v>0</v>
      </c>
      <c r="AE219" s="26">
        <f t="shared" ref="AE219" si="323">AE162+AE134+AE106+AE78+AE49+AE21</f>
        <v>0</v>
      </c>
      <c r="AF219" s="3">
        <f t="shared" si="306"/>
        <v>582</v>
      </c>
      <c r="AG219" s="3">
        <f t="shared" si="306"/>
        <v>0</v>
      </c>
      <c r="AH219" s="3">
        <f t="shared" si="306"/>
        <v>0</v>
      </c>
      <c r="AI219" s="26">
        <f t="shared" ref="AI219" si="324">AI162+AI134+AI106+AI78+AI49+AI21</f>
        <v>0</v>
      </c>
      <c r="AJ219" s="3">
        <f t="shared" si="308"/>
        <v>616</v>
      </c>
      <c r="AK219" s="96">
        <f t="shared" si="308"/>
        <v>0</v>
      </c>
      <c r="AL219" s="96">
        <f t="shared" si="308"/>
        <v>0</v>
      </c>
      <c r="AM219" s="26">
        <f t="shared" ref="AM219" si="325">AM162+AM134+AM106+AM78+AM49+AM21</f>
        <v>0</v>
      </c>
      <c r="AN219" s="3">
        <f t="shared" si="310"/>
        <v>636</v>
      </c>
      <c r="AO219" s="96">
        <f t="shared" si="310"/>
        <v>0</v>
      </c>
      <c r="AP219" s="96">
        <f t="shared" si="310"/>
        <v>0</v>
      </c>
      <c r="AQ219" s="26">
        <f t="shared" ref="AQ219" si="326">AQ162+AQ134+AQ106+AQ78+AQ49+AQ21</f>
        <v>0</v>
      </c>
      <c r="AR219" s="3">
        <f t="shared" si="312"/>
        <v>682</v>
      </c>
      <c r="AS219" s="96">
        <f t="shared" si="312"/>
        <v>0</v>
      </c>
      <c r="AT219" s="96">
        <f t="shared" si="312"/>
        <v>0</v>
      </c>
      <c r="AU219" s="26">
        <f t="shared" ref="AU219" si="327">AU162+AU134+AU106+AU78+AU49+AU21</f>
        <v>0</v>
      </c>
    </row>
    <row r="220" spans="2:47" ht="24.75" customHeight="1">
      <c r="B220" s="21" t="s">
        <v>22</v>
      </c>
      <c r="D220" s="5"/>
      <c r="E220" s="6"/>
      <c r="H220" s="5"/>
      <c r="I220" s="6"/>
      <c r="L220" s="5"/>
      <c r="M220" s="6"/>
      <c r="P220" s="5"/>
      <c r="Q220" s="6"/>
      <c r="T220" s="5"/>
      <c r="U220" s="6"/>
      <c r="X220" s="5"/>
      <c r="Y220" s="6"/>
      <c r="AB220" s="5"/>
      <c r="AC220" s="6"/>
      <c r="AF220" s="5"/>
      <c r="AG220" s="6"/>
      <c r="AJ220" s="5"/>
      <c r="AK220" s="6"/>
      <c r="AN220" s="5"/>
      <c r="AO220" s="6"/>
      <c r="AR220" s="5"/>
      <c r="AS220" s="6"/>
    </row>
    <row r="221" spans="2:47" ht="15">
      <c r="B221" s="28" t="s">
        <v>264</v>
      </c>
      <c r="D221" s="5"/>
      <c r="E221" s="6"/>
      <c r="G221" s="27">
        <v>24457</v>
      </c>
      <c r="H221" s="5"/>
      <c r="I221" s="6"/>
      <c r="K221" s="27">
        <v>50757</v>
      </c>
      <c r="L221" s="5"/>
      <c r="M221" s="6"/>
      <c r="O221" s="27">
        <v>49105</v>
      </c>
      <c r="P221" s="5"/>
      <c r="Q221" s="6"/>
      <c r="S221" s="27">
        <v>162173</v>
      </c>
      <c r="T221" s="5"/>
      <c r="U221" s="6"/>
      <c r="W221" s="27">
        <v>5341</v>
      </c>
      <c r="X221" s="5"/>
      <c r="Y221" s="6"/>
      <c r="AA221" s="26">
        <f>AA164+AA136+AA108+AA80+AA51+AA23+AA193</f>
        <v>31811.38</v>
      </c>
      <c r="AB221" s="5"/>
      <c r="AC221" s="6"/>
      <c r="AE221" s="26">
        <f>AE164+AE136+AE108+AE80+AE51+AE23+AE193</f>
        <v>34044.5</v>
      </c>
      <c r="AF221" s="5"/>
      <c r="AG221" s="6"/>
      <c r="AI221" s="26">
        <v>310627</v>
      </c>
      <c r="AJ221" s="5"/>
      <c r="AK221" s="6"/>
      <c r="AM221" s="26">
        <f>AM164+AM136+AM108+AM80+AM51+AM23+AM193</f>
        <v>28630</v>
      </c>
      <c r="AN221" s="5"/>
      <c r="AO221" s="6"/>
      <c r="AQ221" s="26">
        <f>AQ164+AQ136+AQ108+AQ80+AQ51+AQ23+AQ193</f>
        <v>89451</v>
      </c>
      <c r="AR221" s="5"/>
      <c r="AS221" s="6"/>
      <c r="AU221" s="26">
        <f>AU164+AU136+AU108+AU80+AU51+AU23+AU193</f>
        <v>140047</v>
      </c>
    </row>
    <row r="222" spans="2:47" ht="15">
      <c r="B222" s="28" t="s">
        <v>265</v>
      </c>
      <c r="D222" s="5"/>
      <c r="E222" s="6"/>
      <c r="G222" s="27">
        <v>15238864</v>
      </c>
      <c r="H222" s="5"/>
      <c r="I222" s="6"/>
      <c r="K222" s="27">
        <v>14513938</v>
      </c>
      <c r="L222" s="5"/>
      <c r="M222" s="6"/>
      <c r="O222" s="27">
        <v>14930454</v>
      </c>
      <c r="P222" s="5"/>
      <c r="Q222" s="6"/>
      <c r="S222" s="27">
        <v>14311430</v>
      </c>
      <c r="T222" s="5"/>
      <c r="U222" s="6"/>
      <c r="W222" s="27">
        <f>15522038-1233474</f>
        <v>14288564</v>
      </c>
      <c r="X222" s="5"/>
      <c r="Y222" s="6"/>
      <c r="AA222" s="26">
        <f>AA165+AA137+AA109+AA81+AA52+AA24+AA194</f>
        <v>14521804.310000001</v>
      </c>
      <c r="AB222" s="5"/>
      <c r="AC222" s="6"/>
      <c r="AE222" s="26">
        <f>AE165+AE137+AE109+AE81+AE52+AE24+AE194</f>
        <v>15156245.190000001</v>
      </c>
      <c r="AF222" s="5"/>
      <c r="AG222" s="6"/>
      <c r="AI222" s="26">
        <f>AI165+AI137+AI109+AI81+AI52+AI24+AI194</f>
        <v>15715496</v>
      </c>
      <c r="AJ222" s="5"/>
      <c r="AK222" s="6"/>
      <c r="AM222" s="26">
        <f>AM165+AM137+AM109+AM81+AM52+AM24+AM194</f>
        <v>15213899.800000001</v>
      </c>
      <c r="AN222" s="5"/>
      <c r="AO222" s="6"/>
      <c r="AQ222" s="26">
        <f>AQ165+AQ137+AQ109+AQ81+AQ52+AQ24+AQ194</f>
        <v>14827035</v>
      </c>
      <c r="AR222" s="5"/>
      <c r="AS222" s="6"/>
      <c r="AU222" s="26">
        <f>AU165+AU137+AU109+AU81+AU52+AU24+AU194</f>
        <v>13048456</v>
      </c>
    </row>
    <row r="223" spans="2:47" ht="15">
      <c r="B223" s="28" t="s">
        <v>23</v>
      </c>
      <c r="D223" s="5"/>
      <c r="E223" s="6"/>
      <c r="G223" s="26">
        <f>G218-G221-G222</f>
        <v>34682628</v>
      </c>
      <c r="H223" s="5"/>
      <c r="I223" s="6"/>
      <c r="K223" s="26">
        <f>K218-K221-K222</f>
        <v>35977530</v>
      </c>
      <c r="L223" s="5"/>
      <c r="M223" s="6"/>
      <c r="O223" s="26">
        <f>O218-O221-O222</f>
        <v>35665183</v>
      </c>
      <c r="P223" s="5"/>
      <c r="Q223" s="6"/>
      <c r="S223" s="26">
        <f>S218-S221-S222</f>
        <v>35766411</v>
      </c>
      <c r="T223" s="5"/>
      <c r="U223" s="6"/>
      <c r="W223" s="26">
        <f>W218-W221-W222</f>
        <v>38997595</v>
      </c>
      <c r="X223" s="5"/>
      <c r="Y223" s="6"/>
      <c r="AA223" s="26">
        <f>AA166+AA138+AA110+AA82+AA53+AA25+AA195</f>
        <v>42442925.630000003</v>
      </c>
      <c r="AB223" s="5"/>
      <c r="AC223" s="6"/>
      <c r="AE223" s="26">
        <f>AE166+AE138+AE110+AE82+AE53+AE25+AE195</f>
        <v>46103533.259999998</v>
      </c>
      <c r="AF223" s="5"/>
      <c r="AG223" s="6"/>
      <c r="AI223" s="26">
        <f>AI166+AI138+AI110+AI82+AI53+AI25+AI195</f>
        <v>52034646</v>
      </c>
      <c r="AJ223" s="5"/>
      <c r="AK223" s="6"/>
      <c r="AM223" s="26">
        <f>AM166+AM138+AM110+AM82+AM53+AM25+AM195</f>
        <v>58087119.940000005</v>
      </c>
      <c r="AN223" s="5"/>
      <c r="AO223" s="6"/>
      <c r="AQ223" s="26">
        <f>AQ166+AQ138+AQ110+AQ82+AQ53+AQ25+AQ195</f>
        <v>58379101.25</v>
      </c>
      <c r="AR223" s="5"/>
      <c r="AS223" s="6"/>
      <c r="AU223" s="26">
        <f>AU166+AU138+AU110+AU82+AU53+AU25+AU195</f>
        <v>57607652.200000003</v>
      </c>
    </row>
    <row r="224" spans="2:47">
      <c r="D224" s="7"/>
      <c r="E224" s="7"/>
      <c r="F224" s="53"/>
      <c r="G224" s="25"/>
      <c r="H224" s="14"/>
      <c r="I224" s="7"/>
      <c r="J224" s="53"/>
      <c r="K224" s="25"/>
      <c r="L224" s="14"/>
      <c r="M224" s="7"/>
      <c r="N224" s="53"/>
      <c r="O224" s="25"/>
      <c r="P224" s="14"/>
      <c r="Q224" s="7"/>
      <c r="R224" s="53"/>
      <c r="S224" s="25"/>
      <c r="T224" s="14"/>
      <c r="U224" s="7"/>
      <c r="V224" s="53"/>
      <c r="W224" s="25"/>
      <c r="X224" s="14"/>
      <c r="Y224" s="7"/>
      <c r="Z224" s="53"/>
      <c r="AA224" s="25"/>
      <c r="AB224" s="14"/>
      <c r="AC224" s="7"/>
      <c r="AD224" s="53"/>
      <c r="AE224" s="25"/>
      <c r="AF224" s="14"/>
      <c r="AG224" s="7"/>
      <c r="AH224" s="53"/>
      <c r="AI224" s="25"/>
      <c r="AJ224" s="14"/>
      <c r="AK224" s="7"/>
      <c r="AL224" s="53"/>
      <c r="AM224" s="25"/>
      <c r="AN224" s="14"/>
      <c r="AO224" s="7"/>
      <c r="AP224" s="53"/>
      <c r="AQ224" s="25"/>
      <c r="AR224" s="14"/>
      <c r="AS224" s="7"/>
      <c r="AT224" s="53"/>
      <c r="AU224" s="25"/>
    </row>
    <row r="225" spans="2:47">
      <c r="B225" s="7"/>
      <c r="C225" s="7"/>
      <c r="D225" s="7"/>
      <c r="E225" s="7"/>
      <c r="F225" s="53"/>
      <c r="G225" s="25"/>
      <c r="H225" s="14"/>
      <c r="I225" s="7"/>
      <c r="J225" s="53"/>
      <c r="K225" s="25"/>
      <c r="L225" s="14"/>
      <c r="M225" s="7"/>
      <c r="N225" s="53"/>
      <c r="O225" s="25"/>
      <c r="P225" s="14"/>
      <c r="Q225" s="7"/>
      <c r="R225" s="53"/>
      <c r="S225" s="25"/>
      <c r="T225" s="14"/>
      <c r="U225" s="7"/>
      <c r="V225" s="53"/>
      <c r="W225" s="25"/>
      <c r="X225" s="14"/>
      <c r="Y225" s="7"/>
      <c r="Z225" s="53"/>
      <c r="AA225" s="25"/>
      <c r="AB225" s="14"/>
      <c r="AC225" s="7"/>
      <c r="AD225" s="53"/>
      <c r="AE225" s="25"/>
      <c r="AF225" s="14"/>
      <c r="AG225" s="7"/>
      <c r="AH225" s="53"/>
      <c r="AI225" s="25"/>
      <c r="AJ225" s="14"/>
      <c r="AK225" s="7"/>
      <c r="AL225" s="53"/>
      <c r="AM225" s="25"/>
      <c r="AN225" s="14"/>
      <c r="AO225" s="7"/>
      <c r="AP225" s="53"/>
      <c r="AQ225" s="25"/>
      <c r="AR225" s="14"/>
      <c r="AS225" s="7"/>
      <c r="AT225" s="53"/>
      <c r="AU225" s="25"/>
    </row>
    <row r="226" spans="2:47">
      <c r="B226" s="12"/>
      <c r="C226" s="12"/>
      <c r="D226" s="12"/>
      <c r="E226" s="12"/>
      <c r="F226" s="54"/>
      <c r="G226" s="24"/>
      <c r="H226" s="13"/>
      <c r="I226" s="12"/>
      <c r="J226" s="54"/>
      <c r="K226" s="24"/>
      <c r="L226" s="13"/>
      <c r="M226" s="12"/>
      <c r="N226" s="54"/>
      <c r="O226" s="24"/>
      <c r="P226" s="13"/>
      <c r="Q226" s="12"/>
      <c r="R226" s="54"/>
      <c r="S226" s="24"/>
      <c r="T226" s="13"/>
      <c r="U226" s="12"/>
      <c r="V226" s="54"/>
      <c r="W226" s="24"/>
      <c r="X226" s="13"/>
      <c r="Y226" s="12"/>
      <c r="Z226" s="54"/>
      <c r="AA226" s="24"/>
      <c r="AB226" s="13"/>
      <c r="AC226" s="12"/>
      <c r="AD226" s="54"/>
      <c r="AE226" s="24"/>
      <c r="AF226" s="13"/>
      <c r="AG226" s="12"/>
      <c r="AH226" s="54"/>
      <c r="AI226" s="24"/>
      <c r="AJ226" s="13"/>
      <c r="AK226" s="12"/>
      <c r="AL226" s="54"/>
      <c r="AM226" s="24"/>
      <c r="AN226" s="13"/>
      <c r="AO226" s="12"/>
      <c r="AP226" s="54"/>
      <c r="AQ226" s="24"/>
      <c r="AR226" s="13"/>
      <c r="AS226" s="12"/>
      <c r="AT226" s="54"/>
      <c r="AU226" s="24"/>
    </row>
    <row r="227" spans="2:47">
      <c r="B227" s="12"/>
      <c r="C227" s="12"/>
      <c r="D227" s="12"/>
      <c r="E227" s="12"/>
      <c r="F227" s="54"/>
      <c r="G227" s="24"/>
      <c r="H227" s="13"/>
      <c r="I227" s="12"/>
      <c r="J227" s="54"/>
      <c r="K227" s="24"/>
      <c r="L227" s="13"/>
      <c r="M227" s="12"/>
      <c r="N227" s="54"/>
      <c r="O227" s="24"/>
      <c r="P227" s="13"/>
      <c r="Q227" s="12"/>
      <c r="R227" s="54"/>
      <c r="S227" s="24"/>
      <c r="T227" s="13"/>
      <c r="U227" s="12"/>
      <c r="V227" s="54"/>
      <c r="W227" s="24"/>
      <c r="X227" s="13"/>
      <c r="Y227" s="12"/>
      <c r="Z227" s="54"/>
      <c r="AA227" s="24"/>
      <c r="AB227" s="13"/>
      <c r="AC227" s="12"/>
      <c r="AD227" s="54"/>
      <c r="AE227" s="24"/>
      <c r="AF227" s="13"/>
      <c r="AG227" s="12"/>
      <c r="AH227" s="54"/>
      <c r="AI227" s="24"/>
      <c r="AJ227" s="13"/>
      <c r="AK227" s="12"/>
      <c r="AL227" s="54"/>
      <c r="AM227" s="24"/>
      <c r="AN227" s="13"/>
      <c r="AO227" s="12"/>
      <c r="AP227" s="54"/>
      <c r="AQ227" s="24"/>
      <c r="AR227" s="13"/>
      <c r="AS227" s="12"/>
      <c r="AT227" s="54"/>
      <c r="AU227" s="24"/>
    </row>
    <row r="228" spans="2:47">
      <c r="B228" s="7"/>
      <c r="C228" s="7"/>
      <c r="D228" s="7"/>
      <c r="E228" s="7"/>
      <c r="F228" s="53"/>
      <c r="G228" s="25"/>
      <c r="H228" s="14"/>
      <c r="I228" s="7"/>
      <c r="J228" s="53"/>
      <c r="K228" s="25"/>
      <c r="L228" s="14"/>
      <c r="M228" s="7"/>
      <c r="N228" s="53"/>
      <c r="O228" s="25"/>
      <c r="P228" s="14"/>
      <c r="Q228" s="7"/>
      <c r="R228" s="53"/>
      <c r="S228" s="25"/>
      <c r="T228" s="14"/>
      <c r="U228" s="7"/>
      <c r="V228" s="53"/>
      <c r="W228" s="25"/>
      <c r="X228" s="14"/>
      <c r="Y228" s="7"/>
      <c r="Z228" s="53"/>
      <c r="AA228" s="25"/>
      <c r="AB228" s="14"/>
      <c r="AC228" s="7"/>
      <c r="AD228" s="53"/>
      <c r="AE228" s="25"/>
      <c r="AF228" s="14"/>
      <c r="AG228" s="7"/>
      <c r="AH228" s="53"/>
      <c r="AI228" s="25"/>
      <c r="AJ228" s="14"/>
      <c r="AK228" s="7"/>
      <c r="AL228" s="53"/>
      <c r="AM228" s="25"/>
      <c r="AN228" s="14"/>
      <c r="AO228" s="7"/>
      <c r="AP228" s="53"/>
      <c r="AQ228" s="25"/>
      <c r="AR228" s="14"/>
      <c r="AS228" s="7"/>
      <c r="AT228" s="53"/>
      <c r="AU228" s="25"/>
    </row>
    <row r="229" spans="2:47" s="72" customFormat="1" ht="15.75">
      <c r="B229" s="70"/>
      <c r="C229" s="70"/>
      <c r="D229" s="444" t="str">
        <f>D2&amp;" Comments"</f>
        <v>2012-13 Comments</v>
      </c>
      <c r="E229" s="445"/>
      <c r="F229" s="445"/>
      <c r="G229" s="446"/>
      <c r="H229" s="447" t="str">
        <f>H2&amp;" Comments"</f>
        <v>2013-14 Comments</v>
      </c>
      <c r="I229" s="448"/>
      <c r="J229" s="448"/>
      <c r="K229" s="449"/>
      <c r="L229" s="450" t="str">
        <f>L2&amp;" Comments"</f>
        <v>2014-15 Comments</v>
      </c>
      <c r="M229" s="451"/>
      <c r="N229" s="451"/>
      <c r="O229" s="452"/>
      <c r="P229" s="431" t="str">
        <f>P$2&amp;" Comments"</f>
        <v>2015-16 Comments</v>
      </c>
      <c r="Q229" s="432"/>
      <c r="R229" s="432"/>
      <c r="S229" s="433"/>
      <c r="T229" s="434" t="str">
        <f>T$2&amp;" Comments"</f>
        <v>2016-17 Comments</v>
      </c>
      <c r="U229" s="435"/>
      <c r="V229" s="435"/>
      <c r="W229" s="436"/>
      <c r="X229" s="437" t="str">
        <f>X$2&amp;" Comments"</f>
        <v>2017-18 Comments</v>
      </c>
      <c r="Y229" s="438"/>
      <c r="Z229" s="438"/>
      <c r="AA229" s="439"/>
      <c r="AB229" s="422" t="str">
        <f>AB$2&amp;" Comments"</f>
        <v>2018-19 Comments</v>
      </c>
      <c r="AC229" s="423"/>
      <c r="AD229" s="423"/>
      <c r="AE229" s="424"/>
      <c r="AF229" s="425" t="str">
        <f>AF$2&amp;" Comments"</f>
        <v>2019-20 Comments</v>
      </c>
      <c r="AG229" s="426"/>
      <c r="AH229" s="426"/>
      <c r="AI229" s="427"/>
      <c r="AJ229" s="428" t="str">
        <f t="shared" ref="AJ229" si="328">AJ$2&amp;" Comments"</f>
        <v>2020-21 Comments</v>
      </c>
      <c r="AK229" s="429"/>
      <c r="AL229" s="429"/>
      <c r="AM229" s="430"/>
      <c r="AN229" s="431" t="str">
        <f>AN$2&amp;" Comments"</f>
        <v>2021-22 Comments</v>
      </c>
      <c r="AO229" s="432"/>
      <c r="AP229" s="432"/>
      <c r="AQ229" s="433"/>
      <c r="AR229" s="434" t="str">
        <f>AR$2&amp;" Comments"</f>
        <v>2022-23 Comments</v>
      </c>
      <c r="AS229" s="435"/>
      <c r="AT229" s="435"/>
      <c r="AU229" s="436"/>
    </row>
    <row r="230" spans="2:47" ht="269.25" customHeight="1">
      <c r="B230" s="7"/>
      <c r="C230" s="7"/>
      <c r="D230" s="440"/>
      <c r="E230" s="441"/>
      <c r="F230" s="441"/>
      <c r="G230" s="442"/>
      <c r="H230" s="440"/>
      <c r="I230" s="441"/>
      <c r="J230" s="441"/>
      <c r="K230" s="442"/>
      <c r="L230" s="440"/>
      <c r="M230" s="441"/>
      <c r="N230" s="441"/>
      <c r="O230" s="442"/>
      <c r="P230" s="440"/>
      <c r="Q230" s="441"/>
      <c r="R230" s="441"/>
      <c r="S230" s="442"/>
      <c r="T230" s="443" t="s">
        <v>272</v>
      </c>
      <c r="U230" s="441"/>
      <c r="V230" s="441"/>
      <c r="W230" s="442"/>
      <c r="X230" s="416" t="s">
        <v>273</v>
      </c>
      <c r="Y230" s="417"/>
      <c r="Z230" s="417"/>
      <c r="AA230" s="418"/>
      <c r="AB230" s="416"/>
      <c r="AC230" s="417"/>
      <c r="AD230" s="417"/>
      <c r="AE230" s="418"/>
      <c r="AF230" s="416"/>
      <c r="AG230" s="417"/>
      <c r="AH230" s="417"/>
      <c r="AI230" s="418"/>
      <c r="AJ230" s="416"/>
      <c r="AK230" s="417"/>
      <c r="AL230" s="417"/>
      <c r="AM230" s="418"/>
      <c r="AN230" s="416"/>
      <c r="AO230" s="417"/>
      <c r="AP230" s="417"/>
      <c r="AQ230" s="418"/>
      <c r="AR230" s="419"/>
      <c r="AS230" s="420"/>
      <c r="AT230" s="420"/>
      <c r="AU230" s="421"/>
    </row>
    <row r="231" spans="2:47">
      <c r="B231" s="7"/>
      <c r="C231" s="7"/>
      <c r="D231" s="7"/>
      <c r="E231" s="7"/>
      <c r="F231" s="53"/>
      <c r="G231" s="25"/>
      <c r="H231" s="14"/>
      <c r="I231" s="7"/>
      <c r="J231" s="53"/>
      <c r="K231" s="25"/>
      <c r="L231" s="14"/>
      <c r="M231" s="7"/>
      <c r="N231" s="53"/>
      <c r="O231" s="25"/>
      <c r="P231" s="14"/>
      <c r="Q231" s="7"/>
      <c r="R231" s="53"/>
      <c r="S231" s="25"/>
      <c r="T231" s="14"/>
      <c r="U231" s="7"/>
      <c r="V231" s="53"/>
      <c r="W231" s="25"/>
      <c r="X231" s="14"/>
      <c r="Y231" s="7"/>
      <c r="Z231" s="53"/>
      <c r="AA231" s="25"/>
      <c r="AB231" s="14"/>
      <c r="AC231" s="7"/>
      <c r="AD231" s="53"/>
      <c r="AE231" s="25"/>
      <c r="AF231" s="14"/>
      <c r="AG231" s="7"/>
      <c r="AH231" s="53"/>
      <c r="AI231" s="25"/>
      <c r="AJ231" s="14"/>
      <c r="AK231" s="7"/>
      <c r="AL231" s="53"/>
      <c r="AM231" s="25"/>
      <c r="AN231" s="14"/>
      <c r="AO231" s="7"/>
      <c r="AP231" s="53"/>
      <c r="AQ231" s="25"/>
      <c r="AR231" s="14"/>
      <c r="AS231" s="7"/>
      <c r="AT231" s="53"/>
      <c r="AU231" s="25"/>
    </row>
  </sheetData>
  <sheetProtection formatColumns="0"/>
  <mergeCells count="502">
    <mergeCell ref="X2:AA2"/>
    <mergeCell ref="AB2:AE2"/>
    <mergeCell ref="AF2:AI2"/>
    <mergeCell ref="AJ2:AM2"/>
    <mergeCell ref="AN2:AQ2"/>
    <mergeCell ref="AR2:AU2"/>
    <mergeCell ref="B2:C2"/>
    <mergeCell ref="D2:G2"/>
    <mergeCell ref="H2:K2"/>
    <mergeCell ref="L2:O2"/>
    <mergeCell ref="P2:S2"/>
    <mergeCell ref="T2:W2"/>
    <mergeCell ref="J3:J5"/>
    <mergeCell ref="K3:K5"/>
    <mergeCell ref="L3:L5"/>
    <mergeCell ref="M3:M5"/>
    <mergeCell ref="N3:N5"/>
    <mergeCell ref="O3:O5"/>
    <mergeCell ref="D3:D5"/>
    <mergeCell ref="E3:E5"/>
    <mergeCell ref="F3:F5"/>
    <mergeCell ref="G3:G5"/>
    <mergeCell ref="H3:H5"/>
    <mergeCell ref="I3:I5"/>
    <mergeCell ref="V3:V5"/>
    <mergeCell ref="W3:W5"/>
    <mergeCell ref="X3:X5"/>
    <mergeCell ref="Y3:Y5"/>
    <mergeCell ref="Z3:Z5"/>
    <mergeCell ref="AA3:AA5"/>
    <mergeCell ref="P3:P5"/>
    <mergeCell ref="Q3:Q5"/>
    <mergeCell ref="R3:R5"/>
    <mergeCell ref="S3:S5"/>
    <mergeCell ref="T3:T5"/>
    <mergeCell ref="U3:U5"/>
    <mergeCell ref="AT3:AT5"/>
    <mergeCell ref="AU3:AU5"/>
    <mergeCell ref="B6:B8"/>
    <mergeCell ref="B10:B12"/>
    <mergeCell ref="B14:B16"/>
    <mergeCell ref="B18:B20"/>
    <mergeCell ref="AN3:AN5"/>
    <mergeCell ref="AO3:AO5"/>
    <mergeCell ref="AP3:AP5"/>
    <mergeCell ref="AQ3:AQ5"/>
    <mergeCell ref="AR3:AR5"/>
    <mergeCell ref="AS3:AS5"/>
    <mergeCell ref="AH3:AH5"/>
    <mergeCell ref="AI3:AI5"/>
    <mergeCell ref="AJ3:AJ5"/>
    <mergeCell ref="AK3:AK5"/>
    <mergeCell ref="AL3:AL5"/>
    <mergeCell ref="AM3:AM5"/>
    <mergeCell ref="AB3:AB5"/>
    <mergeCell ref="AC3:AC5"/>
    <mergeCell ref="AD3:AD5"/>
    <mergeCell ref="AE3:AE5"/>
    <mergeCell ref="AF3:AF5"/>
    <mergeCell ref="AG3:AG5"/>
    <mergeCell ref="X30:AA30"/>
    <mergeCell ref="AB30:AE30"/>
    <mergeCell ref="AF30:AI30"/>
    <mergeCell ref="AJ30:AM30"/>
    <mergeCell ref="AN30:AQ30"/>
    <mergeCell ref="AR30:AU30"/>
    <mergeCell ref="B30:C30"/>
    <mergeCell ref="D30:G30"/>
    <mergeCell ref="H30:K30"/>
    <mergeCell ref="L30:O30"/>
    <mergeCell ref="P30:S30"/>
    <mergeCell ref="T30:W30"/>
    <mergeCell ref="J31:J33"/>
    <mergeCell ref="K31:K33"/>
    <mergeCell ref="L31:L33"/>
    <mergeCell ref="M31:M33"/>
    <mergeCell ref="N31:N33"/>
    <mergeCell ref="O31:O33"/>
    <mergeCell ref="D31:D33"/>
    <mergeCell ref="E31:E33"/>
    <mergeCell ref="F31:F33"/>
    <mergeCell ref="G31:G33"/>
    <mergeCell ref="H31:H33"/>
    <mergeCell ref="I31:I33"/>
    <mergeCell ref="V31:V33"/>
    <mergeCell ref="W31:W33"/>
    <mergeCell ref="X31:X33"/>
    <mergeCell ref="Y31:Y33"/>
    <mergeCell ref="Z31:Z33"/>
    <mergeCell ref="AA31:AA33"/>
    <mergeCell ref="P31:P33"/>
    <mergeCell ref="Q31:Q33"/>
    <mergeCell ref="R31:R33"/>
    <mergeCell ref="S31:S33"/>
    <mergeCell ref="T31:T33"/>
    <mergeCell ref="U31:U33"/>
    <mergeCell ref="AT31:AT33"/>
    <mergeCell ref="AU31:AU33"/>
    <mergeCell ref="B34:B36"/>
    <mergeCell ref="B38:B40"/>
    <mergeCell ref="B42:B44"/>
    <mergeCell ref="B46:B48"/>
    <mergeCell ref="AN31:AN33"/>
    <mergeCell ref="AO31:AO33"/>
    <mergeCell ref="AP31:AP33"/>
    <mergeCell ref="AQ31:AQ33"/>
    <mergeCell ref="AR31:AR33"/>
    <mergeCell ref="AS31:AS33"/>
    <mergeCell ref="AH31:AH33"/>
    <mergeCell ref="AI31:AI33"/>
    <mergeCell ref="AJ31:AJ33"/>
    <mergeCell ref="AK31:AK33"/>
    <mergeCell ref="AL31:AL33"/>
    <mergeCell ref="AM31:AM33"/>
    <mergeCell ref="AB31:AB33"/>
    <mergeCell ref="AC31:AC33"/>
    <mergeCell ref="AD31:AD33"/>
    <mergeCell ref="AE31:AE33"/>
    <mergeCell ref="AF31:AF33"/>
    <mergeCell ref="AG31:AG33"/>
    <mergeCell ref="X59:AA59"/>
    <mergeCell ref="AB59:AE59"/>
    <mergeCell ref="AF59:AI59"/>
    <mergeCell ref="AJ59:AM59"/>
    <mergeCell ref="AN59:AQ59"/>
    <mergeCell ref="AR59:AU59"/>
    <mergeCell ref="B59:C59"/>
    <mergeCell ref="D59:G59"/>
    <mergeCell ref="H59:K59"/>
    <mergeCell ref="L59:O59"/>
    <mergeCell ref="P59:S59"/>
    <mergeCell ref="T59:W59"/>
    <mergeCell ref="J60:J62"/>
    <mergeCell ref="K60:K62"/>
    <mergeCell ref="L60:L62"/>
    <mergeCell ref="M60:M62"/>
    <mergeCell ref="N60:N62"/>
    <mergeCell ref="O60:O62"/>
    <mergeCell ref="D60:D62"/>
    <mergeCell ref="E60:E62"/>
    <mergeCell ref="F60:F62"/>
    <mergeCell ref="G60:G62"/>
    <mergeCell ref="H60:H62"/>
    <mergeCell ref="I60:I62"/>
    <mergeCell ref="V60:V62"/>
    <mergeCell ref="W60:W62"/>
    <mergeCell ref="X60:X62"/>
    <mergeCell ref="Y60:Y62"/>
    <mergeCell ref="Z60:Z62"/>
    <mergeCell ref="AA60:AA62"/>
    <mergeCell ref="P60:P62"/>
    <mergeCell ref="Q60:Q62"/>
    <mergeCell ref="R60:R62"/>
    <mergeCell ref="S60:S62"/>
    <mergeCell ref="T60:T62"/>
    <mergeCell ref="U60:U62"/>
    <mergeCell ref="AT60:AT62"/>
    <mergeCell ref="AU60:AU62"/>
    <mergeCell ref="B63:B65"/>
    <mergeCell ref="B67:B69"/>
    <mergeCell ref="B71:B73"/>
    <mergeCell ref="B75:B77"/>
    <mergeCell ref="AN60:AN62"/>
    <mergeCell ref="AO60:AO62"/>
    <mergeCell ref="AP60:AP62"/>
    <mergeCell ref="AQ60:AQ62"/>
    <mergeCell ref="AR60:AR62"/>
    <mergeCell ref="AS60:AS62"/>
    <mergeCell ref="AH60:AH62"/>
    <mergeCell ref="AI60:AI62"/>
    <mergeCell ref="AJ60:AJ62"/>
    <mergeCell ref="AK60:AK62"/>
    <mergeCell ref="AL60:AL62"/>
    <mergeCell ref="AM60:AM62"/>
    <mergeCell ref="AB60:AB62"/>
    <mergeCell ref="AC60:AC62"/>
    <mergeCell ref="AD60:AD62"/>
    <mergeCell ref="AE60:AE62"/>
    <mergeCell ref="AF60:AF62"/>
    <mergeCell ref="AG60:AG62"/>
    <mergeCell ref="X87:AA87"/>
    <mergeCell ref="AB87:AE87"/>
    <mergeCell ref="AF87:AI87"/>
    <mergeCell ref="AJ87:AM87"/>
    <mergeCell ref="AN87:AQ87"/>
    <mergeCell ref="AR87:AU87"/>
    <mergeCell ref="B87:C87"/>
    <mergeCell ref="D87:G87"/>
    <mergeCell ref="H87:K87"/>
    <mergeCell ref="L87:O87"/>
    <mergeCell ref="P87:S87"/>
    <mergeCell ref="T87:W87"/>
    <mergeCell ref="J88:J90"/>
    <mergeCell ref="K88:K90"/>
    <mergeCell ref="L88:L90"/>
    <mergeCell ref="M88:M90"/>
    <mergeCell ref="N88:N90"/>
    <mergeCell ref="O88:O90"/>
    <mergeCell ref="D88:D90"/>
    <mergeCell ref="E88:E90"/>
    <mergeCell ref="F88:F90"/>
    <mergeCell ref="G88:G90"/>
    <mergeCell ref="H88:H90"/>
    <mergeCell ref="I88:I90"/>
    <mergeCell ref="V88:V90"/>
    <mergeCell ref="W88:W90"/>
    <mergeCell ref="X88:X90"/>
    <mergeCell ref="Y88:Y90"/>
    <mergeCell ref="Z88:Z90"/>
    <mergeCell ref="AA88:AA90"/>
    <mergeCell ref="P88:P90"/>
    <mergeCell ref="Q88:Q90"/>
    <mergeCell ref="R88:R90"/>
    <mergeCell ref="S88:S90"/>
    <mergeCell ref="T88:T90"/>
    <mergeCell ref="U88:U90"/>
    <mergeCell ref="AT88:AT90"/>
    <mergeCell ref="AU88:AU90"/>
    <mergeCell ref="B91:B93"/>
    <mergeCell ref="B95:B97"/>
    <mergeCell ref="B99:B101"/>
    <mergeCell ref="B103:B105"/>
    <mergeCell ref="AN88:AN90"/>
    <mergeCell ref="AO88:AO90"/>
    <mergeCell ref="AP88:AP90"/>
    <mergeCell ref="AQ88:AQ90"/>
    <mergeCell ref="AR88:AR90"/>
    <mergeCell ref="AS88:AS90"/>
    <mergeCell ref="AH88:AH90"/>
    <mergeCell ref="AI88:AI90"/>
    <mergeCell ref="AJ88:AJ90"/>
    <mergeCell ref="AK88:AK90"/>
    <mergeCell ref="AL88:AL90"/>
    <mergeCell ref="AM88:AM90"/>
    <mergeCell ref="AB88:AB90"/>
    <mergeCell ref="AC88:AC90"/>
    <mergeCell ref="AD88:AD90"/>
    <mergeCell ref="AE88:AE90"/>
    <mergeCell ref="AF88:AF90"/>
    <mergeCell ref="AG88:AG90"/>
    <mergeCell ref="X115:AA115"/>
    <mergeCell ref="AB115:AE115"/>
    <mergeCell ref="AF115:AI115"/>
    <mergeCell ref="AJ115:AM115"/>
    <mergeCell ref="AN115:AQ115"/>
    <mergeCell ref="AR115:AU115"/>
    <mergeCell ref="B115:C115"/>
    <mergeCell ref="D115:G115"/>
    <mergeCell ref="H115:K115"/>
    <mergeCell ref="L115:O115"/>
    <mergeCell ref="P115:S115"/>
    <mergeCell ref="T115:W115"/>
    <mergeCell ref="J116:J118"/>
    <mergeCell ref="K116:K118"/>
    <mergeCell ref="L116:L118"/>
    <mergeCell ref="M116:M118"/>
    <mergeCell ref="N116:N118"/>
    <mergeCell ref="O116:O118"/>
    <mergeCell ref="D116:D118"/>
    <mergeCell ref="E116:E118"/>
    <mergeCell ref="F116:F118"/>
    <mergeCell ref="G116:G118"/>
    <mergeCell ref="H116:H118"/>
    <mergeCell ref="I116:I118"/>
    <mergeCell ref="V116:V118"/>
    <mergeCell ref="W116:W118"/>
    <mergeCell ref="X116:X118"/>
    <mergeCell ref="Y116:Y118"/>
    <mergeCell ref="Z116:Z118"/>
    <mergeCell ref="AA116:AA118"/>
    <mergeCell ref="P116:P118"/>
    <mergeCell ref="Q116:Q118"/>
    <mergeCell ref="R116:R118"/>
    <mergeCell ref="S116:S118"/>
    <mergeCell ref="T116:T118"/>
    <mergeCell ref="U116:U118"/>
    <mergeCell ref="AT116:AT118"/>
    <mergeCell ref="AU116:AU118"/>
    <mergeCell ref="B119:B121"/>
    <mergeCell ref="B123:B125"/>
    <mergeCell ref="B127:B129"/>
    <mergeCell ref="B131:B133"/>
    <mergeCell ref="AN116:AN118"/>
    <mergeCell ref="AO116:AO118"/>
    <mergeCell ref="AP116:AP118"/>
    <mergeCell ref="AQ116:AQ118"/>
    <mergeCell ref="AR116:AR118"/>
    <mergeCell ref="AS116:AS118"/>
    <mergeCell ref="AH116:AH118"/>
    <mergeCell ref="AI116:AI118"/>
    <mergeCell ref="AJ116:AJ118"/>
    <mergeCell ref="AK116:AK118"/>
    <mergeCell ref="AL116:AL118"/>
    <mergeCell ref="AM116:AM118"/>
    <mergeCell ref="AB116:AB118"/>
    <mergeCell ref="AC116:AC118"/>
    <mergeCell ref="AD116:AD118"/>
    <mergeCell ref="AE116:AE118"/>
    <mergeCell ref="AF116:AF118"/>
    <mergeCell ref="AG116:AG118"/>
    <mergeCell ref="X143:AA143"/>
    <mergeCell ref="AB143:AE143"/>
    <mergeCell ref="AF143:AI143"/>
    <mergeCell ref="AJ143:AM143"/>
    <mergeCell ref="AN143:AQ143"/>
    <mergeCell ref="AR143:AU143"/>
    <mergeCell ref="B143:C143"/>
    <mergeCell ref="D143:G143"/>
    <mergeCell ref="H143:K143"/>
    <mergeCell ref="L143:O143"/>
    <mergeCell ref="P143:S143"/>
    <mergeCell ref="T143:W143"/>
    <mergeCell ref="J144:J146"/>
    <mergeCell ref="K144:K146"/>
    <mergeCell ref="L144:L146"/>
    <mergeCell ref="M144:M146"/>
    <mergeCell ref="N144:N146"/>
    <mergeCell ref="O144:O146"/>
    <mergeCell ref="D144:D146"/>
    <mergeCell ref="E144:E146"/>
    <mergeCell ref="F144:F146"/>
    <mergeCell ref="G144:G146"/>
    <mergeCell ref="H144:H146"/>
    <mergeCell ref="I144:I146"/>
    <mergeCell ref="V144:V146"/>
    <mergeCell ref="W144:W146"/>
    <mergeCell ref="X144:X146"/>
    <mergeCell ref="Y144:Y146"/>
    <mergeCell ref="Z144:Z146"/>
    <mergeCell ref="AA144:AA146"/>
    <mergeCell ref="P144:P146"/>
    <mergeCell ref="Q144:Q146"/>
    <mergeCell ref="R144:R146"/>
    <mergeCell ref="S144:S146"/>
    <mergeCell ref="T144:T146"/>
    <mergeCell ref="U144:U146"/>
    <mergeCell ref="AT144:AT146"/>
    <mergeCell ref="AU144:AU146"/>
    <mergeCell ref="B147:B149"/>
    <mergeCell ref="B151:B153"/>
    <mergeCell ref="B155:B157"/>
    <mergeCell ref="B159:B161"/>
    <mergeCell ref="AN144:AN146"/>
    <mergeCell ref="AO144:AO146"/>
    <mergeCell ref="AP144:AP146"/>
    <mergeCell ref="AQ144:AQ146"/>
    <mergeCell ref="AR144:AR146"/>
    <mergeCell ref="AS144:AS146"/>
    <mergeCell ref="AH144:AH146"/>
    <mergeCell ref="AI144:AI146"/>
    <mergeCell ref="AJ144:AJ146"/>
    <mergeCell ref="AK144:AK146"/>
    <mergeCell ref="AL144:AL146"/>
    <mergeCell ref="AM144:AM146"/>
    <mergeCell ref="AB144:AB146"/>
    <mergeCell ref="AC144:AC146"/>
    <mergeCell ref="AD144:AD146"/>
    <mergeCell ref="AE144:AE146"/>
    <mergeCell ref="AF144:AF146"/>
    <mergeCell ref="AG144:AG146"/>
    <mergeCell ref="X172:AA172"/>
    <mergeCell ref="AB172:AE172"/>
    <mergeCell ref="AF172:AI172"/>
    <mergeCell ref="AJ172:AM172"/>
    <mergeCell ref="AN172:AQ172"/>
    <mergeCell ref="AR172:AU172"/>
    <mergeCell ref="B172:C172"/>
    <mergeCell ref="D172:G172"/>
    <mergeCell ref="H172:K172"/>
    <mergeCell ref="L172:O172"/>
    <mergeCell ref="P172:S172"/>
    <mergeCell ref="T172:W172"/>
    <mergeCell ref="J173:J175"/>
    <mergeCell ref="K173:K175"/>
    <mergeCell ref="L173:L175"/>
    <mergeCell ref="M173:M175"/>
    <mergeCell ref="N173:N175"/>
    <mergeCell ref="O173:O175"/>
    <mergeCell ref="D173:D175"/>
    <mergeCell ref="E173:E175"/>
    <mergeCell ref="F173:F175"/>
    <mergeCell ref="G173:G175"/>
    <mergeCell ref="H173:H175"/>
    <mergeCell ref="I173:I175"/>
    <mergeCell ref="V173:V175"/>
    <mergeCell ref="W173:W175"/>
    <mergeCell ref="X173:X175"/>
    <mergeCell ref="Y173:Y175"/>
    <mergeCell ref="Z173:Z175"/>
    <mergeCell ref="AA173:AA175"/>
    <mergeCell ref="P173:P175"/>
    <mergeCell ref="Q173:Q175"/>
    <mergeCell ref="R173:R175"/>
    <mergeCell ref="S173:S175"/>
    <mergeCell ref="T173:T175"/>
    <mergeCell ref="U173:U175"/>
    <mergeCell ref="AT173:AT175"/>
    <mergeCell ref="AU173:AU175"/>
    <mergeCell ref="B176:B178"/>
    <mergeCell ref="B180:B182"/>
    <mergeCell ref="B184:B186"/>
    <mergeCell ref="B188:B190"/>
    <mergeCell ref="AN173:AN175"/>
    <mergeCell ref="AO173:AO175"/>
    <mergeCell ref="AP173:AP175"/>
    <mergeCell ref="AQ173:AQ175"/>
    <mergeCell ref="AR173:AR175"/>
    <mergeCell ref="AS173:AS175"/>
    <mergeCell ref="AH173:AH175"/>
    <mergeCell ref="AI173:AI175"/>
    <mergeCell ref="AJ173:AJ175"/>
    <mergeCell ref="AK173:AK175"/>
    <mergeCell ref="AL173:AL175"/>
    <mergeCell ref="AM173:AM175"/>
    <mergeCell ref="AB173:AB175"/>
    <mergeCell ref="AC173:AC175"/>
    <mergeCell ref="AD173:AD175"/>
    <mergeCell ref="AE173:AE175"/>
    <mergeCell ref="AF173:AF175"/>
    <mergeCell ref="AG173:AG175"/>
    <mergeCell ref="X200:AA200"/>
    <mergeCell ref="AB200:AE200"/>
    <mergeCell ref="AF200:AI200"/>
    <mergeCell ref="AJ200:AM200"/>
    <mergeCell ref="AN200:AQ200"/>
    <mergeCell ref="AR200:AU200"/>
    <mergeCell ref="B200:C200"/>
    <mergeCell ref="D200:G200"/>
    <mergeCell ref="H200:K200"/>
    <mergeCell ref="L200:O200"/>
    <mergeCell ref="P200:S200"/>
    <mergeCell ref="T200:W200"/>
    <mergeCell ref="J201:J203"/>
    <mergeCell ref="K201:K203"/>
    <mergeCell ref="L201:L203"/>
    <mergeCell ref="M201:M203"/>
    <mergeCell ref="N201:N203"/>
    <mergeCell ref="O201:O203"/>
    <mergeCell ref="D201:D203"/>
    <mergeCell ref="E201:E203"/>
    <mergeCell ref="F201:F203"/>
    <mergeCell ref="G201:G203"/>
    <mergeCell ref="H201:H203"/>
    <mergeCell ref="I201:I203"/>
    <mergeCell ref="V201:V203"/>
    <mergeCell ref="W201:W203"/>
    <mergeCell ref="X201:X203"/>
    <mergeCell ref="Y201:Y203"/>
    <mergeCell ref="Z201:Z203"/>
    <mergeCell ref="AA201:AA203"/>
    <mergeCell ref="P201:P203"/>
    <mergeCell ref="Q201:Q203"/>
    <mergeCell ref="R201:R203"/>
    <mergeCell ref="S201:S203"/>
    <mergeCell ref="T201:T203"/>
    <mergeCell ref="U201:U203"/>
    <mergeCell ref="AT201:AT203"/>
    <mergeCell ref="AU201:AU203"/>
    <mergeCell ref="B204:B206"/>
    <mergeCell ref="B208:B210"/>
    <mergeCell ref="B212:B214"/>
    <mergeCell ref="B216:B218"/>
    <mergeCell ref="AN201:AN203"/>
    <mergeCell ref="AO201:AO203"/>
    <mergeCell ref="AP201:AP203"/>
    <mergeCell ref="AQ201:AQ203"/>
    <mergeCell ref="AR201:AR203"/>
    <mergeCell ref="AS201:AS203"/>
    <mergeCell ref="AH201:AH203"/>
    <mergeCell ref="AI201:AI203"/>
    <mergeCell ref="AJ201:AJ203"/>
    <mergeCell ref="AK201:AK203"/>
    <mergeCell ref="AL201:AL203"/>
    <mergeCell ref="AM201:AM203"/>
    <mergeCell ref="AB201:AB203"/>
    <mergeCell ref="AC201:AC203"/>
    <mergeCell ref="AD201:AD203"/>
    <mergeCell ref="AE201:AE203"/>
    <mergeCell ref="AF201:AF203"/>
    <mergeCell ref="AG201:AG203"/>
    <mergeCell ref="D230:G230"/>
    <mergeCell ref="H230:K230"/>
    <mergeCell ref="L230:O230"/>
    <mergeCell ref="P230:S230"/>
    <mergeCell ref="T230:W230"/>
    <mergeCell ref="D229:G229"/>
    <mergeCell ref="H229:K229"/>
    <mergeCell ref="L229:O229"/>
    <mergeCell ref="P229:S229"/>
    <mergeCell ref="T229:W229"/>
    <mergeCell ref="X230:AA230"/>
    <mergeCell ref="AB230:AE230"/>
    <mergeCell ref="AF230:AI230"/>
    <mergeCell ref="AJ230:AM230"/>
    <mergeCell ref="AN230:AQ230"/>
    <mergeCell ref="AR230:AU230"/>
    <mergeCell ref="AB229:AE229"/>
    <mergeCell ref="AF229:AI229"/>
    <mergeCell ref="AJ229:AM229"/>
    <mergeCell ref="AN229:AQ229"/>
    <mergeCell ref="AR229:AU229"/>
    <mergeCell ref="X229:AA229"/>
  </mergeCells>
  <dataValidations disablePrompts="1" count="2">
    <dataValidation type="decimal" operator="greaterThanOrEqual" allowBlank="1" showInputMessage="1" showErrorMessage="1" errorTitle="data type error" error="value must be number greater than or equal to 0" sqref="AF38:AG39 AF42:AG43 AF10:AG11 AF14:AG15 AF34:AG35 H151:I152 H155:I156 AF147:AG148 AF151:AG152" xr:uid="{00000000-0002-0000-0000-000000000000}">
      <formula1>0</formula1>
    </dataValidation>
    <dataValidation type="decimal" operator="greaterThanOrEqual" allowBlank="1" showInputMessage="1" showErrorMessage="1" errorTitle="data type error" error="value must be a number greater than or equal to 0" sqref="K127" xr:uid="{A536609B-C6AA-4891-95F6-BFB8521CCEC0}">
      <formula1>0</formula1>
    </dataValidation>
  </dataValidations>
  <pageMargins left="0.25" right="0.25" top="0.5" bottom="0.5" header="0.3" footer="0.3"/>
  <pageSetup paperSize="5" scale="86" fitToHeight="0" orientation="landscape" r:id="rId1"/>
  <headerFooter>
    <oddFooter>&amp;C&amp;P of &amp;N&amp;R&amp;Z&amp;F\&amp;A</oddFooter>
  </headerFooter>
  <rowBreaks count="8" manualBreakCount="8">
    <brk id="26" max="16383" man="1"/>
    <brk id="55" max="16383" man="1"/>
    <brk id="83" max="16383" man="1"/>
    <brk id="111" max="16383" man="1"/>
    <brk id="139" max="16383" man="1"/>
    <brk id="168" max="16383" man="1"/>
    <brk id="19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BCD6-FBCF-4E68-BCCC-8ADE03369844}">
  <sheetPr>
    <pageSetUpPr fitToPage="1"/>
  </sheetPr>
  <dimension ref="A1:AAB15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AA12" sqref="AAA12"/>
    </sheetView>
  </sheetViews>
  <sheetFormatPr defaultColWidth="21.28515625" defaultRowHeight="14.25"/>
  <cols>
    <col min="1" max="1" width="3.7109375" style="7" customWidth="1"/>
    <col min="2" max="2" width="56" style="7" customWidth="1"/>
    <col min="3" max="3" width="20.28515625" style="7" bestFit="1" customWidth="1"/>
    <col min="4" max="4" width="16.42578125" style="334" customWidth="1"/>
    <col min="5" max="5" width="14.28515625" style="7" hidden="1" customWidth="1"/>
    <col min="6" max="6" width="10.28515625" style="7" hidden="1" customWidth="1"/>
    <col min="7" max="7" width="14.28515625" style="7" hidden="1" customWidth="1"/>
    <col min="8" max="8" width="10.28515625" style="7" hidden="1" customWidth="1"/>
    <col min="9" max="9" width="14.28515625" style="7" hidden="1" customWidth="1"/>
    <col min="10" max="10" width="10.28515625" style="7" hidden="1" customWidth="1"/>
    <col min="11" max="11" width="14.28515625" style="7" hidden="1" customWidth="1"/>
    <col min="12" max="12" width="10.28515625" style="7" hidden="1" customWidth="1"/>
    <col min="13" max="13" width="14.28515625" style="7" hidden="1" customWidth="1"/>
    <col min="14" max="14" width="10.28515625" style="7" hidden="1" customWidth="1"/>
    <col min="15" max="15" width="14.28515625" style="7" hidden="1" customWidth="1"/>
    <col min="16" max="16" width="10.28515625" style="7" hidden="1" customWidth="1"/>
    <col min="17" max="17" width="14.28515625" style="7" hidden="1" customWidth="1"/>
    <col min="18" max="18" width="10.28515625" style="7" hidden="1" customWidth="1"/>
    <col min="19" max="19" width="14.28515625" style="7" hidden="1" customWidth="1"/>
    <col min="20" max="20" width="10.28515625" style="7" hidden="1" customWidth="1"/>
    <col min="21" max="21" width="14.28515625" style="7" customWidth="1"/>
    <col min="22" max="22" width="10.28515625" style="7" customWidth="1"/>
    <col min="23" max="23" width="14.28515625" style="7" customWidth="1"/>
    <col min="24" max="24" width="10.28515625" style="7" customWidth="1"/>
    <col min="25" max="25" width="14.28515625" style="7" customWidth="1"/>
    <col min="26" max="26" width="10.28515625" style="7" customWidth="1"/>
    <col min="27" max="27" width="1.7109375" style="7" customWidth="1"/>
    <col min="28" max="29" width="16" style="7" hidden="1" customWidth="1"/>
    <col min="30" max="30" width="16.5703125" style="7" hidden="1" customWidth="1"/>
    <col min="31" max="34" width="16" style="7" hidden="1" customWidth="1"/>
    <col min="35" max="35" width="16" style="25" customWidth="1"/>
    <col min="36" max="37" width="16" style="7" customWidth="1"/>
    <col min="38" max="38" width="12.28515625" style="7" bestFit="1" customWidth="1"/>
    <col min="39" max="39" width="21.28515625" style="7" customWidth="1"/>
    <col min="40" max="16384" width="21.28515625" style="7"/>
  </cols>
  <sheetData>
    <row r="1" spans="2:40" s="246" customFormat="1" ht="15.75" customHeight="1" thickBot="1">
      <c r="C1" s="247"/>
      <c r="D1" s="248"/>
      <c r="E1" s="472" t="s">
        <v>24</v>
      </c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89" t="s">
        <v>24</v>
      </c>
      <c r="X1" s="490"/>
      <c r="Y1" s="489" t="s">
        <v>24</v>
      </c>
      <c r="Z1" s="490"/>
      <c r="AA1" s="249"/>
      <c r="AB1" s="472" t="s">
        <v>25</v>
      </c>
      <c r="AC1" s="472"/>
      <c r="AD1" s="472"/>
      <c r="AE1" s="472"/>
      <c r="AF1" s="472"/>
      <c r="AG1" s="472"/>
      <c r="AH1" s="472"/>
      <c r="AI1" s="472"/>
      <c r="AJ1" s="472"/>
      <c r="AK1" s="472"/>
      <c r="AL1" s="250"/>
    </row>
    <row r="2" spans="2:40" s="246" customFormat="1" ht="15.75" thickBot="1">
      <c r="D2" s="251"/>
      <c r="E2" s="473" t="s">
        <v>275</v>
      </c>
      <c r="F2" s="474"/>
      <c r="G2" s="475" t="s">
        <v>276</v>
      </c>
      <c r="H2" s="476"/>
      <c r="I2" s="477" t="s">
        <v>277</v>
      </c>
      <c r="J2" s="478"/>
      <c r="K2" s="479" t="s">
        <v>278</v>
      </c>
      <c r="L2" s="480"/>
      <c r="M2" s="481" t="s">
        <v>279</v>
      </c>
      <c r="N2" s="482"/>
      <c r="O2" s="483" t="s">
        <v>280</v>
      </c>
      <c r="P2" s="484"/>
      <c r="Q2" s="473" t="s">
        <v>281</v>
      </c>
      <c r="R2" s="474"/>
      <c r="S2" s="475" t="s">
        <v>282</v>
      </c>
      <c r="T2" s="476"/>
      <c r="U2" s="477" t="s">
        <v>283</v>
      </c>
      <c r="V2" s="478"/>
      <c r="W2" s="485" t="s">
        <v>284</v>
      </c>
      <c r="X2" s="486"/>
      <c r="Y2" s="487" t="s">
        <v>330</v>
      </c>
      <c r="Z2" s="488"/>
      <c r="AA2" s="251"/>
      <c r="AB2" s="252"/>
      <c r="AC2" s="253"/>
      <c r="AD2" s="254"/>
      <c r="AE2" s="255"/>
      <c r="AF2" s="255"/>
      <c r="AG2" s="255"/>
      <c r="AH2" s="255"/>
      <c r="AI2" s="256"/>
      <c r="AJ2" s="255"/>
      <c r="AK2" s="257"/>
      <c r="AL2" s="258"/>
      <c r="AM2" s="259"/>
    </row>
    <row r="3" spans="2:40" s="260" customFormat="1" ht="15.75" thickBot="1">
      <c r="B3" s="261" t="s">
        <v>26</v>
      </c>
      <c r="C3" s="262" t="s">
        <v>27</v>
      </c>
      <c r="D3" s="263" t="s">
        <v>28</v>
      </c>
      <c r="E3" s="264" t="s">
        <v>29</v>
      </c>
      <c r="F3" s="262" t="s">
        <v>30</v>
      </c>
      <c r="G3" s="262" t="s">
        <v>29</v>
      </c>
      <c r="H3" s="262" t="s">
        <v>30</v>
      </c>
      <c r="I3" s="262" t="s">
        <v>29</v>
      </c>
      <c r="J3" s="262" t="s">
        <v>30</v>
      </c>
      <c r="K3" s="262" t="s">
        <v>29</v>
      </c>
      <c r="L3" s="262" t="s">
        <v>30</v>
      </c>
      <c r="M3" s="262" t="s">
        <v>29</v>
      </c>
      <c r="N3" s="262" t="s">
        <v>30</v>
      </c>
      <c r="O3" s="262" t="s">
        <v>29</v>
      </c>
      <c r="P3" s="262" t="s">
        <v>30</v>
      </c>
      <c r="Q3" s="262" t="s">
        <v>29</v>
      </c>
      <c r="R3" s="262" t="s">
        <v>30</v>
      </c>
      <c r="S3" s="262" t="s">
        <v>29</v>
      </c>
      <c r="T3" s="262" t="s">
        <v>30</v>
      </c>
      <c r="U3" s="262" t="s">
        <v>29</v>
      </c>
      <c r="V3" s="262" t="s">
        <v>30</v>
      </c>
      <c r="W3" s="262" t="s">
        <v>29</v>
      </c>
      <c r="X3" s="265" t="s">
        <v>30</v>
      </c>
      <c r="Y3" s="262" t="s">
        <v>29</v>
      </c>
      <c r="Z3" s="265" t="s">
        <v>30</v>
      </c>
      <c r="AA3" s="266"/>
      <c r="AB3" s="267" t="s">
        <v>275</v>
      </c>
      <c r="AC3" s="268" t="s">
        <v>276</v>
      </c>
      <c r="AD3" s="269" t="s">
        <v>277</v>
      </c>
      <c r="AE3" s="270" t="s">
        <v>278</v>
      </c>
      <c r="AF3" s="271" t="s">
        <v>279</v>
      </c>
      <c r="AG3" s="272" t="s">
        <v>280</v>
      </c>
      <c r="AH3" s="267" t="s">
        <v>281</v>
      </c>
      <c r="AI3" s="273" t="s">
        <v>282</v>
      </c>
      <c r="AJ3" s="269" t="s">
        <v>283</v>
      </c>
      <c r="AK3" s="270" t="s">
        <v>284</v>
      </c>
      <c r="AL3" s="274"/>
      <c r="AM3" s="274"/>
    </row>
    <row r="4" spans="2:40" s="20" customFormat="1" ht="19.5" customHeight="1">
      <c r="B4" s="275" t="s">
        <v>31</v>
      </c>
      <c r="C4" s="21"/>
      <c r="D4" s="276"/>
      <c r="E4" s="277"/>
      <c r="F4" s="278"/>
      <c r="G4" s="279"/>
      <c r="H4" s="280"/>
      <c r="I4" s="277"/>
      <c r="J4" s="278"/>
      <c r="K4" s="279"/>
      <c r="L4" s="280"/>
      <c r="M4" s="279"/>
      <c r="N4" s="280"/>
      <c r="O4" s="279"/>
      <c r="P4" s="280"/>
      <c r="Q4" s="279"/>
      <c r="R4" s="280"/>
      <c r="S4" s="279"/>
      <c r="T4" s="280"/>
      <c r="U4" s="279"/>
      <c r="V4" s="280"/>
      <c r="W4" s="279"/>
      <c r="X4" s="280"/>
      <c r="Y4" s="279"/>
      <c r="Z4" s="280"/>
      <c r="AA4" s="21"/>
      <c r="AB4" s="277"/>
      <c r="AC4" s="279"/>
      <c r="AD4" s="281"/>
      <c r="AE4" s="282"/>
      <c r="AF4" s="282"/>
      <c r="AG4" s="282"/>
      <c r="AH4" s="282"/>
      <c r="AI4" s="283"/>
      <c r="AJ4" s="282"/>
      <c r="AK4" s="282"/>
    </row>
    <row r="5" spans="2:40" s="20" customFormat="1">
      <c r="B5" s="284" t="s">
        <v>80</v>
      </c>
      <c r="C5" s="285" t="s">
        <v>33</v>
      </c>
      <c r="D5" s="286"/>
      <c r="E5" s="287">
        <v>62.5</v>
      </c>
      <c r="F5" s="285" t="s">
        <v>32</v>
      </c>
      <c r="G5" s="287">
        <v>62.5</v>
      </c>
      <c r="H5" s="285" t="s">
        <v>32</v>
      </c>
      <c r="I5" s="287">
        <v>62.5</v>
      </c>
      <c r="J5" s="285" t="s">
        <v>32</v>
      </c>
      <c r="K5" s="287">
        <v>62.5</v>
      </c>
      <c r="L5" s="285" t="s">
        <v>32</v>
      </c>
      <c r="M5" s="287">
        <v>62.5</v>
      </c>
      <c r="N5" s="285" t="s">
        <v>32</v>
      </c>
      <c r="O5" s="287">
        <v>62.5</v>
      </c>
      <c r="P5" s="285" t="s">
        <v>32</v>
      </c>
      <c r="Q5" s="287">
        <v>62.5</v>
      </c>
      <c r="R5" s="285" t="s">
        <v>32</v>
      </c>
      <c r="S5" s="287">
        <v>62.5</v>
      </c>
      <c r="T5" s="285" t="s">
        <v>32</v>
      </c>
      <c r="U5" s="405">
        <v>62.5</v>
      </c>
      <c r="V5" s="285" t="s">
        <v>32</v>
      </c>
      <c r="W5" s="408">
        <v>62.5</v>
      </c>
      <c r="X5" s="285" t="s">
        <v>32</v>
      </c>
      <c r="Y5" s="409">
        <v>70</v>
      </c>
      <c r="Z5" s="239" t="s">
        <v>32</v>
      </c>
      <c r="AA5" s="288"/>
      <c r="AB5" s="289">
        <v>257750</v>
      </c>
      <c r="AC5" s="289">
        <v>277562.5</v>
      </c>
      <c r="AD5" s="289">
        <v>281875</v>
      </c>
      <c r="AE5" s="289">
        <v>304187.5</v>
      </c>
      <c r="AF5" s="289">
        <v>265500</v>
      </c>
      <c r="AG5" s="289">
        <v>271328.5</v>
      </c>
      <c r="AH5" s="289">
        <v>273812.5</v>
      </c>
      <c r="AI5" s="289">
        <f>276750+1000</f>
        <v>277750</v>
      </c>
      <c r="AJ5" s="410">
        <v>279375</v>
      </c>
      <c r="AK5" s="240">
        <v>269947.3</v>
      </c>
    </row>
    <row r="6" spans="2:40" s="20" customFormat="1">
      <c r="B6" s="284" t="s">
        <v>81</v>
      </c>
      <c r="C6" s="285" t="s">
        <v>33</v>
      </c>
      <c r="D6" s="286"/>
      <c r="E6" s="287">
        <v>4</v>
      </c>
      <c r="F6" s="285" t="s">
        <v>160</v>
      </c>
      <c r="G6" s="287">
        <v>4</v>
      </c>
      <c r="H6" s="285" t="s">
        <v>160</v>
      </c>
      <c r="I6" s="287">
        <v>4</v>
      </c>
      <c r="J6" s="285" t="s">
        <v>160</v>
      </c>
      <c r="K6" s="287">
        <v>6.25</v>
      </c>
      <c r="L6" s="285" t="s">
        <v>160</v>
      </c>
      <c r="M6" s="287">
        <v>6.25</v>
      </c>
      <c r="N6" s="285" t="s">
        <v>160</v>
      </c>
      <c r="O6" s="287">
        <v>6.25</v>
      </c>
      <c r="P6" s="285" t="s">
        <v>160</v>
      </c>
      <c r="Q6" s="287">
        <v>6.25</v>
      </c>
      <c r="R6" s="285" t="s">
        <v>160</v>
      </c>
      <c r="S6" s="287">
        <v>6.25</v>
      </c>
      <c r="T6" s="285" t="s">
        <v>160</v>
      </c>
      <c r="U6" s="405">
        <v>6.25</v>
      </c>
      <c r="V6" s="285" t="s">
        <v>160</v>
      </c>
      <c r="W6" s="408">
        <v>6.25</v>
      </c>
      <c r="X6" s="285" t="s">
        <v>160</v>
      </c>
      <c r="Y6" s="409">
        <v>8.25</v>
      </c>
      <c r="Z6" s="239" t="s">
        <v>160</v>
      </c>
      <c r="AA6" s="288"/>
      <c r="AB6" s="289">
        <v>308146</v>
      </c>
      <c r="AC6" s="289">
        <v>384375</v>
      </c>
      <c r="AD6" s="289">
        <v>485075.75</v>
      </c>
      <c r="AE6" s="289">
        <v>660369.16</v>
      </c>
      <c r="AF6" s="289">
        <v>607795.22</v>
      </c>
      <c r="AG6" s="289">
        <v>614885.26</v>
      </c>
      <c r="AH6" s="289">
        <v>540497.74</v>
      </c>
      <c r="AI6" s="289">
        <f>844698.12+29875-191606.25</f>
        <v>682966.87</v>
      </c>
      <c r="AJ6" s="410">
        <v>656843.81000000006</v>
      </c>
      <c r="AK6" s="240">
        <v>643089.69999999995</v>
      </c>
    </row>
    <row r="7" spans="2:40" s="20" customFormat="1">
      <c r="B7" s="284" t="s">
        <v>82</v>
      </c>
      <c r="C7" s="285" t="s">
        <v>33</v>
      </c>
      <c r="D7" s="286"/>
      <c r="E7" s="287">
        <v>10</v>
      </c>
      <c r="F7" s="285" t="s">
        <v>32</v>
      </c>
      <c r="G7" s="287">
        <v>10</v>
      </c>
      <c r="H7" s="285" t="s">
        <v>32</v>
      </c>
      <c r="I7" s="287">
        <v>10</v>
      </c>
      <c r="J7" s="285" t="s">
        <v>32</v>
      </c>
      <c r="K7" s="287">
        <v>10</v>
      </c>
      <c r="L7" s="285" t="s">
        <v>32</v>
      </c>
      <c r="M7" s="287">
        <v>10</v>
      </c>
      <c r="N7" s="285" t="s">
        <v>32</v>
      </c>
      <c r="O7" s="287">
        <v>10</v>
      </c>
      <c r="P7" s="285" t="s">
        <v>32</v>
      </c>
      <c r="Q7" s="287">
        <v>5</v>
      </c>
      <c r="R7" s="285" t="s">
        <v>32</v>
      </c>
      <c r="S7" s="287">
        <v>5</v>
      </c>
      <c r="T7" s="285" t="s">
        <v>32</v>
      </c>
      <c r="U7" s="405">
        <v>5</v>
      </c>
      <c r="V7" s="285" t="s">
        <v>32</v>
      </c>
      <c r="W7" s="408">
        <v>5</v>
      </c>
      <c r="X7" s="285" t="s">
        <v>32</v>
      </c>
      <c r="Y7" s="409">
        <v>5</v>
      </c>
      <c r="Z7" s="239" t="s">
        <v>32</v>
      </c>
      <c r="AA7" s="288"/>
      <c r="AB7" s="289">
        <v>29010</v>
      </c>
      <c r="AC7" s="289">
        <v>31108.62</v>
      </c>
      <c r="AD7" s="289">
        <v>28157.5</v>
      </c>
      <c r="AE7" s="289">
        <v>30230</v>
      </c>
      <c r="AF7" s="289">
        <f>26432.5</f>
        <v>26432.5</v>
      </c>
      <c r="AG7" s="289">
        <v>25765</v>
      </c>
      <c r="AH7" s="289">
        <v>26570</v>
      </c>
      <c r="AI7" s="289">
        <f>24835+2015</f>
        <v>26850</v>
      </c>
      <c r="AJ7" s="410">
        <v>27065</v>
      </c>
      <c r="AK7" s="240">
        <v>26460</v>
      </c>
      <c r="AN7" s="5"/>
    </row>
    <row r="8" spans="2:40" s="20" customFormat="1">
      <c r="B8" s="284" t="s">
        <v>83</v>
      </c>
      <c r="C8" s="285" t="s">
        <v>33</v>
      </c>
      <c r="D8" s="286">
        <v>5.7</v>
      </c>
      <c r="E8" s="287">
        <v>172.75</v>
      </c>
      <c r="F8" s="285" t="s">
        <v>32</v>
      </c>
      <c r="G8" s="287">
        <v>172.75</v>
      </c>
      <c r="H8" s="285" t="s">
        <v>32</v>
      </c>
      <c r="I8" s="287">
        <v>199.5</v>
      </c>
      <c r="J8" s="285" t="s">
        <v>32</v>
      </c>
      <c r="K8" s="287">
        <v>199.5</v>
      </c>
      <c r="L8" s="285" t="s">
        <v>162</v>
      </c>
      <c r="M8" s="287">
        <v>199.5</v>
      </c>
      <c r="N8" s="285" t="s">
        <v>162</v>
      </c>
      <c r="O8" s="287">
        <v>199.5</v>
      </c>
      <c r="P8" s="285" t="s">
        <v>162</v>
      </c>
      <c r="Q8" s="287">
        <v>199.5</v>
      </c>
      <c r="R8" s="285" t="s">
        <v>162</v>
      </c>
      <c r="S8" s="287">
        <f>99.75*2</f>
        <v>199.5</v>
      </c>
      <c r="T8" s="285" t="s">
        <v>162</v>
      </c>
      <c r="U8" s="405">
        <f>99.75*2</f>
        <v>199.5</v>
      </c>
      <c r="V8" s="285" t="s">
        <v>162</v>
      </c>
      <c r="W8" s="408">
        <v>199.5</v>
      </c>
      <c r="X8" s="285" t="s">
        <v>162</v>
      </c>
      <c r="Y8" s="409">
        <v>199.5</v>
      </c>
      <c r="Z8" s="239" t="s">
        <v>162</v>
      </c>
      <c r="AA8" s="288"/>
      <c r="AB8" s="289">
        <v>436134</v>
      </c>
      <c r="AC8" s="289">
        <v>475256.5</v>
      </c>
      <c r="AD8" s="289">
        <v>483200</v>
      </c>
      <c r="AE8" s="289">
        <v>530941.29</v>
      </c>
      <c r="AF8" s="289">
        <v>464994</v>
      </c>
      <c r="AG8" s="289">
        <v>473308.5</v>
      </c>
      <c r="AH8" s="289">
        <v>485167</v>
      </c>
      <c r="AI8" s="289">
        <f>459423.75+31260.75</f>
        <v>490684.5</v>
      </c>
      <c r="AJ8" s="410">
        <v>489895</v>
      </c>
      <c r="AK8" s="240">
        <v>480212</v>
      </c>
      <c r="AN8" s="5"/>
    </row>
    <row r="9" spans="2:40" s="20" customFormat="1">
      <c r="B9" s="241"/>
      <c r="C9" s="239"/>
      <c r="D9" s="242"/>
      <c r="E9" s="287"/>
      <c r="F9" s="285"/>
      <c r="G9" s="287"/>
      <c r="H9" s="285"/>
      <c r="I9" s="287"/>
      <c r="J9" s="285"/>
      <c r="K9" s="287"/>
      <c r="L9" s="285"/>
      <c r="M9" s="287"/>
      <c r="N9" s="285"/>
      <c r="O9" s="287"/>
      <c r="P9" s="285"/>
      <c r="Q9" s="287"/>
      <c r="R9" s="285"/>
      <c r="S9" s="287"/>
      <c r="T9" s="285"/>
      <c r="U9" s="405"/>
      <c r="V9" s="285"/>
      <c r="W9" s="408"/>
      <c r="X9" s="285"/>
      <c r="Y9" s="238"/>
      <c r="Z9" s="239"/>
      <c r="AA9" s="288"/>
      <c r="AB9" s="289"/>
      <c r="AC9" s="289"/>
      <c r="AD9" s="289"/>
      <c r="AE9" s="289"/>
      <c r="AF9" s="289"/>
      <c r="AG9" s="289"/>
      <c r="AH9" s="289"/>
      <c r="AI9" s="289"/>
      <c r="AJ9" s="289"/>
      <c r="AK9" s="240"/>
      <c r="AN9" s="5"/>
    </row>
    <row r="10" spans="2:40" s="20" customFormat="1">
      <c r="B10" s="241"/>
      <c r="C10" s="239"/>
      <c r="D10" s="242"/>
      <c r="E10" s="287"/>
      <c r="F10" s="285"/>
      <c r="G10" s="287"/>
      <c r="H10" s="285"/>
      <c r="I10" s="287"/>
      <c r="J10" s="285"/>
      <c r="K10" s="287"/>
      <c r="L10" s="285"/>
      <c r="M10" s="287"/>
      <c r="N10" s="285"/>
      <c r="O10" s="287"/>
      <c r="P10" s="285"/>
      <c r="Q10" s="287"/>
      <c r="R10" s="285"/>
      <c r="S10" s="287"/>
      <c r="T10" s="285"/>
      <c r="U10" s="405"/>
      <c r="V10" s="285"/>
      <c r="W10" s="287"/>
      <c r="X10" s="285"/>
      <c r="Y10" s="238"/>
      <c r="Z10" s="239"/>
      <c r="AA10" s="288"/>
      <c r="AB10" s="289"/>
      <c r="AC10" s="289"/>
      <c r="AD10" s="289"/>
      <c r="AE10" s="289"/>
      <c r="AF10" s="289"/>
      <c r="AG10" s="289"/>
      <c r="AH10" s="289"/>
      <c r="AI10" s="289"/>
      <c r="AJ10" s="289"/>
      <c r="AK10" s="240"/>
      <c r="AN10" s="5"/>
    </row>
    <row r="11" spans="2:40" s="20" customFormat="1">
      <c r="B11" s="241"/>
      <c r="C11" s="239"/>
      <c r="D11" s="242"/>
      <c r="E11" s="287"/>
      <c r="F11" s="285"/>
      <c r="G11" s="287"/>
      <c r="H11" s="285"/>
      <c r="I11" s="287"/>
      <c r="J11" s="285"/>
      <c r="K11" s="287"/>
      <c r="L11" s="285"/>
      <c r="M11" s="287"/>
      <c r="N11" s="285"/>
      <c r="O11" s="287"/>
      <c r="P11" s="285"/>
      <c r="Q11" s="287"/>
      <c r="R11" s="285"/>
      <c r="S11" s="287"/>
      <c r="T11" s="285"/>
      <c r="U11" s="405"/>
      <c r="V11" s="285"/>
      <c r="W11" s="287"/>
      <c r="X11" s="285"/>
      <c r="Y11" s="238"/>
      <c r="Z11" s="239"/>
      <c r="AA11" s="288"/>
      <c r="AB11" s="289"/>
      <c r="AC11" s="289"/>
      <c r="AD11" s="289"/>
      <c r="AE11" s="289"/>
      <c r="AF11" s="289"/>
      <c r="AG11" s="289"/>
      <c r="AH11" s="289"/>
      <c r="AI11" s="289"/>
      <c r="AJ11" s="289"/>
      <c r="AK11" s="240"/>
      <c r="AN11" s="5"/>
    </row>
    <row r="12" spans="2:40" s="20" customFormat="1">
      <c r="B12" s="241"/>
      <c r="C12" s="239"/>
      <c r="D12" s="242"/>
      <c r="E12" s="287"/>
      <c r="F12" s="285"/>
      <c r="G12" s="287"/>
      <c r="H12" s="285"/>
      <c r="I12" s="287"/>
      <c r="J12" s="285"/>
      <c r="K12" s="287"/>
      <c r="L12" s="285"/>
      <c r="M12" s="287"/>
      <c r="N12" s="285"/>
      <c r="O12" s="287"/>
      <c r="P12" s="285"/>
      <c r="Q12" s="287"/>
      <c r="R12" s="285"/>
      <c r="S12" s="287"/>
      <c r="T12" s="285"/>
      <c r="U12" s="405"/>
      <c r="V12" s="285"/>
      <c r="W12" s="287"/>
      <c r="X12" s="285"/>
      <c r="Y12" s="238"/>
      <c r="Z12" s="239"/>
      <c r="AA12" s="288"/>
      <c r="AB12" s="289"/>
      <c r="AC12" s="289"/>
      <c r="AD12" s="289"/>
      <c r="AE12" s="289"/>
      <c r="AF12" s="289"/>
      <c r="AG12" s="289"/>
      <c r="AH12" s="289"/>
      <c r="AI12" s="289"/>
      <c r="AJ12" s="289"/>
      <c r="AK12" s="240"/>
      <c r="AN12" s="5"/>
    </row>
    <row r="13" spans="2:40" s="20" customFormat="1">
      <c r="B13" s="241"/>
      <c r="C13" s="239"/>
      <c r="D13" s="242"/>
      <c r="E13" s="287"/>
      <c r="F13" s="285"/>
      <c r="G13" s="287"/>
      <c r="H13" s="285"/>
      <c r="I13" s="287"/>
      <c r="J13" s="285"/>
      <c r="K13" s="287"/>
      <c r="L13" s="285"/>
      <c r="M13" s="287"/>
      <c r="N13" s="285"/>
      <c r="O13" s="287"/>
      <c r="P13" s="285"/>
      <c r="Q13" s="287"/>
      <c r="R13" s="285"/>
      <c r="S13" s="287"/>
      <c r="T13" s="285"/>
      <c r="U13" s="405"/>
      <c r="V13" s="285"/>
      <c r="W13" s="287"/>
      <c r="X13" s="285"/>
      <c r="Y13" s="238"/>
      <c r="Z13" s="239"/>
      <c r="AA13" s="288"/>
      <c r="AB13" s="289"/>
      <c r="AC13" s="289"/>
      <c r="AD13" s="289"/>
      <c r="AE13" s="289"/>
      <c r="AF13" s="289"/>
      <c r="AG13" s="289"/>
      <c r="AH13" s="289"/>
      <c r="AI13" s="289"/>
      <c r="AJ13" s="289"/>
      <c r="AK13" s="240"/>
      <c r="AN13" s="5"/>
    </row>
    <row r="14" spans="2:40" s="20" customFormat="1">
      <c r="B14" s="241"/>
      <c r="C14" s="239"/>
      <c r="D14" s="242"/>
      <c r="E14" s="287"/>
      <c r="F14" s="285"/>
      <c r="G14" s="287"/>
      <c r="H14" s="285"/>
      <c r="I14" s="287"/>
      <c r="J14" s="285"/>
      <c r="K14" s="287"/>
      <c r="L14" s="285"/>
      <c r="M14" s="287"/>
      <c r="N14" s="285"/>
      <c r="O14" s="287"/>
      <c r="P14" s="285"/>
      <c r="Q14" s="287"/>
      <c r="R14" s="285"/>
      <c r="S14" s="287"/>
      <c r="T14" s="285"/>
      <c r="U14" s="405"/>
      <c r="V14" s="285"/>
      <c r="W14" s="287"/>
      <c r="X14" s="285"/>
      <c r="Y14" s="238"/>
      <c r="Z14" s="239"/>
      <c r="AA14" s="288"/>
      <c r="AB14" s="289"/>
      <c r="AC14" s="289"/>
      <c r="AD14" s="289"/>
      <c r="AE14" s="289"/>
      <c r="AF14" s="289"/>
      <c r="AG14" s="289"/>
      <c r="AH14" s="289"/>
      <c r="AI14" s="289"/>
      <c r="AJ14" s="289"/>
      <c r="AK14" s="240"/>
    </row>
    <row r="15" spans="2:40" s="20" customFormat="1">
      <c r="B15" s="241"/>
      <c r="C15" s="239"/>
      <c r="D15" s="242"/>
      <c r="E15" s="287"/>
      <c r="F15" s="285"/>
      <c r="G15" s="287"/>
      <c r="H15" s="285"/>
      <c r="I15" s="287"/>
      <c r="J15" s="285"/>
      <c r="K15" s="287"/>
      <c r="L15" s="285"/>
      <c r="M15" s="287"/>
      <c r="N15" s="285"/>
      <c r="O15" s="287"/>
      <c r="P15" s="285"/>
      <c r="Q15" s="287"/>
      <c r="R15" s="285"/>
      <c r="S15" s="287"/>
      <c r="T15" s="285"/>
      <c r="U15" s="405"/>
      <c r="V15" s="285"/>
      <c r="W15" s="287"/>
      <c r="X15" s="285"/>
      <c r="Y15" s="238"/>
      <c r="Z15" s="239"/>
      <c r="AA15" s="288"/>
      <c r="AB15" s="289"/>
      <c r="AC15" s="289"/>
      <c r="AD15" s="289"/>
      <c r="AE15" s="289"/>
      <c r="AF15" s="289"/>
      <c r="AG15" s="289"/>
      <c r="AH15" s="289"/>
      <c r="AI15" s="289"/>
      <c r="AJ15" s="289"/>
      <c r="AK15" s="240"/>
      <c r="AM15" s="5"/>
    </row>
    <row r="16" spans="2:40" s="20" customFormat="1">
      <c r="B16" s="290" t="s">
        <v>198</v>
      </c>
      <c r="C16" s="285"/>
      <c r="D16" s="286"/>
      <c r="E16" s="287"/>
      <c r="F16" s="285"/>
      <c r="G16" s="287"/>
      <c r="H16" s="285"/>
      <c r="I16" s="287"/>
      <c r="J16" s="285"/>
      <c r="K16" s="287"/>
      <c r="L16" s="285"/>
      <c r="M16" s="287"/>
      <c r="N16" s="285"/>
      <c r="O16" s="287"/>
      <c r="P16" s="285"/>
      <c r="Q16" s="287"/>
      <c r="R16" s="285"/>
      <c r="S16" s="287"/>
      <c r="T16" s="285"/>
      <c r="U16" s="405"/>
      <c r="V16" s="285"/>
      <c r="W16" s="287"/>
      <c r="X16" s="285"/>
      <c r="Y16" s="287"/>
      <c r="Z16" s="285"/>
      <c r="AA16" s="288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</row>
    <row r="17" spans="2:38" s="20" customFormat="1">
      <c r="B17" s="21"/>
      <c r="C17" s="276"/>
      <c r="D17" s="276"/>
      <c r="E17" s="291"/>
      <c r="F17" s="21"/>
      <c r="G17" s="291"/>
      <c r="H17" s="21"/>
      <c r="I17" s="291"/>
      <c r="J17" s="21"/>
      <c r="K17" s="291"/>
      <c r="L17" s="21"/>
      <c r="M17" s="292"/>
      <c r="N17" s="21"/>
      <c r="O17" s="293"/>
      <c r="P17" s="21"/>
      <c r="Q17" s="293"/>
      <c r="R17" s="21"/>
      <c r="S17" s="293"/>
      <c r="T17" s="21"/>
      <c r="U17" s="294"/>
      <c r="V17" s="21"/>
      <c r="W17" s="293"/>
      <c r="X17" s="21"/>
      <c r="Y17" s="293"/>
      <c r="Z17" s="21"/>
      <c r="AA17" s="21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</row>
    <row r="18" spans="2:38" s="15" customFormat="1" ht="17.25" customHeight="1">
      <c r="B18" s="295" t="s">
        <v>297</v>
      </c>
      <c r="C18" s="296"/>
      <c r="D18" s="296"/>
      <c r="E18" s="291"/>
      <c r="F18" s="297"/>
      <c r="G18" s="298"/>
      <c r="H18" s="298"/>
      <c r="I18" s="298"/>
      <c r="J18" s="298"/>
      <c r="K18" s="298"/>
      <c r="L18" s="298"/>
      <c r="M18" s="299"/>
      <c r="N18" s="300"/>
      <c r="O18" s="301"/>
      <c r="Q18" s="301"/>
      <c r="S18" s="301"/>
      <c r="U18" s="406"/>
      <c r="W18" s="301"/>
      <c r="Y18" s="301"/>
      <c r="AB18" s="302">
        <f>SUM(AB$4:AB17)</f>
        <v>1031040</v>
      </c>
      <c r="AC18" s="302">
        <f>SUM(AC$4:AC17)</f>
        <v>1168302.6200000001</v>
      </c>
      <c r="AD18" s="302">
        <f>SUM(AD$4:AD17)</f>
        <v>1278308.25</v>
      </c>
      <c r="AE18" s="302">
        <f>SUM(AE$4:AE17)</f>
        <v>1525727.9500000002</v>
      </c>
      <c r="AF18" s="302">
        <f>SUM(AF$4:AF17)</f>
        <v>1364721.72</v>
      </c>
      <c r="AG18" s="302">
        <f>SUM(AG$4:AG17)</f>
        <v>1385287.26</v>
      </c>
      <c r="AH18" s="302">
        <f>SUM(AH$4:AH17)</f>
        <v>1326047.24</v>
      </c>
      <c r="AI18" s="302">
        <f>SUM(AI$4:AI17)</f>
        <v>1478251.37</v>
      </c>
      <c r="AJ18" s="302">
        <f>SUM(AJ$4:AJ17)</f>
        <v>1453178.81</v>
      </c>
      <c r="AK18" s="302">
        <f>SUM(AK$4:AK17)</f>
        <v>1419709</v>
      </c>
    </row>
    <row r="19" spans="2:38" s="20" customFormat="1" ht="17.25" customHeight="1">
      <c r="B19" s="303"/>
      <c r="C19" s="296"/>
      <c r="D19" s="296"/>
      <c r="E19" s="291"/>
      <c r="F19" s="298"/>
      <c r="G19" s="298"/>
      <c r="H19" s="298"/>
      <c r="I19" s="298"/>
      <c r="J19" s="298"/>
      <c r="K19" s="298"/>
      <c r="L19" s="298"/>
      <c r="M19" s="299"/>
      <c r="N19" s="304"/>
      <c r="O19" s="63"/>
      <c r="Q19" s="63"/>
      <c r="S19" s="63"/>
      <c r="U19" s="23"/>
      <c r="W19" s="63"/>
      <c r="Y19" s="63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</row>
    <row r="20" spans="2:38" s="20" customFormat="1" ht="17.25" customHeight="1">
      <c r="B20" s="305" t="s">
        <v>14</v>
      </c>
      <c r="C20" s="296"/>
      <c r="D20" s="296"/>
      <c r="E20" s="291"/>
      <c r="F20" s="298"/>
      <c r="G20" s="298"/>
      <c r="H20" s="298"/>
      <c r="I20" s="298"/>
      <c r="J20" s="298"/>
      <c r="K20" s="298"/>
      <c r="L20" s="298"/>
      <c r="M20" s="299"/>
      <c r="N20" s="304"/>
      <c r="O20" s="63"/>
      <c r="Q20" s="63"/>
      <c r="S20" s="63"/>
      <c r="U20" s="23"/>
      <c r="W20" s="63"/>
      <c r="Y20" s="63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</row>
    <row r="21" spans="2:38" s="20" customFormat="1" ht="17.25" customHeight="1">
      <c r="B21" s="306" t="s">
        <v>300</v>
      </c>
      <c r="C21" s="296"/>
      <c r="D21" s="296"/>
      <c r="E21" s="291"/>
      <c r="F21" s="298"/>
      <c r="G21" s="298"/>
      <c r="H21" s="298"/>
      <c r="I21" s="298"/>
      <c r="J21" s="298"/>
      <c r="K21" s="298"/>
      <c r="L21" s="298"/>
      <c r="M21" s="299"/>
      <c r="N21" s="304"/>
      <c r="O21" s="63"/>
      <c r="Q21" s="63"/>
      <c r="S21" s="63"/>
      <c r="U21" s="23"/>
      <c r="W21" s="63"/>
      <c r="Y21" s="63"/>
      <c r="AB21" s="289">
        <v>236696.32618300262</v>
      </c>
      <c r="AC21" s="289">
        <v>265238.97321777378</v>
      </c>
      <c r="AD21" s="289">
        <v>283967.71842240909</v>
      </c>
      <c r="AE21" s="289">
        <v>324525.577109112</v>
      </c>
      <c r="AF21" s="289">
        <v>303922.79459748638</v>
      </c>
      <c r="AG21" s="289">
        <v>293105.74433172808</v>
      </c>
      <c r="AH21" s="289">
        <v>245332.92183969988</v>
      </c>
      <c r="AI21" s="289">
        <f>317208.54+10</f>
        <v>317218.53999999998</v>
      </c>
      <c r="AJ21" s="289">
        <v>297974.38</v>
      </c>
      <c r="AK21" s="240">
        <v>278581.75</v>
      </c>
      <c r="AL21" s="145"/>
    </row>
    <row r="22" spans="2:38" s="20" customFormat="1" ht="17.25" customHeight="1">
      <c r="B22" s="306" t="s">
        <v>301</v>
      </c>
      <c r="C22" s="296"/>
      <c r="D22" s="296"/>
      <c r="E22" s="291"/>
      <c r="F22" s="298"/>
      <c r="G22" s="298"/>
      <c r="H22" s="298"/>
      <c r="I22" s="298"/>
      <c r="J22" s="298"/>
      <c r="K22" s="298"/>
      <c r="L22" s="298"/>
      <c r="M22" s="299"/>
      <c r="N22" s="304"/>
      <c r="O22" s="63"/>
      <c r="Q22" s="63"/>
      <c r="S22" s="63"/>
      <c r="U22" s="23"/>
      <c r="W22" s="63"/>
      <c r="Y22" s="63"/>
      <c r="AB22" s="289">
        <v>74947.172712762811</v>
      </c>
      <c r="AC22" s="289">
        <v>82468.390862894637</v>
      </c>
      <c r="AD22" s="289">
        <v>87815.384644998601</v>
      </c>
      <c r="AE22" s="289">
        <v>98876.958501113273</v>
      </c>
      <c r="AF22" s="289">
        <v>95046.945958184355</v>
      </c>
      <c r="AG22" s="289">
        <v>94146.921415898352</v>
      </c>
      <c r="AH22" s="289">
        <v>87791.826835266693</v>
      </c>
      <c r="AI22" s="289">
        <v>137905.4</v>
      </c>
      <c r="AJ22" s="289">
        <v>123922.5</v>
      </c>
      <c r="AK22" s="240">
        <v>114596.25</v>
      </c>
      <c r="AL22" s="145"/>
    </row>
    <row r="23" spans="2:38" s="15" customFormat="1" ht="17.25" customHeight="1">
      <c r="B23" s="307" t="s">
        <v>302</v>
      </c>
      <c r="C23" s="296"/>
      <c r="D23" s="296"/>
      <c r="E23" s="291"/>
      <c r="F23" s="297"/>
      <c r="G23" s="298"/>
      <c r="H23" s="298"/>
      <c r="I23" s="298"/>
      <c r="J23" s="298"/>
      <c r="K23" s="298"/>
      <c r="L23" s="298"/>
      <c r="M23" s="299"/>
      <c r="N23" s="300"/>
      <c r="O23" s="301"/>
      <c r="Q23" s="301"/>
      <c r="S23" s="301"/>
      <c r="U23" s="406"/>
      <c r="W23" s="301"/>
      <c r="Y23" s="301"/>
      <c r="AB23" s="302">
        <f>SUM(AB21:AB22)</f>
        <v>311643.4988957654</v>
      </c>
      <c r="AC23" s="302">
        <f t="shared" ref="AC23:AK23" si="0">SUM(AC21:AC22)</f>
        <v>347707.36408066843</v>
      </c>
      <c r="AD23" s="302">
        <f t="shared" si="0"/>
        <v>371783.10306740768</v>
      </c>
      <c r="AE23" s="302">
        <f t="shared" si="0"/>
        <v>423402.53561022528</v>
      </c>
      <c r="AF23" s="302">
        <f t="shared" si="0"/>
        <v>398969.74055567075</v>
      </c>
      <c r="AG23" s="302">
        <f t="shared" si="0"/>
        <v>387252.66574762645</v>
      </c>
      <c r="AH23" s="302">
        <f t="shared" si="0"/>
        <v>333124.74867496657</v>
      </c>
      <c r="AI23" s="302">
        <f t="shared" si="0"/>
        <v>455123.93999999994</v>
      </c>
      <c r="AJ23" s="302">
        <f t="shared" si="0"/>
        <v>421896.88</v>
      </c>
      <c r="AK23" s="302">
        <f t="shared" si="0"/>
        <v>393178</v>
      </c>
    </row>
    <row r="24" spans="2:38" s="20" customFormat="1" ht="17.25" customHeight="1">
      <c r="B24" s="305" t="s">
        <v>16</v>
      </c>
      <c r="C24" s="296"/>
      <c r="D24" s="296"/>
      <c r="E24" s="291"/>
      <c r="F24" s="298"/>
      <c r="G24" s="298"/>
      <c r="H24" s="298"/>
      <c r="I24" s="298"/>
      <c r="J24" s="298"/>
      <c r="K24" s="298"/>
      <c r="L24" s="298"/>
      <c r="M24" s="299"/>
      <c r="N24" s="304"/>
      <c r="O24" s="63"/>
      <c r="Q24" s="63"/>
      <c r="S24" s="63"/>
      <c r="U24" s="23"/>
      <c r="W24" s="63"/>
      <c r="Y24" s="63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</row>
    <row r="25" spans="2:38" s="20" customFormat="1" ht="17.25" customHeight="1">
      <c r="B25" s="306" t="s">
        <v>300</v>
      </c>
      <c r="C25" s="296"/>
      <c r="D25" s="296"/>
      <c r="E25" s="291"/>
      <c r="F25" s="298"/>
      <c r="G25" s="298"/>
      <c r="H25" s="298"/>
      <c r="I25" s="298"/>
      <c r="J25" s="298"/>
      <c r="K25" s="298"/>
      <c r="L25" s="298"/>
      <c r="M25" s="299"/>
      <c r="N25" s="304"/>
      <c r="O25" s="63"/>
      <c r="Q25" s="63"/>
      <c r="S25" s="63"/>
      <c r="U25" s="23"/>
      <c r="W25" s="63"/>
      <c r="Y25" s="63"/>
      <c r="AB25" s="289">
        <v>216115.34150621586</v>
      </c>
      <c r="AC25" s="289">
        <v>241903.78389015089</v>
      </c>
      <c r="AD25" s="289">
        <v>277318.34819432534</v>
      </c>
      <c r="AE25" s="289">
        <v>357015.34920040664</v>
      </c>
      <c r="AF25" s="289">
        <v>334066.48528249608</v>
      </c>
      <c r="AG25" s="289">
        <v>310133.41178902652</v>
      </c>
      <c r="AH25" s="289">
        <v>306958.560938504</v>
      </c>
      <c r="AI25" s="289">
        <v>349378.88</v>
      </c>
      <c r="AJ25" s="289">
        <v>335815.75</v>
      </c>
      <c r="AK25" s="240">
        <v>313748.25</v>
      </c>
      <c r="AL25" s="145"/>
    </row>
    <row r="26" spans="2:38" s="20" customFormat="1" ht="17.25" customHeight="1">
      <c r="B26" s="306" t="s">
        <v>301</v>
      </c>
      <c r="C26" s="296"/>
      <c r="D26" s="296"/>
      <c r="E26" s="291"/>
      <c r="F26" s="298"/>
      <c r="G26" s="298"/>
      <c r="H26" s="298"/>
      <c r="I26" s="298"/>
      <c r="J26" s="298"/>
      <c r="K26" s="298"/>
      <c r="L26" s="298"/>
      <c r="M26" s="299"/>
      <c r="N26" s="304"/>
      <c r="O26" s="63"/>
      <c r="Q26" s="63"/>
      <c r="S26" s="63"/>
      <c r="U26" s="23"/>
      <c r="W26" s="63"/>
      <c r="Y26" s="63"/>
      <c r="AB26" s="289">
        <v>25370.144199885712</v>
      </c>
      <c r="AC26" s="289">
        <v>29193.758219786007</v>
      </c>
      <c r="AD26" s="289">
        <v>27819.44191104994</v>
      </c>
      <c r="AE26" s="289">
        <v>35806.694348382203</v>
      </c>
      <c r="AF26" s="289">
        <v>32957.996533578997</v>
      </c>
      <c r="AG26" s="289">
        <v>28804.206654043817</v>
      </c>
      <c r="AH26" s="289">
        <v>29984</v>
      </c>
      <c r="AI26" s="289">
        <v>41641.980000000003</v>
      </c>
      <c r="AJ26" s="289">
        <v>37225.5</v>
      </c>
      <c r="AK26" s="240">
        <v>34359.75</v>
      </c>
      <c r="AL26" s="145"/>
    </row>
    <row r="27" spans="2:38" s="15" customFormat="1" ht="17.25" customHeight="1">
      <c r="B27" s="307" t="s">
        <v>302</v>
      </c>
      <c r="C27" s="296"/>
      <c r="D27" s="296"/>
      <c r="E27" s="291"/>
      <c r="F27" s="297"/>
      <c r="G27" s="298"/>
      <c r="H27" s="298"/>
      <c r="I27" s="298"/>
      <c r="J27" s="298"/>
      <c r="K27" s="298"/>
      <c r="L27" s="298"/>
      <c r="M27" s="299"/>
      <c r="N27" s="300"/>
      <c r="O27" s="301"/>
      <c r="Q27" s="301"/>
      <c r="S27" s="301"/>
      <c r="U27" s="406"/>
      <c r="W27" s="301"/>
      <c r="Y27" s="301"/>
      <c r="AB27" s="302">
        <f>SUM(AB25:AB26)</f>
        <v>241485.48570610158</v>
      </c>
      <c r="AC27" s="302">
        <f t="shared" ref="AC27:AK27" si="1">SUM(AC25:AC26)</f>
        <v>271097.54210993688</v>
      </c>
      <c r="AD27" s="302">
        <f t="shared" si="1"/>
        <v>305137.79010537529</v>
      </c>
      <c r="AE27" s="302">
        <f t="shared" si="1"/>
        <v>392822.04354878882</v>
      </c>
      <c r="AF27" s="302">
        <f t="shared" si="1"/>
        <v>367024.4818160751</v>
      </c>
      <c r="AG27" s="302">
        <f t="shared" si="1"/>
        <v>338937.61844307033</v>
      </c>
      <c r="AH27" s="302">
        <f t="shared" si="1"/>
        <v>336942.560938504</v>
      </c>
      <c r="AI27" s="302">
        <f t="shared" si="1"/>
        <v>391020.86</v>
      </c>
      <c r="AJ27" s="302">
        <f t="shared" si="1"/>
        <v>373041.25</v>
      </c>
      <c r="AK27" s="302">
        <f t="shared" si="1"/>
        <v>348108</v>
      </c>
    </row>
    <row r="28" spans="2:38" s="20" customFormat="1" ht="17.25" customHeight="1">
      <c r="B28" s="305" t="s">
        <v>17</v>
      </c>
      <c r="C28" s="296"/>
      <c r="D28" s="296"/>
      <c r="E28" s="291"/>
      <c r="F28" s="298"/>
      <c r="G28" s="298"/>
      <c r="H28" s="298"/>
      <c r="I28" s="298"/>
      <c r="J28" s="298"/>
      <c r="K28" s="298"/>
      <c r="L28" s="298"/>
      <c r="M28" s="299"/>
      <c r="N28" s="304"/>
      <c r="O28" s="63"/>
      <c r="Q28" s="63"/>
      <c r="S28" s="63"/>
      <c r="U28" s="23"/>
      <c r="W28" s="63"/>
      <c r="Y28" s="63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</row>
    <row r="29" spans="2:38" s="20" customFormat="1" ht="17.25" customHeight="1">
      <c r="B29" s="306" t="s">
        <v>300</v>
      </c>
      <c r="C29" s="296"/>
      <c r="D29" s="296"/>
      <c r="E29" s="291"/>
      <c r="F29" s="298"/>
      <c r="G29" s="298"/>
      <c r="H29" s="298"/>
      <c r="I29" s="298"/>
      <c r="J29" s="298"/>
      <c r="K29" s="298"/>
      <c r="L29" s="298"/>
      <c r="M29" s="299"/>
      <c r="N29" s="304"/>
      <c r="O29" s="63"/>
      <c r="Q29" s="63"/>
      <c r="S29" s="63"/>
      <c r="U29" s="23"/>
      <c r="W29" s="63"/>
      <c r="Y29" s="63"/>
      <c r="AB29" s="289">
        <v>87752.499429340824</v>
      </c>
      <c r="AC29" s="289">
        <v>104643.33225297701</v>
      </c>
      <c r="AD29" s="289">
        <v>115296.48398230919</v>
      </c>
      <c r="AE29" s="289">
        <v>125930.227184535</v>
      </c>
      <c r="AF29" s="289">
        <v>109064.48867018247</v>
      </c>
      <c r="AG29" s="289">
        <v>110827.31762995444</v>
      </c>
      <c r="AH29" s="289">
        <v>103905.30144188587</v>
      </c>
      <c r="AI29" s="289">
        <v>121964.59</v>
      </c>
      <c r="AJ29" s="289">
        <v>113536.44</v>
      </c>
      <c r="AK29" s="240">
        <v>99713.5</v>
      </c>
      <c r="AL29" s="145"/>
    </row>
    <row r="30" spans="2:38" s="20" customFormat="1" ht="17.25" customHeight="1">
      <c r="B30" s="306" t="s">
        <v>301</v>
      </c>
      <c r="C30" s="296"/>
      <c r="D30" s="296"/>
      <c r="E30" s="291"/>
      <c r="F30" s="298"/>
      <c r="G30" s="298"/>
      <c r="H30" s="298"/>
      <c r="I30" s="298"/>
      <c r="J30" s="298"/>
      <c r="K30" s="298"/>
      <c r="L30" s="298"/>
      <c r="M30" s="299"/>
      <c r="N30" s="304"/>
      <c r="O30" s="63"/>
      <c r="Q30" s="63"/>
      <c r="S30" s="63"/>
      <c r="U30" s="23"/>
      <c r="W30" s="63"/>
      <c r="Y30" s="63"/>
      <c r="AB30" s="289">
        <v>22549.700585233204</v>
      </c>
      <c r="AC30" s="289">
        <v>29566.599822485787</v>
      </c>
      <c r="AD30" s="289">
        <v>35171.100951867644</v>
      </c>
      <c r="AE30" s="289">
        <v>39803.193898337195</v>
      </c>
      <c r="AF30" s="289">
        <v>39966.059210218133</v>
      </c>
      <c r="AG30" s="289">
        <v>38577.0624830944</v>
      </c>
      <c r="AH30" s="289">
        <v>37570.754240131842</v>
      </c>
      <c r="AI30" s="289">
        <v>46647.839999999997</v>
      </c>
      <c r="AJ30" s="289">
        <v>39411.49</v>
      </c>
      <c r="AK30" s="240">
        <v>32385.95</v>
      </c>
      <c r="AL30" s="145"/>
    </row>
    <row r="31" spans="2:38" s="15" customFormat="1" ht="17.25" customHeight="1">
      <c r="B31" s="307" t="s">
        <v>302</v>
      </c>
      <c r="C31" s="296"/>
      <c r="D31" s="296"/>
      <c r="E31" s="291"/>
      <c r="F31" s="297"/>
      <c r="G31" s="298"/>
      <c r="H31" s="298"/>
      <c r="I31" s="298"/>
      <c r="J31" s="298"/>
      <c r="K31" s="298"/>
      <c r="L31" s="298"/>
      <c r="M31" s="299"/>
      <c r="N31" s="300"/>
      <c r="O31" s="301"/>
      <c r="Q31" s="301"/>
      <c r="S31" s="301"/>
      <c r="U31" s="406"/>
      <c r="W31" s="301"/>
      <c r="Y31" s="301"/>
      <c r="AB31" s="302">
        <f>SUM(AB29:AB30)</f>
        <v>110302.20001457403</v>
      </c>
      <c r="AC31" s="302">
        <f t="shared" ref="AC31:AK31" si="2">SUM(AC29:AC30)</f>
        <v>134209.9320754628</v>
      </c>
      <c r="AD31" s="302">
        <f t="shared" si="2"/>
        <v>150467.58493417682</v>
      </c>
      <c r="AE31" s="302">
        <f t="shared" si="2"/>
        <v>165733.4210828722</v>
      </c>
      <c r="AF31" s="302">
        <f t="shared" si="2"/>
        <v>149030.54788040061</v>
      </c>
      <c r="AG31" s="302">
        <f t="shared" si="2"/>
        <v>149404.38011304883</v>
      </c>
      <c r="AH31" s="302">
        <f t="shared" si="2"/>
        <v>141476.0556820177</v>
      </c>
      <c r="AI31" s="302">
        <f t="shared" si="2"/>
        <v>168612.43</v>
      </c>
      <c r="AJ31" s="302">
        <f t="shared" si="2"/>
        <v>152947.93</v>
      </c>
      <c r="AK31" s="302">
        <f t="shared" si="2"/>
        <v>132099.45000000001</v>
      </c>
    </row>
    <row r="32" spans="2:38" s="20" customFormat="1" ht="17.25" customHeight="1">
      <c r="B32" s="305" t="s">
        <v>18</v>
      </c>
      <c r="C32" s="296"/>
      <c r="D32" s="296"/>
      <c r="E32" s="291"/>
      <c r="F32" s="298"/>
      <c r="G32" s="298"/>
      <c r="H32" s="298"/>
      <c r="I32" s="298"/>
      <c r="J32" s="298"/>
      <c r="K32" s="298"/>
      <c r="L32" s="298"/>
      <c r="M32" s="299"/>
      <c r="N32" s="304"/>
      <c r="O32" s="63"/>
      <c r="Q32" s="63"/>
      <c r="S32" s="63"/>
      <c r="U32" s="23"/>
      <c r="W32" s="63"/>
      <c r="Y32" s="63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</row>
    <row r="33" spans="2:37" s="20" customFormat="1" ht="17.25" customHeight="1">
      <c r="B33" s="306" t="s">
        <v>300</v>
      </c>
      <c r="C33" s="296"/>
      <c r="D33" s="296"/>
      <c r="E33" s="291"/>
      <c r="F33" s="298"/>
      <c r="G33" s="298"/>
      <c r="H33" s="298"/>
      <c r="I33" s="298"/>
      <c r="J33" s="298"/>
      <c r="K33" s="298"/>
      <c r="L33" s="298"/>
      <c r="M33" s="299"/>
      <c r="N33" s="304"/>
      <c r="O33" s="63"/>
      <c r="Q33" s="63"/>
      <c r="S33" s="63"/>
      <c r="U33" s="23"/>
      <c r="W33" s="63"/>
      <c r="Y33" s="63"/>
      <c r="AB33" s="289">
        <v>86397.667310323886</v>
      </c>
      <c r="AC33" s="289">
        <v>98328.491074038175</v>
      </c>
      <c r="AD33" s="289">
        <v>105718.52547252829</v>
      </c>
      <c r="AE33" s="289">
        <v>124969.12536071881</v>
      </c>
      <c r="AF33" s="289">
        <v>110962.66345013346</v>
      </c>
      <c r="AG33" s="289">
        <v>111569.79890571853</v>
      </c>
      <c r="AH33" s="289">
        <v>104539.89040285752</v>
      </c>
      <c r="AI33" s="289">
        <v>51119.55</v>
      </c>
      <c r="AJ33" s="289">
        <v>43422.5</v>
      </c>
      <c r="AK33" s="240">
        <v>43705.5</v>
      </c>
    </row>
    <row r="34" spans="2:37" s="20" customFormat="1" ht="17.25" customHeight="1">
      <c r="B34" s="306" t="s">
        <v>301</v>
      </c>
      <c r="C34" s="296"/>
      <c r="D34" s="296"/>
      <c r="E34" s="291"/>
      <c r="F34" s="298"/>
      <c r="G34" s="298"/>
      <c r="H34" s="298"/>
      <c r="I34" s="298"/>
      <c r="J34" s="298"/>
      <c r="K34" s="298"/>
      <c r="L34" s="298"/>
      <c r="M34" s="299"/>
      <c r="N34" s="304"/>
      <c r="O34" s="63"/>
      <c r="Q34" s="63"/>
      <c r="S34" s="63"/>
      <c r="U34" s="23"/>
      <c r="W34" s="63"/>
      <c r="Y34" s="63"/>
      <c r="AB34" s="289">
        <v>34380.792212654436</v>
      </c>
      <c r="AC34" s="289">
        <v>39456.027787802239</v>
      </c>
      <c r="AD34" s="289">
        <v>38766.868461323756</v>
      </c>
      <c r="AE34" s="289">
        <v>44314.222540148752</v>
      </c>
      <c r="AF34" s="289">
        <v>39261.723591961651</v>
      </c>
      <c r="AG34" s="289">
        <v>39065.26937553582</v>
      </c>
      <c r="AH34" s="289">
        <v>42795.404848170787</v>
      </c>
      <c r="AI34" s="289">
        <v>23473.15</v>
      </c>
      <c r="AJ34" s="289">
        <v>18739.75</v>
      </c>
      <c r="AK34" s="240">
        <v>18359.25</v>
      </c>
    </row>
    <row r="35" spans="2:37" s="15" customFormat="1" ht="17.25" customHeight="1">
      <c r="B35" s="307" t="s">
        <v>302</v>
      </c>
      <c r="C35" s="296"/>
      <c r="D35" s="296"/>
      <c r="E35" s="291"/>
      <c r="F35" s="297"/>
      <c r="G35" s="298"/>
      <c r="H35" s="298"/>
      <c r="I35" s="298"/>
      <c r="J35" s="298"/>
      <c r="K35" s="298"/>
      <c r="L35" s="298"/>
      <c r="M35" s="299"/>
      <c r="N35" s="300"/>
      <c r="O35" s="301"/>
      <c r="Q35" s="301"/>
      <c r="S35" s="301"/>
      <c r="U35" s="406"/>
      <c r="W35" s="301"/>
      <c r="Y35" s="301"/>
      <c r="AB35" s="302">
        <f>SUM(AB33:AB34)</f>
        <v>120778.45952297832</v>
      </c>
      <c r="AC35" s="302">
        <f t="shared" ref="AC35:AK35" si="3">SUM(AC33:AC34)</f>
        <v>137784.51886184042</v>
      </c>
      <c r="AD35" s="302">
        <f t="shared" si="3"/>
        <v>144485.39393385203</v>
      </c>
      <c r="AE35" s="302">
        <f t="shared" si="3"/>
        <v>169283.34790086758</v>
      </c>
      <c r="AF35" s="302">
        <f t="shared" si="3"/>
        <v>150224.38704209513</v>
      </c>
      <c r="AG35" s="302">
        <f t="shared" si="3"/>
        <v>150635.06828125435</v>
      </c>
      <c r="AH35" s="302">
        <f t="shared" si="3"/>
        <v>147335.29525102832</v>
      </c>
      <c r="AI35" s="302">
        <f t="shared" si="3"/>
        <v>74592.700000000012</v>
      </c>
      <c r="AJ35" s="302">
        <f t="shared" si="3"/>
        <v>62162.25</v>
      </c>
      <c r="AK35" s="302">
        <f t="shared" si="3"/>
        <v>62064.75</v>
      </c>
    </row>
    <row r="36" spans="2:37" s="20" customFormat="1" ht="17.25" customHeight="1">
      <c r="B36" s="305" t="s">
        <v>19</v>
      </c>
      <c r="C36" s="296"/>
      <c r="D36" s="296"/>
      <c r="E36" s="291"/>
      <c r="F36" s="298"/>
      <c r="G36" s="298"/>
      <c r="H36" s="298"/>
      <c r="I36" s="298"/>
      <c r="J36" s="298"/>
      <c r="K36" s="298"/>
      <c r="L36" s="298"/>
      <c r="M36" s="299"/>
      <c r="N36" s="304"/>
      <c r="O36" s="63"/>
      <c r="Q36" s="63"/>
      <c r="S36" s="63"/>
      <c r="U36" s="23"/>
      <c r="W36" s="63"/>
      <c r="Y36" s="63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</row>
    <row r="37" spans="2:37" s="20" customFormat="1" ht="17.25" customHeight="1">
      <c r="B37" s="306" t="s">
        <v>300</v>
      </c>
      <c r="C37" s="296"/>
      <c r="D37" s="296"/>
      <c r="E37" s="291"/>
      <c r="F37" s="298"/>
      <c r="G37" s="298"/>
      <c r="H37" s="298"/>
      <c r="I37" s="298"/>
      <c r="J37" s="298"/>
      <c r="K37" s="298"/>
      <c r="L37" s="298"/>
      <c r="M37" s="299"/>
      <c r="N37" s="304"/>
      <c r="O37" s="63"/>
      <c r="Q37" s="63"/>
      <c r="S37" s="63"/>
      <c r="U37" s="23"/>
      <c r="W37" s="63"/>
      <c r="Y37" s="63"/>
      <c r="AB37" s="289">
        <v>145945.65482418484</v>
      </c>
      <c r="AC37" s="289">
        <v>163351.53986080768</v>
      </c>
      <c r="AD37" s="289">
        <v>174428.68449605998</v>
      </c>
      <c r="AE37" s="289">
        <v>214752.8630771501</v>
      </c>
      <c r="AF37" s="289">
        <v>179398.23243659563</v>
      </c>
      <c r="AG37" s="289">
        <v>211733.57429920972</v>
      </c>
      <c r="AH37" s="289">
        <v>211463.29141293763</v>
      </c>
      <c r="AI37" s="289">
        <v>197528.78</v>
      </c>
      <c r="AJ37" s="289">
        <v>212211</v>
      </c>
      <c r="AK37" s="240">
        <v>240656.35</v>
      </c>
    </row>
    <row r="38" spans="2:37" s="20" customFormat="1" ht="17.25" customHeight="1">
      <c r="B38" s="306" t="s">
        <v>301</v>
      </c>
      <c r="C38" s="296"/>
      <c r="D38" s="296"/>
      <c r="E38" s="291"/>
      <c r="F38" s="298"/>
      <c r="G38" s="298"/>
      <c r="H38" s="298"/>
      <c r="I38" s="298"/>
      <c r="J38" s="298"/>
      <c r="K38" s="298"/>
      <c r="L38" s="298"/>
      <c r="M38" s="299"/>
      <c r="N38" s="304"/>
      <c r="O38" s="63"/>
      <c r="Q38" s="63"/>
      <c r="S38" s="63"/>
      <c r="U38" s="23"/>
      <c r="W38" s="63"/>
      <c r="Y38" s="63"/>
      <c r="AB38" s="289">
        <v>60009.438609627774</v>
      </c>
      <c r="AC38" s="289">
        <v>65187.312941956756</v>
      </c>
      <c r="AD38" s="289">
        <v>73173.868817431983</v>
      </c>
      <c r="AE38" s="289">
        <v>92068.347122080624</v>
      </c>
      <c r="AF38" s="289">
        <v>61748.290367409398</v>
      </c>
      <c r="AG38" s="289">
        <v>91768.365811950163</v>
      </c>
      <c r="AH38" s="289">
        <v>103956.58336058854</v>
      </c>
      <c r="AI38" s="289">
        <v>116802.79</v>
      </c>
      <c r="AJ38" s="289">
        <v>131385.25</v>
      </c>
      <c r="AK38" s="240">
        <v>114682.2</v>
      </c>
    </row>
    <row r="39" spans="2:37" s="15" customFormat="1" ht="17.25" customHeight="1">
      <c r="B39" s="307" t="s">
        <v>302</v>
      </c>
      <c r="C39" s="296"/>
      <c r="D39" s="296"/>
      <c r="E39" s="291"/>
      <c r="F39" s="297"/>
      <c r="G39" s="298"/>
      <c r="H39" s="298"/>
      <c r="I39" s="298"/>
      <c r="J39" s="298"/>
      <c r="K39" s="298"/>
      <c r="L39" s="298"/>
      <c r="M39" s="299"/>
      <c r="N39" s="300"/>
      <c r="O39" s="301"/>
      <c r="Q39" s="301"/>
      <c r="S39" s="301"/>
      <c r="U39" s="406"/>
      <c r="W39" s="301"/>
      <c r="Y39" s="301"/>
      <c r="AB39" s="302">
        <f>SUM(AB37:AB38)</f>
        <v>205955.09343381261</v>
      </c>
      <c r="AC39" s="302">
        <f t="shared" ref="AC39:AK39" si="4">SUM(AC37:AC38)</f>
        <v>228538.85280276445</v>
      </c>
      <c r="AD39" s="302">
        <f t="shared" si="4"/>
        <v>247602.55331349198</v>
      </c>
      <c r="AE39" s="302">
        <f t="shared" si="4"/>
        <v>306821.2101992307</v>
      </c>
      <c r="AF39" s="302">
        <f t="shared" si="4"/>
        <v>241146.52280400501</v>
      </c>
      <c r="AG39" s="302">
        <f t="shared" si="4"/>
        <v>303501.94011115987</v>
      </c>
      <c r="AH39" s="302">
        <f t="shared" si="4"/>
        <v>315419.87477352616</v>
      </c>
      <c r="AI39" s="302">
        <f t="shared" si="4"/>
        <v>314331.57</v>
      </c>
      <c r="AJ39" s="302">
        <f t="shared" si="4"/>
        <v>343596.25</v>
      </c>
      <c r="AK39" s="302">
        <f t="shared" si="4"/>
        <v>355338.55</v>
      </c>
    </row>
    <row r="40" spans="2:37" s="20" customFormat="1" ht="17.25" customHeight="1">
      <c r="B40" s="305" t="s">
        <v>20</v>
      </c>
      <c r="C40" s="296"/>
      <c r="D40" s="296"/>
      <c r="E40" s="291"/>
      <c r="F40" s="298"/>
      <c r="G40" s="298"/>
      <c r="H40" s="298"/>
      <c r="I40" s="298"/>
      <c r="J40" s="298"/>
      <c r="K40" s="298"/>
      <c r="L40" s="298"/>
      <c r="M40" s="299"/>
      <c r="N40" s="304"/>
      <c r="O40" s="63"/>
      <c r="Q40" s="63"/>
      <c r="S40" s="63"/>
      <c r="U40" s="23"/>
      <c r="W40" s="63"/>
      <c r="Y40" s="63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</row>
    <row r="41" spans="2:37" s="20" customFormat="1" ht="17.25" customHeight="1">
      <c r="B41" s="306" t="s">
        <v>300</v>
      </c>
      <c r="C41" s="296"/>
      <c r="D41" s="296"/>
      <c r="E41" s="291"/>
      <c r="F41" s="298"/>
      <c r="G41" s="298"/>
      <c r="H41" s="298"/>
      <c r="I41" s="298"/>
      <c r="J41" s="298"/>
      <c r="K41" s="298"/>
      <c r="L41" s="298"/>
      <c r="M41" s="299"/>
      <c r="N41" s="304"/>
      <c r="O41" s="63"/>
      <c r="Q41" s="63"/>
      <c r="S41" s="63"/>
      <c r="U41" s="23"/>
      <c r="W41" s="63"/>
      <c r="Y41" s="63"/>
      <c r="AB41" s="289">
        <v>23876.896543832998</v>
      </c>
      <c r="AC41" s="289">
        <v>27519.879704252457</v>
      </c>
      <c r="AD41" s="289">
        <v>29700.239432368009</v>
      </c>
      <c r="AE41" s="289">
        <v>36987.858068077476</v>
      </c>
      <c r="AF41" s="289">
        <v>32485.335563106055</v>
      </c>
      <c r="AG41" s="289">
        <v>30985.15304436288</v>
      </c>
      <c r="AH41" s="289">
        <v>28356.033964115213</v>
      </c>
      <c r="AI41" s="289">
        <v>34790.94</v>
      </c>
      <c r="AJ41" s="289">
        <v>27740.75</v>
      </c>
      <c r="AK41" s="240">
        <v>19525.25</v>
      </c>
    </row>
    <row r="42" spans="2:37" s="20" customFormat="1" ht="17.25" customHeight="1">
      <c r="B42" s="306" t="s">
        <v>301</v>
      </c>
      <c r="C42" s="296"/>
      <c r="D42" s="296"/>
      <c r="E42" s="291"/>
      <c r="F42" s="298"/>
      <c r="G42" s="298"/>
      <c r="H42" s="298"/>
      <c r="I42" s="298"/>
      <c r="J42" s="298"/>
      <c r="K42" s="298"/>
      <c r="L42" s="298"/>
      <c r="M42" s="299"/>
      <c r="N42" s="304"/>
      <c r="O42" s="63"/>
      <c r="Q42" s="63"/>
      <c r="S42" s="63"/>
      <c r="U42" s="23"/>
      <c r="W42" s="63"/>
      <c r="Y42" s="63"/>
      <c r="AB42" s="289">
        <v>16998.827513842636</v>
      </c>
      <c r="AC42" s="289">
        <v>21444.910365074564</v>
      </c>
      <c r="AD42" s="289">
        <v>29131.335213328068</v>
      </c>
      <c r="AE42" s="289">
        <v>30677.583589937938</v>
      </c>
      <c r="AF42" s="289">
        <v>25840.984338647468</v>
      </c>
      <c r="AG42" s="289">
        <v>24570.174259477451</v>
      </c>
      <c r="AH42" s="289">
        <v>23392.719843349802</v>
      </c>
      <c r="AI42" s="289">
        <v>39779.050000000003</v>
      </c>
      <c r="AJ42" s="289">
        <v>41645.75</v>
      </c>
      <c r="AK42" s="240">
        <v>32286.25</v>
      </c>
    </row>
    <row r="43" spans="2:37" s="15" customFormat="1" ht="17.25" customHeight="1">
      <c r="B43" s="307" t="s">
        <v>302</v>
      </c>
      <c r="C43" s="296"/>
      <c r="D43" s="296"/>
      <c r="E43" s="291"/>
      <c r="F43" s="297"/>
      <c r="G43" s="298"/>
      <c r="H43" s="298"/>
      <c r="I43" s="298"/>
      <c r="J43" s="298"/>
      <c r="K43" s="298"/>
      <c r="L43" s="298"/>
      <c r="M43" s="299"/>
      <c r="N43" s="300"/>
      <c r="O43" s="301"/>
      <c r="Q43" s="301"/>
      <c r="S43" s="301"/>
      <c r="U43" s="406"/>
      <c r="W43" s="301"/>
      <c r="Y43" s="301"/>
      <c r="AB43" s="302">
        <f>SUM(AB41:AB42)</f>
        <v>40875.72405767563</v>
      </c>
      <c r="AC43" s="302">
        <f t="shared" ref="AC43:AK43" si="5">SUM(AC41:AC42)</f>
        <v>48964.79006932702</v>
      </c>
      <c r="AD43" s="302">
        <f t="shared" si="5"/>
        <v>58831.574645696077</v>
      </c>
      <c r="AE43" s="302">
        <f t="shared" si="5"/>
        <v>67665.441658015421</v>
      </c>
      <c r="AF43" s="302">
        <f t="shared" si="5"/>
        <v>58326.319901753523</v>
      </c>
      <c r="AG43" s="302">
        <f t="shared" si="5"/>
        <v>55555.327303840328</v>
      </c>
      <c r="AH43" s="302">
        <f t="shared" si="5"/>
        <v>51748.753807465015</v>
      </c>
      <c r="AI43" s="302">
        <f t="shared" si="5"/>
        <v>74569.990000000005</v>
      </c>
      <c r="AJ43" s="302">
        <f t="shared" si="5"/>
        <v>69386.5</v>
      </c>
      <c r="AK43" s="302">
        <f t="shared" si="5"/>
        <v>51811.5</v>
      </c>
    </row>
    <row r="44" spans="2:37" s="15" customFormat="1" ht="17.25" customHeight="1">
      <c r="B44" s="305" t="s">
        <v>323</v>
      </c>
      <c r="C44" s="296"/>
      <c r="D44" s="296"/>
      <c r="E44" s="291"/>
      <c r="F44" s="297"/>
      <c r="G44" s="298"/>
      <c r="H44" s="298"/>
      <c r="I44" s="298"/>
      <c r="J44" s="298"/>
      <c r="K44" s="298"/>
      <c r="L44" s="298"/>
      <c r="M44" s="299"/>
      <c r="N44" s="300"/>
      <c r="O44" s="301"/>
      <c r="Q44" s="301"/>
      <c r="S44" s="301"/>
      <c r="U44" s="406"/>
      <c r="W44" s="301"/>
      <c r="Y44" s="301"/>
      <c r="AB44" s="373"/>
      <c r="AC44" s="373"/>
      <c r="AD44" s="373"/>
      <c r="AE44" s="373"/>
      <c r="AF44" s="373"/>
      <c r="AG44" s="373"/>
      <c r="AH44" s="294"/>
      <c r="AI44" s="294"/>
      <c r="AJ44" s="294"/>
      <c r="AK44" s="294"/>
    </row>
    <row r="45" spans="2:37" s="15" customFormat="1" ht="17.25" customHeight="1">
      <c r="B45" s="306" t="s">
        <v>300</v>
      </c>
      <c r="C45" s="296"/>
      <c r="D45" s="296"/>
      <c r="E45" s="291"/>
      <c r="F45" s="297"/>
      <c r="G45" s="298"/>
      <c r="H45" s="298"/>
      <c r="I45" s="298"/>
      <c r="J45" s="298"/>
      <c r="K45" s="298"/>
      <c r="L45" s="298"/>
      <c r="M45" s="299"/>
      <c r="N45" s="300"/>
      <c r="O45" s="301"/>
      <c r="Q45" s="301"/>
      <c r="S45" s="301"/>
      <c r="U45" s="406"/>
      <c r="W45" s="301"/>
      <c r="Y45" s="301"/>
      <c r="AB45" s="373"/>
      <c r="AC45" s="373"/>
      <c r="AD45" s="373"/>
      <c r="AE45" s="373"/>
      <c r="AF45" s="373"/>
      <c r="AG45" s="373"/>
      <c r="AH45" s="289">
        <v>0</v>
      </c>
      <c r="AI45" s="289">
        <v>0</v>
      </c>
      <c r="AJ45" s="289">
        <v>14448</v>
      </c>
      <c r="AK45" s="240">
        <v>32017.75</v>
      </c>
    </row>
    <row r="46" spans="2:37" s="15" customFormat="1" ht="17.25" customHeight="1">
      <c r="B46" s="306" t="s">
        <v>301</v>
      </c>
      <c r="C46" s="296"/>
      <c r="D46" s="296"/>
      <c r="E46" s="291"/>
      <c r="F46" s="297"/>
      <c r="G46" s="298"/>
      <c r="H46" s="298"/>
      <c r="I46" s="298"/>
      <c r="J46" s="298"/>
      <c r="K46" s="298"/>
      <c r="L46" s="298"/>
      <c r="M46" s="299"/>
      <c r="N46" s="300"/>
      <c r="O46" s="301"/>
      <c r="Q46" s="301"/>
      <c r="S46" s="301"/>
      <c r="U46" s="406"/>
      <c r="W46" s="301"/>
      <c r="Y46" s="301"/>
      <c r="AB46" s="373"/>
      <c r="AC46" s="373"/>
      <c r="AD46" s="373"/>
      <c r="AE46" s="373"/>
      <c r="AF46" s="373"/>
      <c r="AG46" s="373"/>
      <c r="AH46" s="289">
        <v>0</v>
      </c>
      <c r="AI46" s="289">
        <v>0</v>
      </c>
      <c r="AJ46" s="289">
        <v>15699.75</v>
      </c>
      <c r="AK46" s="240">
        <v>45090.75</v>
      </c>
    </row>
    <row r="47" spans="2:37" s="15" customFormat="1" ht="17.25" customHeight="1">
      <c r="B47" s="307" t="s">
        <v>302</v>
      </c>
      <c r="C47" s="296"/>
      <c r="D47" s="296"/>
      <c r="E47" s="291"/>
      <c r="F47" s="297"/>
      <c r="G47" s="298"/>
      <c r="H47" s="298"/>
      <c r="I47" s="298"/>
      <c r="J47" s="298"/>
      <c r="K47" s="298"/>
      <c r="L47" s="298"/>
      <c r="M47" s="299"/>
      <c r="N47" s="300"/>
      <c r="O47" s="301"/>
      <c r="Q47" s="301"/>
      <c r="S47" s="301"/>
      <c r="U47" s="406"/>
      <c r="W47" s="301"/>
      <c r="Y47" s="301"/>
      <c r="AB47" s="373"/>
      <c r="AC47" s="373"/>
      <c r="AD47" s="373"/>
      <c r="AE47" s="373"/>
      <c r="AF47" s="373"/>
      <c r="AG47" s="373"/>
      <c r="AH47" s="302">
        <f t="shared" ref="AH47:AK47" si="6">SUM(AH45:AH46)</f>
        <v>0</v>
      </c>
      <c r="AI47" s="302">
        <f t="shared" si="6"/>
        <v>0</v>
      </c>
      <c r="AJ47" s="302">
        <f t="shared" si="6"/>
        <v>30147.75</v>
      </c>
      <c r="AK47" s="302">
        <f t="shared" si="6"/>
        <v>77108.5</v>
      </c>
    </row>
    <row r="48" spans="2:37" s="20" customFormat="1" ht="17.25" customHeight="1">
      <c r="B48" s="305" t="s">
        <v>302</v>
      </c>
      <c r="C48" s="296"/>
      <c r="D48" s="296"/>
      <c r="E48" s="291"/>
      <c r="F48" s="298"/>
      <c r="G48" s="298"/>
      <c r="H48" s="298"/>
      <c r="I48" s="298"/>
      <c r="J48" s="298"/>
      <c r="K48" s="298"/>
      <c r="L48" s="298"/>
      <c r="M48" s="299"/>
      <c r="N48" s="304"/>
      <c r="O48" s="63"/>
      <c r="Q48" s="63"/>
      <c r="S48" s="63"/>
      <c r="U48" s="23"/>
      <c r="W48" s="63"/>
      <c r="Y48" s="63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</row>
    <row r="49" spans="1:40" s="15" customFormat="1" ht="17.25" customHeight="1">
      <c r="B49" s="307" t="s">
        <v>300</v>
      </c>
      <c r="C49" s="296"/>
      <c r="D49" s="296"/>
      <c r="E49" s="291"/>
      <c r="F49" s="297"/>
      <c r="G49" s="298"/>
      <c r="H49" s="298"/>
      <c r="I49" s="298"/>
      <c r="J49" s="298"/>
      <c r="K49" s="298"/>
      <c r="L49" s="298"/>
      <c r="M49" s="299"/>
      <c r="N49" s="300"/>
      <c r="O49" s="301"/>
      <c r="Q49" s="301"/>
      <c r="S49" s="301"/>
      <c r="U49" s="406"/>
      <c r="W49" s="301"/>
      <c r="Y49" s="301"/>
      <c r="AB49" s="302">
        <f t="shared" ref="AB49:AI50" si="7">AB21+AB25+AB29+AB33+AB37+AB41</f>
        <v>796784.38579690107</v>
      </c>
      <c r="AC49" s="302">
        <f t="shared" si="7"/>
        <v>900986</v>
      </c>
      <c r="AD49" s="302">
        <f t="shared" si="7"/>
        <v>986430</v>
      </c>
      <c r="AE49" s="302">
        <f t="shared" si="7"/>
        <v>1184181</v>
      </c>
      <c r="AF49" s="302">
        <f t="shared" si="7"/>
        <v>1069900.0000000002</v>
      </c>
      <c r="AG49" s="302">
        <f t="shared" si="7"/>
        <v>1068355</v>
      </c>
      <c r="AH49" s="302">
        <f t="shared" si="7"/>
        <v>1000556.0000000002</v>
      </c>
      <c r="AI49" s="302">
        <f t="shared" si="7"/>
        <v>1072001.28</v>
      </c>
      <c r="AJ49" s="302">
        <f>AJ21+AJ25+AJ29+AJ33+AJ37+AJ41+AJ45</f>
        <v>1045148.8200000001</v>
      </c>
      <c r="AK49" s="302">
        <f>AK21+AK25+AK29+AK33+AK37+AK41+AK45</f>
        <v>1027948.35</v>
      </c>
    </row>
    <row r="50" spans="1:40" s="15" customFormat="1" ht="17.25" customHeight="1">
      <c r="B50" s="307" t="s">
        <v>301</v>
      </c>
      <c r="C50" s="296"/>
      <c r="D50" s="296"/>
      <c r="E50" s="291"/>
      <c r="F50" s="297"/>
      <c r="G50" s="298"/>
      <c r="H50" s="298"/>
      <c r="I50" s="298"/>
      <c r="J50" s="298"/>
      <c r="K50" s="298"/>
      <c r="L50" s="298"/>
      <c r="M50" s="299"/>
      <c r="N50" s="300"/>
      <c r="O50" s="301"/>
      <c r="Q50" s="301"/>
      <c r="S50" s="301"/>
      <c r="U50" s="406"/>
      <c r="W50" s="301"/>
      <c r="Y50" s="301"/>
      <c r="AB50" s="302">
        <f t="shared" si="7"/>
        <v>234256.07583400659</v>
      </c>
      <c r="AC50" s="302">
        <f t="shared" si="7"/>
        <v>267317</v>
      </c>
      <c r="AD50" s="302">
        <f t="shared" si="7"/>
        <v>291878</v>
      </c>
      <c r="AE50" s="302">
        <f t="shared" si="7"/>
        <v>341547</v>
      </c>
      <c r="AF50" s="302">
        <f t="shared" si="7"/>
        <v>294822</v>
      </c>
      <c r="AG50" s="302">
        <f t="shared" si="7"/>
        <v>316932.00000000006</v>
      </c>
      <c r="AH50" s="302">
        <f t="shared" si="7"/>
        <v>325491.28912750771</v>
      </c>
      <c r="AI50" s="302">
        <f t="shared" si="7"/>
        <v>406250.20999999996</v>
      </c>
      <c r="AJ50" s="302">
        <f>AJ22+AJ26+AJ30+AJ34+AJ38+AJ42+AJ46</f>
        <v>408029.99</v>
      </c>
      <c r="AK50" s="302">
        <f>AK22+AK26+AK30+AK34+AK38+AK42+AK46</f>
        <v>391760.4</v>
      </c>
    </row>
    <row r="51" spans="1:40" s="15" customFormat="1" ht="17.25" customHeight="1">
      <c r="B51" s="307" t="s">
        <v>302</v>
      </c>
      <c r="C51" s="296"/>
      <c r="D51" s="296"/>
      <c r="E51" s="291"/>
      <c r="F51" s="297"/>
      <c r="G51" s="298"/>
      <c r="H51" s="298"/>
      <c r="I51" s="298"/>
      <c r="J51" s="298"/>
      <c r="K51" s="298"/>
      <c r="L51" s="298"/>
      <c r="M51" s="299"/>
      <c r="N51" s="300"/>
      <c r="O51" s="301"/>
      <c r="Q51" s="301"/>
      <c r="S51" s="301"/>
      <c r="U51" s="406"/>
      <c r="W51" s="301"/>
      <c r="Y51" s="301"/>
      <c r="AB51" s="302">
        <f>SUM(AB49:AB50)</f>
        <v>1031040.4616309076</v>
      </c>
      <c r="AC51" s="302">
        <f t="shared" ref="AC51:AJ51" si="8">SUM(AC49:AC50)</f>
        <v>1168303</v>
      </c>
      <c r="AD51" s="302">
        <f t="shared" si="8"/>
        <v>1278308</v>
      </c>
      <c r="AE51" s="302">
        <f t="shared" si="8"/>
        <v>1525728</v>
      </c>
      <c r="AF51" s="302">
        <f t="shared" si="8"/>
        <v>1364722.0000000002</v>
      </c>
      <c r="AG51" s="302">
        <f t="shared" si="8"/>
        <v>1385287</v>
      </c>
      <c r="AH51" s="302">
        <f t="shared" si="8"/>
        <v>1326047.2891275079</v>
      </c>
      <c r="AI51" s="302">
        <f t="shared" si="8"/>
        <v>1478251.49</v>
      </c>
      <c r="AJ51" s="302">
        <f t="shared" si="8"/>
        <v>1453178.81</v>
      </c>
      <c r="AK51" s="302">
        <f>SUM(AK49:AK50)</f>
        <v>1419708.75</v>
      </c>
    </row>
    <row r="52" spans="1:40" ht="23.25" customHeight="1">
      <c r="B52" s="308" t="s">
        <v>0</v>
      </c>
      <c r="C52" s="308"/>
      <c r="D52" s="309" t="s">
        <v>0</v>
      </c>
      <c r="E52" s="310" t="s">
        <v>0</v>
      </c>
      <c r="F52" s="311" t="s">
        <v>0</v>
      </c>
      <c r="G52" s="310" t="s">
        <v>0</v>
      </c>
      <c r="H52" s="311" t="s">
        <v>0</v>
      </c>
      <c r="I52" s="310" t="s">
        <v>0</v>
      </c>
      <c r="J52" s="311" t="s">
        <v>0</v>
      </c>
      <c r="K52" s="310" t="s">
        <v>0</v>
      </c>
      <c r="L52" s="311" t="s">
        <v>0</v>
      </c>
      <c r="M52" s="312"/>
      <c r="N52" s="311"/>
      <c r="O52" s="313"/>
      <c r="P52" s="311"/>
      <c r="Q52" s="313"/>
      <c r="R52" s="311"/>
      <c r="S52" s="313"/>
      <c r="T52" s="311"/>
      <c r="U52" s="315"/>
      <c r="V52" s="311"/>
      <c r="W52" s="313"/>
      <c r="X52" s="311"/>
      <c r="Y52" s="313"/>
      <c r="Z52" s="311"/>
      <c r="AA52" s="311"/>
      <c r="AB52" s="314" t="s">
        <v>0</v>
      </c>
      <c r="AC52" s="314" t="s">
        <v>0</v>
      </c>
      <c r="AD52" s="314" t="s">
        <v>0</v>
      </c>
      <c r="AE52" s="314" t="s">
        <v>0</v>
      </c>
      <c r="AF52" s="314" t="s">
        <v>0</v>
      </c>
      <c r="AG52" s="314" t="s">
        <v>0</v>
      </c>
      <c r="AH52" s="314" t="s">
        <v>0</v>
      </c>
      <c r="AI52" s="315" t="s">
        <v>0</v>
      </c>
      <c r="AJ52" s="314" t="s">
        <v>0</v>
      </c>
      <c r="AK52" s="315" t="s">
        <v>0</v>
      </c>
    </row>
    <row r="53" spans="1:40" s="20" customFormat="1" ht="21.75" customHeight="1">
      <c r="B53" s="316" t="s">
        <v>36</v>
      </c>
      <c r="C53" s="317"/>
      <c r="D53" s="318"/>
      <c r="E53" s="319"/>
      <c r="F53" s="317"/>
      <c r="G53" s="319"/>
      <c r="H53" s="317"/>
      <c r="I53" s="319"/>
      <c r="J53" s="317"/>
      <c r="K53" s="319"/>
      <c r="L53" s="317"/>
      <c r="M53" s="320"/>
      <c r="N53" s="317"/>
      <c r="O53" s="321"/>
      <c r="P53" s="317"/>
      <c r="Q53" s="321"/>
      <c r="R53" s="317"/>
      <c r="S53" s="321"/>
      <c r="T53" s="317"/>
      <c r="U53" s="407"/>
      <c r="V53" s="317"/>
      <c r="W53" s="321"/>
      <c r="X53" s="322"/>
      <c r="Y53" s="321"/>
      <c r="Z53" s="322"/>
      <c r="AA53" s="21"/>
      <c r="AB53" s="323"/>
      <c r="AC53" s="324"/>
      <c r="AD53" s="325"/>
      <c r="AE53" s="325"/>
      <c r="AF53" s="325"/>
      <c r="AG53" s="325"/>
      <c r="AH53" s="325"/>
      <c r="AI53" s="326"/>
      <c r="AJ53" s="325"/>
      <c r="AK53" s="326"/>
    </row>
    <row r="54" spans="1:40" s="20" customFormat="1">
      <c r="A54" s="20">
        <v>5</v>
      </c>
      <c r="B54" s="284" t="s">
        <v>320</v>
      </c>
      <c r="C54" s="285" t="s">
        <v>37</v>
      </c>
      <c r="D54" s="286"/>
      <c r="E54" s="327"/>
      <c r="F54" s="285"/>
      <c r="G54" s="327"/>
      <c r="H54" s="285"/>
      <c r="I54" s="327"/>
      <c r="J54" s="285"/>
      <c r="K54" s="327"/>
      <c r="L54" s="285"/>
      <c r="M54" s="327"/>
      <c r="N54" s="285"/>
      <c r="O54" s="147">
        <v>0</v>
      </c>
      <c r="P54" s="285" t="s">
        <v>32</v>
      </c>
      <c r="Q54" s="147">
        <v>100</v>
      </c>
      <c r="R54" s="285" t="s">
        <v>32</v>
      </c>
      <c r="S54" s="147">
        <v>100</v>
      </c>
      <c r="T54" s="285" t="s">
        <v>32</v>
      </c>
      <c r="U54" s="411">
        <v>100</v>
      </c>
      <c r="V54" s="412" t="s">
        <v>32</v>
      </c>
      <c r="W54" s="411">
        <v>100</v>
      </c>
      <c r="X54" s="412" t="s">
        <v>32</v>
      </c>
      <c r="Y54" s="413">
        <v>100</v>
      </c>
      <c r="Z54" s="414" t="s">
        <v>32</v>
      </c>
      <c r="AA54" s="288"/>
      <c r="AB54" s="289"/>
      <c r="AC54" s="289"/>
      <c r="AD54" s="289"/>
      <c r="AE54" s="289">
        <v>0</v>
      </c>
      <c r="AF54" s="289">
        <v>0</v>
      </c>
      <c r="AG54" s="289">
        <v>0</v>
      </c>
      <c r="AH54" s="289">
        <v>0</v>
      </c>
      <c r="AI54" s="289">
        <v>0</v>
      </c>
      <c r="AJ54" s="289">
        <v>0</v>
      </c>
      <c r="AK54" s="240">
        <v>0</v>
      </c>
    </row>
    <row r="55" spans="1:40" s="20" customFormat="1">
      <c r="A55" s="20">
        <f>+A54+1</f>
        <v>6</v>
      </c>
      <c r="B55" s="284" t="s">
        <v>84</v>
      </c>
      <c r="C55" s="285" t="s">
        <v>37</v>
      </c>
      <c r="D55" s="286"/>
      <c r="E55" s="327"/>
      <c r="F55" s="285"/>
      <c r="G55" s="327"/>
      <c r="H55" s="285"/>
      <c r="I55" s="327"/>
      <c r="J55" s="285"/>
      <c r="K55" s="327"/>
      <c r="L55" s="285"/>
      <c r="M55" s="148">
        <v>911</v>
      </c>
      <c r="N55" s="285" t="s">
        <v>35</v>
      </c>
      <c r="O55" s="147">
        <v>957</v>
      </c>
      <c r="P55" s="285" t="s">
        <v>35</v>
      </c>
      <c r="Q55" s="147" t="s">
        <v>321</v>
      </c>
      <c r="R55" s="285" t="s">
        <v>35</v>
      </c>
      <c r="S55" s="147">
        <v>1054</v>
      </c>
      <c r="T55" s="285" t="s">
        <v>35</v>
      </c>
      <c r="U55" s="411">
        <v>1107</v>
      </c>
      <c r="V55" s="412" t="s">
        <v>35</v>
      </c>
      <c r="W55" s="411">
        <v>1162</v>
      </c>
      <c r="X55" s="412" t="s">
        <v>35</v>
      </c>
      <c r="Y55" s="413">
        <v>1207</v>
      </c>
      <c r="Z55" s="414" t="s">
        <v>35</v>
      </c>
      <c r="AA55" s="288"/>
      <c r="AB55" s="289"/>
      <c r="AC55" s="289"/>
      <c r="AD55" s="289"/>
      <c r="AE55" s="289"/>
      <c r="AF55" s="289">
        <v>233775</v>
      </c>
      <c r="AG55" s="289">
        <f>162356+82566</f>
        <v>244922</v>
      </c>
      <c r="AH55" s="289">
        <f>173832+86625</f>
        <v>260457</v>
      </c>
      <c r="AI55" s="289">
        <v>191810</v>
      </c>
      <c r="AJ55" s="289">
        <v>194394</v>
      </c>
      <c r="AK55" s="240">
        <v>213223</v>
      </c>
    </row>
    <row r="56" spans="1:40" s="20" customFormat="1">
      <c r="A56" s="20">
        <f t="shared" ref="A56:A119" si="9">+A55+1</f>
        <v>7</v>
      </c>
      <c r="B56" s="284" t="s">
        <v>85</v>
      </c>
      <c r="C56" s="285" t="s">
        <v>37</v>
      </c>
      <c r="D56" s="286"/>
      <c r="E56" s="327"/>
      <c r="F56" s="285"/>
      <c r="G56" s="327"/>
      <c r="H56" s="285"/>
      <c r="I56" s="327"/>
      <c r="J56" s="285"/>
      <c r="K56" s="327">
        <v>25</v>
      </c>
      <c r="L56" s="285" t="s">
        <v>160</v>
      </c>
      <c r="M56" s="148">
        <v>25</v>
      </c>
      <c r="N56" s="285" t="s">
        <v>160</v>
      </c>
      <c r="O56" s="147">
        <v>25</v>
      </c>
      <c r="P56" s="285" t="s">
        <v>160</v>
      </c>
      <c r="Q56" s="148">
        <v>30</v>
      </c>
      <c r="R56" s="285" t="s">
        <v>160</v>
      </c>
      <c r="S56" s="148">
        <v>35</v>
      </c>
      <c r="T56" s="285" t="s">
        <v>160</v>
      </c>
      <c r="U56" s="411">
        <v>35</v>
      </c>
      <c r="V56" s="412" t="s">
        <v>160</v>
      </c>
      <c r="W56" s="411">
        <v>40</v>
      </c>
      <c r="X56" s="412" t="s">
        <v>160</v>
      </c>
      <c r="Y56" s="413">
        <v>43</v>
      </c>
      <c r="Z56" s="414" t="s">
        <v>160</v>
      </c>
      <c r="AA56" s="288"/>
      <c r="AB56" s="289"/>
      <c r="AC56" s="289"/>
      <c r="AD56" s="289"/>
      <c r="AE56" s="289">
        <v>539700</v>
      </c>
      <c r="AF56" s="289">
        <v>304650</v>
      </c>
      <c r="AG56" s="289">
        <v>552132</v>
      </c>
      <c r="AH56" s="289">
        <v>654006</v>
      </c>
      <c r="AI56" s="289">
        <v>771840</v>
      </c>
      <c r="AJ56" s="289">
        <v>736015</v>
      </c>
      <c r="AK56" s="240">
        <v>801128</v>
      </c>
      <c r="AN56" s="5"/>
    </row>
    <row r="57" spans="1:40" s="20" customFormat="1">
      <c r="A57" s="20">
        <f t="shared" si="9"/>
        <v>8</v>
      </c>
      <c r="B57" s="284" t="s">
        <v>86</v>
      </c>
      <c r="C57" s="285" t="s">
        <v>37</v>
      </c>
      <c r="D57" s="286"/>
      <c r="E57" s="327"/>
      <c r="F57" s="285"/>
      <c r="G57" s="327"/>
      <c r="H57" s="285"/>
      <c r="I57" s="327"/>
      <c r="J57" s="285"/>
      <c r="K57" s="327">
        <v>37</v>
      </c>
      <c r="L57" s="285" t="s">
        <v>32</v>
      </c>
      <c r="M57" s="148">
        <v>0</v>
      </c>
      <c r="N57" s="285" t="s">
        <v>161</v>
      </c>
      <c r="O57" s="147">
        <v>0</v>
      </c>
      <c r="P57" s="285" t="s">
        <v>161</v>
      </c>
      <c r="Q57" s="148">
        <v>0</v>
      </c>
      <c r="R57" s="285" t="s">
        <v>161</v>
      </c>
      <c r="S57" s="148">
        <v>0</v>
      </c>
      <c r="T57" s="285" t="s">
        <v>161</v>
      </c>
      <c r="U57" s="411">
        <v>0</v>
      </c>
      <c r="V57" s="412" t="s">
        <v>161</v>
      </c>
      <c r="W57" s="411">
        <v>0</v>
      </c>
      <c r="X57" s="412" t="s">
        <v>161</v>
      </c>
      <c r="Y57" s="411">
        <v>0</v>
      </c>
      <c r="Z57" s="412" t="s">
        <v>161</v>
      </c>
      <c r="AA57" s="288"/>
      <c r="AB57" s="289"/>
      <c r="AC57" s="289"/>
      <c r="AD57" s="289"/>
      <c r="AE57" s="289">
        <v>7885.57</v>
      </c>
      <c r="AF57" s="289">
        <v>0</v>
      </c>
      <c r="AG57" s="289">
        <v>0</v>
      </c>
      <c r="AH57" s="289">
        <v>0</v>
      </c>
      <c r="AI57" s="289">
        <v>0</v>
      </c>
      <c r="AJ57" s="289">
        <v>0</v>
      </c>
      <c r="AK57" s="240">
        <v>0</v>
      </c>
    </row>
    <row r="58" spans="1:40" s="20" customFormat="1">
      <c r="A58" s="20">
        <f t="shared" si="9"/>
        <v>9</v>
      </c>
      <c r="B58" s="284" t="s">
        <v>287</v>
      </c>
      <c r="C58" s="285" t="s">
        <v>37</v>
      </c>
      <c r="D58" s="286"/>
      <c r="E58" s="327"/>
      <c r="F58" s="285"/>
      <c r="G58" s="327"/>
      <c r="H58" s="285"/>
      <c r="I58" s="327"/>
      <c r="J58" s="285"/>
      <c r="K58" s="327">
        <v>125</v>
      </c>
      <c r="L58" s="285" t="s">
        <v>32</v>
      </c>
      <c r="M58" s="148">
        <v>150</v>
      </c>
      <c r="N58" s="285" t="s">
        <v>32</v>
      </c>
      <c r="O58" s="147">
        <v>150</v>
      </c>
      <c r="P58" s="285" t="s">
        <v>32</v>
      </c>
      <c r="Q58" s="148">
        <v>165</v>
      </c>
      <c r="R58" s="285" t="s">
        <v>32</v>
      </c>
      <c r="S58" s="148">
        <v>165</v>
      </c>
      <c r="T58" s="285" t="s">
        <v>32</v>
      </c>
      <c r="U58" s="411">
        <v>165</v>
      </c>
      <c r="V58" s="412" t="s">
        <v>32</v>
      </c>
      <c r="W58" s="411">
        <v>138</v>
      </c>
      <c r="X58" s="412" t="s">
        <v>32</v>
      </c>
      <c r="Y58" s="413">
        <v>0</v>
      </c>
      <c r="Z58" s="412" t="s">
        <v>32</v>
      </c>
      <c r="AA58" s="288"/>
      <c r="AB58" s="289"/>
      <c r="AC58" s="289"/>
      <c r="AD58" s="289"/>
      <c r="AE58" s="289">
        <v>26640.45</v>
      </c>
      <c r="AF58" s="289">
        <v>69033</v>
      </c>
      <c r="AG58" s="289">
        <v>62065</v>
      </c>
      <c r="AH58" s="289">
        <v>6930</v>
      </c>
      <c r="AI58" s="289">
        <v>7260</v>
      </c>
      <c r="AJ58" s="289">
        <v>7050</v>
      </c>
      <c r="AK58" s="240">
        <v>5244</v>
      </c>
      <c r="AM58" s="5"/>
      <c r="AN58" s="5"/>
    </row>
    <row r="59" spans="1:40" s="20" customFormat="1">
      <c r="A59" s="20">
        <f t="shared" si="9"/>
        <v>10</v>
      </c>
      <c r="B59" s="284" t="s">
        <v>87</v>
      </c>
      <c r="C59" s="285" t="s">
        <v>37</v>
      </c>
      <c r="D59" s="286"/>
      <c r="E59" s="327"/>
      <c r="F59" s="285"/>
      <c r="G59" s="327"/>
      <c r="H59" s="285"/>
      <c r="I59" s="327"/>
      <c r="J59" s="285"/>
      <c r="K59" s="327">
        <v>225</v>
      </c>
      <c r="L59" s="285" t="s">
        <v>32</v>
      </c>
      <c r="M59" s="148">
        <v>0</v>
      </c>
      <c r="N59" s="285" t="s">
        <v>161</v>
      </c>
      <c r="O59" s="147">
        <v>0</v>
      </c>
      <c r="P59" s="285" t="s">
        <v>161</v>
      </c>
      <c r="Q59" s="148">
        <v>0</v>
      </c>
      <c r="R59" s="285" t="s">
        <v>161</v>
      </c>
      <c r="S59" s="148">
        <v>0</v>
      </c>
      <c r="T59" s="285" t="s">
        <v>161</v>
      </c>
      <c r="U59" s="411">
        <v>0</v>
      </c>
      <c r="V59" s="412" t="s">
        <v>161</v>
      </c>
      <c r="W59" s="411">
        <v>0</v>
      </c>
      <c r="X59" s="412" t="s">
        <v>161</v>
      </c>
      <c r="Y59" s="411">
        <v>0</v>
      </c>
      <c r="Z59" s="412" t="s">
        <v>161</v>
      </c>
      <c r="AA59" s="288"/>
      <c r="AB59" s="289"/>
      <c r="AC59" s="289"/>
      <c r="AD59" s="289"/>
      <c r="AE59" s="289">
        <v>47952.81</v>
      </c>
      <c r="AF59" s="289">
        <v>0</v>
      </c>
      <c r="AG59" s="289">
        <v>0</v>
      </c>
      <c r="AH59" s="289">
        <v>0</v>
      </c>
      <c r="AI59" s="289">
        <v>0</v>
      </c>
      <c r="AJ59" s="289">
        <v>0</v>
      </c>
      <c r="AK59" s="240">
        <v>0</v>
      </c>
    </row>
    <row r="60" spans="1:40" s="20" customFormat="1">
      <c r="A60" s="20">
        <f t="shared" si="9"/>
        <v>11</v>
      </c>
      <c r="B60" s="284" t="s">
        <v>88</v>
      </c>
      <c r="C60" s="285" t="s">
        <v>37</v>
      </c>
      <c r="D60" s="286"/>
      <c r="E60" s="327"/>
      <c r="F60" s="285"/>
      <c r="G60" s="327"/>
      <c r="H60" s="285"/>
      <c r="I60" s="327"/>
      <c r="J60" s="285"/>
      <c r="K60" s="327">
        <v>225</v>
      </c>
      <c r="L60" s="285" t="s">
        <v>32</v>
      </c>
      <c r="M60" s="148">
        <v>0</v>
      </c>
      <c r="N60" s="285" t="s">
        <v>161</v>
      </c>
      <c r="O60" s="147">
        <v>0</v>
      </c>
      <c r="P60" s="285" t="s">
        <v>161</v>
      </c>
      <c r="Q60" s="148">
        <v>0</v>
      </c>
      <c r="R60" s="285" t="s">
        <v>161</v>
      </c>
      <c r="S60" s="148">
        <v>0</v>
      </c>
      <c r="T60" s="285" t="s">
        <v>161</v>
      </c>
      <c r="U60" s="411">
        <v>0</v>
      </c>
      <c r="V60" s="412" t="s">
        <v>161</v>
      </c>
      <c r="W60" s="411">
        <v>0</v>
      </c>
      <c r="X60" s="412" t="s">
        <v>161</v>
      </c>
      <c r="Y60" s="411">
        <v>0</v>
      </c>
      <c r="Z60" s="412" t="s">
        <v>161</v>
      </c>
      <c r="AA60" s="288"/>
      <c r="AB60" s="289"/>
      <c r="AC60" s="289"/>
      <c r="AD60" s="289"/>
      <c r="AE60" s="289">
        <v>47952.81</v>
      </c>
      <c r="AF60" s="289">
        <v>0</v>
      </c>
      <c r="AG60" s="289">
        <v>0</v>
      </c>
      <c r="AH60" s="289">
        <v>0</v>
      </c>
      <c r="AI60" s="289">
        <v>0</v>
      </c>
      <c r="AJ60" s="289">
        <v>0</v>
      </c>
      <c r="AK60" s="240">
        <v>0</v>
      </c>
    </row>
    <row r="61" spans="1:40" s="20" customFormat="1">
      <c r="A61" s="20">
        <f t="shared" si="9"/>
        <v>12</v>
      </c>
      <c r="B61" s="284" t="s">
        <v>89</v>
      </c>
      <c r="C61" s="285" t="s">
        <v>37</v>
      </c>
      <c r="D61" s="286"/>
      <c r="E61" s="327"/>
      <c r="F61" s="285"/>
      <c r="G61" s="327"/>
      <c r="H61" s="285"/>
      <c r="I61" s="327"/>
      <c r="J61" s="285"/>
      <c r="K61" s="327">
        <v>100</v>
      </c>
      <c r="L61" s="285" t="s">
        <v>32</v>
      </c>
      <c r="M61" s="148">
        <v>100</v>
      </c>
      <c r="N61" s="285" t="s">
        <v>32</v>
      </c>
      <c r="O61" s="147">
        <v>100</v>
      </c>
      <c r="P61" s="285" t="s">
        <v>32</v>
      </c>
      <c r="Q61" s="148">
        <v>100</v>
      </c>
      <c r="R61" s="285" t="s">
        <v>32</v>
      </c>
      <c r="S61" s="148">
        <v>100</v>
      </c>
      <c r="T61" s="285" t="s">
        <v>32</v>
      </c>
      <c r="U61" s="411">
        <v>100</v>
      </c>
      <c r="V61" s="412" t="s">
        <v>32</v>
      </c>
      <c r="W61" s="411">
        <v>200</v>
      </c>
      <c r="X61" s="412" t="s">
        <v>32</v>
      </c>
      <c r="Y61" s="413">
        <v>200</v>
      </c>
      <c r="Z61" s="414" t="s">
        <v>32</v>
      </c>
      <c r="AA61" s="288"/>
      <c r="AB61" s="289"/>
      <c r="AC61" s="289"/>
      <c r="AD61" s="289"/>
      <c r="AE61" s="289">
        <v>21312.36</v>
      </c>
      <c r="AF61" s="289">
        <v>46022</v>
      </c>
      <c r="AG61" s="289">
        <v>52260</v>
      </c>
      <c r="AH61" s="289">
        <v>113900</v>
      </c>
      <c r="AI61" s="289">
        <v>121000</v>
      </c>
      <c r="AJ61" s="289">
        <v>129300</v>
      </c>
      <c r="AK61" s="240">
        <v>132840</v>
      </c>
    </row>
    <row r="62" spans="1:40" s="20" customFormat="1">
      <c r="A62" s="20">
        <f t="shared" si="9"/>
        <v>13</v>
      </c>
      <c r="B62" s="284" t="s">
        <v>90</v>
      </c>
      <c r="C62" s="285" t="s">
        <v>37</v>
      </c>
      <c r="D62" s="286"/>
      <c r="E62" s="327"/>
      <c r="F62" s="285"/>
      <c r="G62" s="327"/>
      <c r="H62" s="285"/>
      <c r="I62" s="327"/>
      <c r="J62" s="285"/>
      <c r="K62" s="327">
        <v>157</v>
      </c>
      <c r="L62" s="285" t="s">
        <v>162</v>
      </c>
      <c r="M62" s="148">
        <v>165</v>
      </c>
      <c r="N62" s="285" t="s">
        <v>162</v>
      </c>
      <c r="O62" s="147">
        <v>173</v>
      </c>
      <c r="P62" s="285" t="s">
        <v>162</v>
      </c>
      <c r="Q62" s="148">
        <v>173</v>
      </c>
      <c r="R62" s="285" t="s">
        <v>162</v>
      </c>
      <c r="S62" s="148">
        <v>181</v>
      </c>
      <c r="T62" s="285" t="s">
        <v>162</v>
      </c>
      <c r="U62" s="411">
        <v>181</v>
      </c>
      <c r="V62" s="412" t="s">
        <v>162</v>
      </c>
      <c r="W62" s="411">
        <v>190</v>
      </c>
      <c r="X62" s="412" t="s">
        <v>162</v>
      </c>
      <c r="Y62" s="413">
        <v>190</v>
      </c>
      <c r="Z62" s="414" t="s">
        <v>162</v>
      </c>
      <c r="AA62" s="288"/>
      <c r="AB62" s="289"/>
      <c r="AC62" s="289"/>
      <c r="AD62" s="289"/>
      <c r="AE62" s="289">
        <v>26935</v>
      </c>
      <c r="AF62" s="289">
        <v>9783</v>
      </c>
      <c r="AG62" s="289">
        <v>36119</v>
      </c>
      <c r="AH62" s="289">
        <v>35425</v>
      </c>
      <c r="AI62" s="289">
        <v>41381</v>
      </c>
      <c r="AJ62" s="289">
        <v>5611</v>
      </c>
      <c r="AK62" s="240">
        <v>3420</v>
      </c>
    </row>
    <row r="63" spans="1:40" s="20" customFormat="1">
      <c r="A63" s="20">
        <f t="shared" si="9"/>
        <v>14</v>
      </c>
      <c r="B63" s="284" t="s">
        <v>91</v>
      </c>
      <c r="C63" s="285" t="s">
        <v>37</v>
      </c>
      <c r="D63" s="286"/>
      <c r="E63" s="327"/>
      <c r="F63" s="285"/>
      <c r="G63" s="327"/>
      <c r="H63" s="285"/>
      <c r="I63" s="327"/>
      <c r="J63" s="285"/>
      <c r="K63" s="327">
        <v>125</v>
      </c>
      <c r="L63" s="285" t="s">
        <v>32</v>
      </c>
      <c r="M63" s="148">
        <v>125</v>
      </c>
      <c r="N63" s="285" t="s">
        <v>32</v>
      </c>
      <c r="O63" s="147">
        <v>125</v>
      </c>
      <c r="P63" s="285" t="s">
        <v>32</v>
      </c>
      <c r="Q63" s="148">
        <v>125</v>
      </c>
      <c r="R63" s="285" t="s">
        <v>32</v>
      </c>
      <c r="S63" s="148">
        <v>125</v>
      </c>
      <c r="T63" s="285" t="s">
        <v>32</v>
      </c>
      <c r="U63" s="411">
        <v>125</v>
      </c>
      <c r="V63" s="412" t="s">
        <v>32</v>
      </c>
      <c r="W63" s="411">
        <v>125</v>
      </c>
      <c r="X63" s="412" t="s">
        <v>32</v>
      </c>
      <c r="Y63" s="411">
        <v>125</v>
      </c>
      <c r="Z63" s="412" t="s">
        <v>32</v>
      </c>
      <c r="AA63" s="288"/>
      <c r="AB63" s="289"/>
      <c r="AC63" s="289"/>
      <c r="AD63" s="289"/>
      <c r="AE63" s="289">
        <v>19833.330000000002</v>
      </c>
      <c r="AF63" s="289">
        <v>19720.833333333332</v>
      </c>
      <c r="AG63" s="289">
        <v>60250</v>
      </c>
      <c r="AH63" s="289">
        <v>57875</v>
      </c>
      <c r="AI63" s="289">
        <v>61250</v>
      </c>
      <c r="AJ63" s="289">
        <v>57000</v>
      </c>
      <c r="AK63" s="240">
        <v>46250</v>
      </c>
    </row>
    <row r="64" spans="1:40" s="20" customFormat="1">
      <c r="A64" s="20">
        <f t="shared" si="9"/>
        <v>15</v>
      </c>
      <c r="B64" s="284" t="s">
        <v>92</v>
      </c>
      <c r="C64" s="285" t="s">
        <v>37</v>
      </c>
      <c r="D64" s="286"/>
      <c r="E64" s="327"/>
      <c r="F64" s="285"/>
      <c r="G64" s="327"/>
      <c r="H64" s="285"/>
      <c r="I64" s="327"/>
      <c r="J64" s="285"/>
      <c r="K64" s="327">
        <v>1225</v>
      </c>
      <c r="L64" s="285" t="s">
        <v>162</v>
      </c>
      <c r="M64" s="148">
        <v>1225</v>
      </c>
      <c r="N64" s="285" t="s">
        <v>162</v>
      </c>
      <c r="O64" s="147">
        <v>1225</v>
      </c>
      <c r="P64" s="285" t="s">
        <v>162</v>
      </c>
      <c r="Q64" s="148">
        <f>700+525</f>
        <v>1225</v>
      </c>
      <c r="R64" s="285" t="s">
        <v>162</v>
      </c>
      <c r="S64" s="148">
        <f>700+525</f>
        <v>1225</v>
      </c>
      <c r="T64" s="285" t="s">
        <v>162</v>
      </c>
      <c r="U64" s="411">
        <f>700+525</f>
        <v>1225</v>
      </c>
      <c r="V64" s="412" t="s">
        <v>162</v>
      </c>
      <c r="W64" s="411">
        <f>700+525</f>
        <v>1225</v>
      </c>
      <c r="X64" s="412" t="s">
        <v>162</v>
      </c>
      <c r="Y64" s="413">
        <v>1225</v>
      </c>
      <c r="Z64" s="414" t="s">
        <v>162</v>
      </c>
      <c r="AA64" s="288"/>
      <c r="AB64" s="289"/>
      <c r="AC64" s="289"/>
      <c r="AD64" s="289"/>
      <c r="AE64" s="289">
        <v>9335.34</v>
      </c>
      <c r="AF64" s="289">
        <v>13770.689655172415</v>
      </c>
      <c r="AG64" s="289">
        <v>13650</v>
      </c>
      <c r="AH64" s="289">
        <v>15925</v>
      </c>
      <c r="AI64" s="289">
        <v>20825</v>
      </c>
      <c r="AJ64" s="289">
        <v>35525</v>
      </c>
      <c r="AK64" s="240">
        <v>38150</v>
      </c>
    </row>
    <row r="65" spans="1:37" s="20" customFormat="1">
      <c r="A65" s="20">
        <f t="shared" si="9"/>
        <v>16</v>
      </c>
      <c r="B65" s="284" t="s">
        <v>93</v>
      </c>
      <c r="C65" s="285" t="s">
        <v>37</v>
      </c>
      <c r="D65" s="286"/>
      <c r="E65" s="327"/>
      <c r="F65" s="285"/>
      <c r="G65" s="327"/>
      <c r="H65" s="285"/>
      <c r="I65" s="327"/>
      <c r="J65" s="285"/>
      <c r="K65" s="327">
        <v>225</v>
      </c>
      <c r="L65" s="285" t="s">
        <v>162</v>
      </c>
      <c r="M65" s="148">
        <v>225</v>
      </c>
      <c r="N65" s="285" t="s">
        <v>162</v>
      </c>
      <c r="O65" s="147">
        <v>225</v>
      </c>
      <c r="P65" s="285" t="s">
        <v>162</v>
      </c>
      <c r="Q65" s="148">
        <f>125+100</f>
        <v>225</v>
      </c>
      <c r="R65" s="285" t="s">
        <v>162</v>
      </c>
      <c r="S65" s="148">
        <f>125+100</f>
        <v>225</v>
      </c>
      <c r="T65" s="285" t="s">
        <v>162</v>
      </c>
      <c r="U65" s="411">
        <f>125+100</f>
        <v>225</v>
      </c>
      <c r="V65" s="412" t="s">
        <v>162</v>
      </c>
      <c r="W65" s="411">
        <v>175</v>
      </c>
      <c r="X65" s="412" t="s">
        <v>162</v>
      </c>
      <c r="Y65" s="413">
        <v>175</v>
      </c>
      <c r="Z65" s="414" t="s">
        <v>162</v>
      </c>
      <c r="AA65" s="288"/>
      <c r="AB65" s="289"/>
      <c r="AC65" s="289"/>
      <c r="AD65" s="289"/>
      <c r="AE65" s="289">
        <v>1714.66</v>
      </c>
      <c r="AF65" s="289">
        <v>2529.3103448275865</v>
      </c>
      <c r="AG65" s="289">
        <v>2500</v>
      </c>
      <c r="AH65" s="289">
        <v>2700</v>
      </c>
      <c r="AI65" s="289">
        <v>3825</v>
      </c>
      <c r="AJ65" s="289">
        <v>6525</v>
      </c>
      <c r="AK65" s="240">
        <v>5450</v>
      </c>
    </row>
    <row r="66" spans="1:37" s="20" customFormat="1">
      <c r="A66" s="20">
        <f t="shared" si="9"/>
        <v>17</v>
      </c>
      <c r="B66" s="284" t="s">
        <v>288</v>
      </c>
      <c r="C66" s="285" t="s">
        <v>37</v>
      </c>
      <c r="D66" s="286"/>
      <c r="E66" s="327"/>
      <c r="F66" s="285"/>
      <c r="G66" s="327"/>
      <c r="H66" s="285"/>
      <c r="I66" s="327"/>
      <c r="J66" s="285"/>
      <c r="K66" s="327">
        <v>175</v>
      </c>
      <c r="L66" s="285" t="s">
        <v>162</v>
      </c>
      <c r="M66" s="148">
        <v>55</v>
      </c>
      <c r="N66" s="285" t="s">
        <v>162</v>
      </c>
      <c r="O66" s="147">
        <v>55</v>
      </c>
      <c r="P66" s="285" t="s">
        <v>162</v>
      </c>
      <c r="Q66" s="148">
        <v>30</v>
      </c>
      <c r="R66" s="285" t="s">
        <v>162</v>
      </c>
      <c r="S66" s="148">
        <v>30</v>
      </c>
      <c r="T66" s="285" t="s">
        <v>162</v>
      </c>
      <c r="U66" s="411">
        <v>30</v>
      </c>
      <c r="V66" s="412" t="s">
        <v>162</v>
      </c>
      <c r="W66" s="411">
        <v>30</v>
      </c>
      <c r="X66" s="412" t="s">
        <v>162</v>
      </c>
      <c r="Y66" s="413">
        <v>0</v>
      </c>
      <c r="Z66" s="412" t="s">
        <v>162</v>
      </c>
      <c r="AA66" s="288"/>
      <c r="AB66" s="289"/>
      <c r="AC66" s="289"/>
      <c r="AD66" s="289"/>
      <c r="AE66" s="289">
        <v>5588.33</v>
      </c>
      <c r="AF66" s="289">
        <v>1437.3333333333333</v>
      </c>
      <c r="AG66" s="289">
        <v>810</v>
      </c>
      <c r="AH66" s="289">
        <v>450</v>
      </c>
      <c r="AI66" s="289">
        <v>840</v>
      </c>
      <c r="AJ66" s="289">
        <v>600</v>
      </c>
      <c r="AK66" s="240">
        <v>0</v>
      </c>
    </row>
    <row r="67" spans="1:37" s="20" customFormat="1">
      <c r="A67" s="20">
        <f t="shared" si="9"/>
        <v>18</v>
      </c>
      <c r="B67" s="284" t="s">
        <v>94</v>
      </c>
      <c r="C67" s="285" t="s">
        <v>37</v>
      </c>
      <c r="D67" s="286"/>
      <c r="E67" s="327"/>
      <c r="F67" s="285"/>
      <c r="G67" s="327"/>
      <c r="H67" s="285"/>
      <c r="I67" s="327"/>
      <c r="J67" s="285"/>
      <c r="K67" s="327">
        <v>35</v>
      </c>
      <c r="L67" s="285" t="s">
        <v>162</v>
      </c>
      <c r="M67" s="148">
        <v>40</v>
      </c>
      <c r="N67" s="285" t="s">
        <v>162</v>
      </c>
      <c r="O67" s="147">
        <v>40</v>
      </c>
      <c r="P67" s="285" t="s">
        <v>162</v>
      </c>
      <c r="Q67" s="148">
        <v>40</v>
      </c>
      <c r="R67" s="285" t="s">
        <v>162</v>
      </c>
      <c r="S67" s="148">
        <v>40</v>
      </c>
      <c r="T67" s="285" t="s">
        <v>162</v>
      </c>
      <c r="U67" s="411">
        <v>40</v>
      </c>
      <c r="V67" s="412" t="s">
        <v>162</v>
      </c>
      <c r="W67" s="411">
        <v>40</v>
      </c>
      <c r="X67" s="412" t="s">
        <v>162</v>
      </c>
      <c r="Y67" s="413">
        <v>0</v>
      </c>
      <c r="Z67" s="412" t="s">
        <v>162</v>
      </c>
      <c r="AA67" s="288"/>
      <c r="AB67" s="289"/>
      <c r="AC67" s="289"/>
      <c r="AD67" s="289"/>
      <c r="AE67" s="289">
        <v>1117.67</v>
      </c>
      <c r="AF67" s="289">
        <v>1045.3333333333335</v>
      </c>
      <c r="AG67" s="289">
        <v>1080</v>
      </c>
      <c r="AH67" s="289">
        <v>600</v>
      </c>
      <c r="AI67" s="289">
        <v>1120</v>
      </c>
      <c r="AJ67" s="289">
        <v>900</v>
      </c>
      <c r="AK67" s="240">
        <v>0</v>
      </c>
    </row>
    <row r="68" spans="1:37" s="20" customFormat="1">
      <c r="A68" s="20">
        <f t="shared" si="9"/>
        <v>19</v>
      </c>
      <c r="B68" s="284" t="s">
        <v>95</v>
      </c>
      <c r="C68" s="285" t="s">
        <v>37</v>
      </c>
      <c r="D68" s="286"/>
      <c r="E68" s="327"/>
      <c r="F68" s="285"/>
      <c r="G68" s="327"/>
      <c r="H68" s="285"/>
      <c r="I68" s="327"/>
      <c r="J68" s="285"/>
      <c r="K68" s="327">
        <v>240</v>
      </c>
      <c r="L68" s="285" t="s">
        <v>162</v>
      </c>
      <c r="M68" s="148">
        <v>280</v>
      </c>
      <c r="N68" s="285" t="s">
        <v>162</v>
      </c>
      <c r="O68" s="147">
        <v>280</v>
      </c>
      <c r="P68" s="285" t="s">
        <v>162</v>
      </c>
      <c r="Q68" s="148">
        <v>280</v>
      </c>
      <c r="R68" s="285" t="s">
        <v>162</v>
      </c>
      <c r="S68" s="148">
        <v>280</v>
      </c>
      <c r="T68" s="285" t="s">
        <v>162</v>
      </c>
      <c r="U68" s="411">
        <v>280</v>
      </c>
      <c r="V68" s="412" t="s">
        <v>162</v>
      </c>
      <c r="W68" s="411">
        <v>335</v>
      </c>
      <c r="X68" s="412" t="s">
        <v>162</v>
      </c>
      <c r="Y68" s="413">
        <v>0</v>
      </c>
      <c r="Z68" s="412" t="s">
        <v>162</v>
      </c>
      <c r="AA68" s="288"/>
      <c r="AB68" s="289"/>
      <c r="AC68" s="289"/>
      <c r="AD68" s="289"/>
      <c r="AE68" s="289">
        <v>7664</v>
      </c>
      <c r="AF68" s="289">
        <v>7317.3333333333339</v>
      </c>
      <c r="AG68" s="289">
        <v>7560</v>
      </c>
      <c r="AH68" s="289">
        <v>4200</v>
      </c>
      <c r="AI68" s="289">
        <v>7840</v>
      </c>
      <c r="AJ68" s="289">
        <v>6700</v>
      </c>
      <c r="AK68" s="240">
        <v>0</v>
      </c>
    </row>
    <row r="69" spans="1:37" s="20" customFormat="1">
      <c r="A69" s="20">
        <f t="shared" si="9"/>
        <v>20</v>
      </c>
      <c r="B69" s="284" t="s">
        <v>96</v>
      </c>
      <c r="C69" s="285" t="s">
        <v>37</v>
      </c>
      <c r="D69" s="286"/>
      <c r="E69" s="327"/>
      <c r="F69" s="285"/>
      <c r="G69" s="327"/>
      <c r="H69" s="285"/>
      <c r="I69" s="327"/>
      <c r="J69" s="285"/>
      <c r="K69" s="327">
        <v>60</v>
      </c>
      <c r="L69" s="285" t="s">
        <v>38</v>
      </c>
      <c r="M69" s="148">
        <v>60</v>
      </c>
      <c r="N69" s="285" t="s">
        <v>38</v>
      </c>
      <c r="O69" s="147">
        <v>0</v>
      </c>
      <c r="P69" s="285" t="s">
        <v>38</v>
      </c>
      <c r="Q69" s="148">
        <v>0</v>
      </c>
      <c r="R69" s="285" t="s">
        <v>38</v>
      </c>
      <c r="S69" s="148">
        <v>0</v>
      </c>
      <c r="T69" s="285" t="s">
        <v>38</v>
      </c>
      <c r="U69" s="411">
        <v>0</v>
      </c>
      <c r="V69" s="412" t="s">
        <v>38</v>
      </c>
      <c r="W69" s="411">
        <v>0</v>
      </c>
      <c r="X69" s="412" t="s">
        <v>38</v>
      </c>
      <c r="Y69" s="411">
        <v>0</v>
      </c>
      <c r="Z69" s="412" t="s">
        <v>38</v>
      </c>
      <c r="AA69" s="288"/>
      <c r="AB69" s="289"/>
      <c r="AC69" s="289"/>
      <c r="AD69" s="289"/>
      <c r="AE69" s="289">
        <v>0</v>
      </c>
      <c r="AF69" s="289">
        <v>37</v>
      </c>
      <c r="AG69" s="289">
        <v>0</v>
      </c>
      <c r="AH69" s="289">
        <v>0</v>
      </c>
      <c r="AI69" s="289">
        <v>0</v>
      </c>
      <c r="AJ69" s="289">
        <v>0</v>
      </c>
      <c r="AK69" s="240">
        <v>0</v>
      </c>
    </row>
    <row r="70" spans="1:37" s="20" customFormat="1">
      <c r="A70" s="20">
        <f t="shared" si="9"/>
        <v>21</v>
      </c>
      <c r="B70" s="284" t="s">
        <v>97</v>
      </c>
      <c r="C70" s="285" t="s">
        <v>37</v>
      </c>
      <c r="D70" s="286"/>
      <c r="E70" s="327"/>
      <c r="F70" s="285"/>
      <c r="G70" s="327"/>
      <c r="H70" s="285"/>
      <c r="I70" s="327"/>
      <c r="J70" s="285"/>
      <c r="K70" s="327">
        <v>65</v>
      </c>
      <c r="L70" s="285" t="s">
        <v>35</v>
      </c>
      <c r="M70" s="148">
        <v>0</v>
      </c>
      <c r="N70" s="285" t="s">
        <v>161</v>
      </c>
      <c r="O70" s="147">
        <v>0</v>
      </c>
      <c r="P70" s="285" t="s">
        <v>161</v>
      </c>
      <c r="Q70" s="148">
        <v>0</v>
      </c>
      <c r="R70" s="285" t="s">
        <v>161</v>
      </c>
      <c r="S70" s="148">
        <v>0</v>
      </c>
      <c r="T70" s="285" t="s">
        <v>161</v>
      </c>
      <c r="U70" s="411">
        <v>0</v>
      </c>
      <c r="V70" s="412" t="s">
        <v>161</v>
      </c>
      <c r="W70" s="411">
        <v>0</v>
      </c>
      <c r="X70" s="412" t="s">
        <v>161</v>
      </c>
      <c r="Y70" s="411">
        <v>0</v>
      </c>
      <c r="Z70" s="412" t="s">
        <v>161</v>
      </c>
      <c r="AA70" s="288"/>
      <c r="AB70" s="289"/>
      <c r="AC70" s="289"/>
      <c r="AD70" s="289"/>
      <c r="AE70" s="289">
        <v>0</v>
      </c>
      <c r="AF70" s="289">
        <v>0</v>
      </c>
      <c r="AG70" s="289">
        <v>0</v>
      </c>
      <c r="AH70" s="289">
        <v>0</v>
      </c>
      <c r="AI70" s="289">
        <v>0</v>
      </c>
      <c r="AJ70" s="289">
        <v>0</v>
      </c>
      <c r="AK70" s="240">
        <v>0</v>
      </c>
    </row>
    <row r="71" spans="1:37" s="20" customFormat="1">
      <c r="A71" s="20">
        <f t="shared" si="9"/>
        <v>22</v>
      </c>
      <c r="B71" s="284" t="s">
        <v>98</v>
      </c>
      <c r="C71" s="285" t="s">
        <v>37</v>
      </c>
      <c r="D71" s="286"/>
      <c r="E71" s="327"/>
      <c r="F71" s="285"/>
      <c r="G71" s="327"/>
      <c r="H71" s="285"/>
      <c r="I71" s="327"/>
      <c r="J71" s="285"/>
      <c r="K71" s="327">
        <v>55</v>
      </c>
      <c r="L71" s="285" t="s">
        <v>35</v>
      </c>
      <c r="M71" s="148">
        <v>0</v>
      </c>
      <c r="N71" s="285" t="s">
        <v>161</v>
      </c>
      <c r="O71" s="147">
        <v>0</v>
      </c>
      <c r="P71" s="285" t="s">
        <v>161</v>
      </c>
      <c r="Q71" s="148">
        <v>0</v>
      </c>
      <c r="R71" s="285" t="s">
        <v>161</v>
      </c>
      <c r="S71" s="148">
        <v>0</v>
      </c>
      <c r="T71" s="285" t="s">
        <v>161</v>
      </c>
      <c r="U71" s="411">
        <v>0</v>
      </c>
      <c r="V71" s="412" t="s">
        <v>161</v>
      </c>
      <c r="W71" s="411">
        <v>0</v>
      </c>
      <c r="X71" s="412" t="s">
        <v>161</v>
      </c>
      <c r="Y71" s="411">
        <v>0</v>
      </c>
      <c r="Z71" s="412" t="s">
        <v>161</v>
      </c>
      <c r="AA71" s="288"/>
      <c r="AB71" s="289"/>
      <c r="AC71" s="289"/>
      <c r="AD71" s="289"/>
      <c r="AE71" s="289">
        <v>0</v>
      </c>
      <c r="AF71" s="289">
        <v>0</v>
      </c>
      <c r="AG71" s="289">
        <v>0</v>
      </c>
      <c r="AH71" s="289">
        <v>0</v>
      </c>
      <c r="AI71" s="289">
        <v>0</v>
      </c>
      <c r="AJ71" s="289">
        <v>0</v>
      </c>
      <c r="AK71" s="240">
        <v>0</v>
      </c>
    </row>
    <row r="72" spans="1:37" s="20" customFormat="1">
      <c r="A72" s="20">
        <f t="shared" si="9"/>
        <v>23</v>
      </c>
      <c r="B72" s="284" t="s">
        <v>99</v>
      </c>
      <c r="C72" s="285" t="s">
        <v>33</v>
      </c>
      <c r="D72" s="286">
        <v>0.7</v>
      </c>
      <c r="E72" s="327">
        <v>55</v>
      </c>
      <c r="F72" s="285" t="s">
        <v>163</v>
      </c>
      <c r="G72" s="327">
        <v>55</v>
      </c>
      <c r="H72" s="285" t="s">
        <v>163</v>
      </c>
      <c r="I72" s="327">
        <v>55</v>
      </c>
      <c r="J72" s="285" t="s">
        <v>163</v>
      </c>
      <c r="K72" s="327">
        <v>0</v>
      </c>
      <c r="L72" s="285" t="s">
        <v>161</v>
      </c>
      <c r="M72" s="148">
        <v>0</v>
      </c>
      <c r="N72" s="285" t="s">
        <v>161</v>
      </c>
      <c r="O72" s="147">
        <v>0</v>
      </c>
      <c r="P72" s="285" t="s">
        <v>161</v>
      </c>
      <c r="Q72" s="148">
        <v>0</v>
      </c>
      <c r="R72" s="285" t="s">
        <v>161</v>
      </c>
      <c r="S72" s="148">
        <v>0</v>
      </c>
      <c r="T72" s="285" t="s">
        <v>161</v>
      </c>
      <c r="U72" s="411">
        <v>0</v>
      </c>
      <c r="V72" s="412" t="s">
        <v>161</v>
      </c>
      <c r="W72" s="411">
        <v>0</v>
      </c>
      <c r="X72" s="412" t="s">
        <v>161</v>
      </c>
      <c r="Y72" s="411">
        <v>0</v>
      </c>
      <c r="Z72" s="412" t="s">
        <v>161</v>
      </c>
      <c r="AA72" s="288"/>
      <c r="AB72" s="289">
        <v>0</v>
      </c>
      <c r="AC72" s="289">
        <v>0</v>
      </c>
      <c r="AD72" s="289">
        <v>0</v>
      </c>
      <c r="AE72" s="289">
        <v>0</v>
      </c>
      <c r="AF72" s="289">
        <v>0</v>
      </c>
      <c r="AG72" s="289">
        <v>0</v>
      </c>
      <c r="AH72" s="289">
        <v>0</v>
      </c>
      <c r="AI72" s="289">
        <v>0</v>
      </c>
      <c r="AJ72" s="289">
        <v>0</v>
      </c>
      <c r="AK72" s="240">
        <v>0</v>
      </c>
    </row>
    <row r="73" spans="1:37" s="20" customFormat="1">
      <c r="A73" s="20">
        <f t="shared" si="9"/>
        <v>24</v>
      </c>
      <c r="B73" s="284" t="s">
        <v>100</v>
      </c>
      <c r="C73" s="285" t="s">
        <v>34</v>
      </c>
      <c r="D73" s="286">
        <v>1.1000000000000001</v>
      </c>
      <c r="E73" s="327">
        <v>10</v>
      </c>
      <c r="F73" s="285" t="s">
        <v>38</v>
      </c>
      <c r="G73" s="327">
        <v>10</v>
      </c>
      <c r="H73" s="285" t="s">
        <v>38</v>
      </c>
      <c r="I73" s="327">
        <v>10</v>
      </c>
      <c r="J73" s="285" t="s">
        <v>38</v>
      </c>
      <c r="K73" s="327">
        <v>10</v>
      </c>
      <c r="L73" s="285" t="s">
        <v>38</v>
      </c>
      <c r="M73" s="148">
        <v>10</v>
      </c>
      <c r="N73" s="285" t="s">
        <v>38</v>
      </c>
      <c r="O73" s="147">
        <v>10</v>
      </c>
      <c r="P73" s="285" t="s">
        <v>38</v>
      </c>
      <c r="Q73" s="148">
        <v>10</v>
      </c>
      <c r="R73" s="285" t="s">
        <v>38</v>
      </c>
      <c r="S73" s="148">
        <v>10</v>
      </c>
      <c r="T73" s="285" t="s">
        <v>38</v>
      </c>
      <c r="U73" s="411">
        <v>10</v>
      </c>
      <c r="V73" s="412" t="s">
        <v>38</v>
      </c>
      <c r="W73" s="411">
        <v>10</v>
      </c>
      <c r="X73" s="412" t="s">
        <v>38</v>
      </c>
      <c r="Y73" s="413">
        <v>10</v>
      </c>
      <c r="Z73" s="414" t="s">
        <v>38</v>
      </c>
      <c r="AA73" s="288"/>
      <c r="AB73" s="289">
        <v>0</v>
      </c>
      <c r="AC73" s="289">
        <v>0</v>
      </c>
      <c r="AD73" s="289">
        <v>1676.74</v>
      </c>
      <c r="AE73" s="289">
        <v>1118.07</v>
      </c>
      <c r="AF73" s="289">
        <v>1999.6022727272727</v>
      </c>
      <c r="AG73" s="289">
        <v>0</v>
      </c>
      <c r="AH73" s="289">
        <v>0</v>
      </c>
      <c r="AI73" s="289">
        <v>0</v>
      </c>
      <c r="AJ73" s="289">
        <v>0</v>
      </c>
      <c r="AK73" s="240">
        <v>0</v>
      </c>
    </row>
    <row r="74" spans="1:37" s="20" customFormat="1">
      <c r="A74" s="20">
        <f t="shared" si="9"/>
        <v>25</v>
      </c>
      <c r="B74" s="284" t="s">
        <v>101</v>
      </c>
      <c r="C74" s="285" t="s">
        <v>34</v>
      </c>
      <c r="D74" s="286">
        <v>1.1000000000000001</v>
      </c>
      <c r="E74" s="327">
        <v>0</v>
      </c>
      <c r="F74" s="285" t="s">
        <v>163</v>
      </c>
      <c r="G74" s="327">
        <v>0</v>
      </c>
      <c r="H74" s="285" t="s">
        <v>163</v>
      </c>
      <c r="I74" s="327">
        <v>0</v>
      </c>
      <c r="J74" s="285" t="s">
        <v>163</v>
      </c>
      <c r="K74" s="327">
        <v>0</v>
      </c>
      <c r="L74" s="285" t="s">
        <v>161</v>
      </c>
      <c r="M74" s="148">
        <v>0</v>
      </c>
      <c r="N74" s="285" t="s">
        <v>161</v>
      </c>
      <c r="O74" s="147">
        <v>0</v>
      </c>
      <c r="P74" s="285" t="s">
        <v>161</v>
      </c>
      <c r="Q74" s="148">
        <v>0</v>
      </c>
      <c r="R74" s="285" t="s">
        <v>161</v>
      </c>
      <c r="S74" s="148">
        <v>0</v>
      </c>
      <c r="T74" s="285" t="s">
        <v>161</v>
      </c>
      <c r="U74" s="411">
        <v>0</v>
      </c>
      <c r="V74" s="412" t="s">
        <v>161</v>
      </c>
      <c r="W74" s="411">
        <v>0</v>
      </c>
      <c r="X74" s="412" t="s">
        <v>161</v>
      </c>
      <c r="Y74" s="411">
        <v>0</v>
      </c>
      <c r="Z74" s="412" t="s">
        <v>161</v>
      </c>
      <c r="AA74" s="288"/>
      <c r="AB74" s="289">
        <v>0</v>
      </c>
      <c r="AC74" s="289">
        <v>0</v>
      </c>
      <c r="AD74" s="289">
        <v>0</v>
      </c>
      <c r="AE74" s="289">
        <v>0</v>
      </c>
      <c r="AF74" s="289">
        <v>0</v>
      </c>
      <c r="AG74" s="289">
        <v>0</v>
      </c>
      <c r="AH74" s="289">
        <v>0</v>
      </c>
      <c r="AI74" s="289">
        <v>0</v>
      </c>
      <c r="AJ74" s="289">
        <v>0</v>
      </c>
      <c r="AK74" s="240">
        <v>0</v>
      </c>
    </row>
    <row r="75" spans="1:37" s="20" customFormat="1">
      <c r="A75" s="20">
        <f t="shared" si="9"/>
        <v>26</v>
      </c>
      <c r="B75" s="284" t="s">
        <v>102</v>
      </c>
      <c r="C75" s="285" t="s">
        <v>34</v>
      </c>
      <c r="D75" s="286"/>
      <c r="E75" s="327">
        <v>50</v>
      </c>
      <c r="F75" s="285" t="s">
        <v>163</v>
      </c>
      <c r="G75" s="327">
        <v>50</v>
      </c>
      <c r="H75" s="285" t="s">
        <v>163</v>
      </c>
      <c r="I75" s="327">
        <v>50</v>
      </c>
      <c r="J75" s="285" t="s">
        <v>38</v>
      </c>
      <c r="K75" s="327">
        <v>50</v>
      </c>
      <c r="L75" s="285" t="s">
        <v>38</v>
      </c>
      <c r="M75" s="148">
        <v>60</v>
      </c>
      <c r="N75" s="285" t="s">
        <v>38</v>
      </c>
      <c r="O75" s="147">
        <v>0</v>
      </c>
      <c r="P75" s="285" t="s">
        <v>38</v>
      </c>
      <c r="Q75" s="148">
        <v>0</v>
      </c>
      <c r="R75" s="285" t="s">
        <v>38</v>
      </c>
      <c r="S75" s="148">
        <v>0</v>
      </c>
      <c r="T75" s="285" t="s">
        <v>38</v>
      </c>
      <c r="U75" s="411">
        <v>0</v>
      </c>
      <c r="V75" s="412" t="s">
        <v>38</v>
      </c>
      <c r="W75" s="411">
        <v>0</v>
      </c>
      <c r="X75" s="412" t="s">
        <v>38</v>
      </c>
      <c r="Y75" s="411">
        <v>0</v>
      </c>
      <c r="Z75" s="412" t="s">
        <v>38</v>
      </c>
      <c r="AA75" s="288"/>
      <c r="AB75" s="289">
        <v>0</v>
      </c>
      <c r="AC75" s="289">
        <v>0</v>
      </c>
      <c r="AD75" s="289">
        <v>0</v>
      </c>
      <c r="AE75" s="289">
        <v>0</v>
      </c>
      <c r="AF75" s="289">
        <v>31</v>
      </c>
      <c r="AG75" s="289">
        <v>0</v>
      </c>
      <c r="AH75" s="289">
        <v>0</v>
      </c>
      <c r="AI75" s="289">
        <v>0</v>
      </c>
      <c r="AJ75" s="289">
        <v>0</v>
      </c>
      <c r="AK75" s="240">
        <v>0</v>
      </c>
    </row>
    <row r="76" spans="1:37" s="20" customFormat="1">
      <c r="A76" s="20">
        <f t="shared" si="9"/>
        <v>27</v>
      </c>
      <c r="B76" s="284" t="s">
        <v>103</v>
      </c>
      <c r="C76" s="285" t="s">
        <v>34</v>
      </c>
      <c r="D76" s="286">
        <v>6.8</v>
      </c>
      <c r="E76" s="327">
        <v>75</v>
      </c>
      <c r="F76" s="285" t="s">
        <v>163</v>
      </c>
      <c r="G76" s="327">
        <v>75</v>
      </c>
      <c r="H76" s="285" t="s">
        <v>163</v>
      </c>
      <c r="I76" s="327">
        <v>75</v>
      </c>
      <c r="J76" s="285" t="s">
        <v>38</v>
      </c>
      <c r="K76" s="327">
        <v>75</v>
      </c>
      <c r="L76" s="285" t="s">
        <v>38</v>
      </c>
      <c r="M76" s="148">
        <v>75</v>
      </c>
      <c r="N76" s="285" t="s">
        <v>38</v>
      </c>
      <c r="O76" s="147">
        <v>75</v>
      </c>
      <c r="P76" s="285" t="s">
        <v>38</v>
      </c>
      <c r="Q76" s="148">
        <v>0</v>
      </c>
      <c r="R76" s="285" t="s">
        <v>38</v>
      </c>
      <c r="S76" s="148">
        <v>0</v>
      </c>
      <c r="T76" s="285" t="s">
        <v>38</v>
      </c>
      <c r="U76" s="411">
        <v>0</v>
      </c>
      <c r="V76" s="412" t="s">
        <v>38</v>
      </c>
      <c r="W76" s="411">
        <v>0</v>
      </c>
      <c r="X76" s="412" t="s">
        <v>38</v>
      </c>
      <c r="Y76" s="411">
        <v>0</v>
      </c>
      <c r="Z76" s="412" t="s">
        <v>38</v>
      </c>
      <c r="AA76" s="288"/>
      <c r="AB76" s="289">
        <v>0</v>
      </c>
      <c r="AC76" s="289">
        <v>0</v>
      </c>
      <c r="AD76" s="289">
        <v>675</v>
      </c>
      <c r="AE76" s="289">
        <v>0</v>
      </c>
      <c r="AF76" s="289">
        <v>0</v>
      </c>
      <c r="AG76" s="289">
        <v>0</v>
      </c>
      <c r="AH76" s="289">
        <v>0</v>
      </c>
      <c r="AI76" s="289">
        <v>0</v>
      </c>
      <c r="AJ76" s="289">
        <v>0</v>
      </c>
      <c r="AK76" s="240">
        <v>0</v>
      </c>
    </row>
    <row r="77" spans="1:37" s="20" customFormat="1">
      <c r="A77" s="20">
        <f t="shared" si="9"/>
        <v>28</v>
      </c>
      <c r="B77" s="284" t="s">
        <v>104</v>
      </c>
      <c r="C77" s="285" t="s">
        <v>34</v>
      </c>
      <c r="D77" s="286"/>
      <c r="E77" s="327">
        <v>70</v>
      </c>
      <c r="F77" s="285" t="s">
        <v>163</v>
      </c>
      <c r="G77" s="327">
        <v>70</v>
      </c>
      <c r="H77" s="285" t="s">
        <v>163</v>
      </c>
      <c r="I77" s="327">
        <v>70</v>
      </c>
      <c r="J77" s="285" t="s">
        <v>38</v>
      </c>
      <c r="K77" s="327">
        <v>70</v>
      </c>
      <c r="L77" s="285" t="s">
        <v>38</v>
      </c>
      <c r="M77" s="148">
        <v>70</v>
      </c>
      <c r="N77" s="285" t="s">
        <v>38</v>
      </c>
      <c r="O77" s="147">
        <v>0</v>
      </c>
      <c r="P77" s="285"/>
      <c r="Q77" s="148">
        <v>0</v>
      </c>
      <c r="R77" s="285" t="s">
        <v>38</v>
      </c>
      <c r="S77" s="148">
        <v>0</v>
      </c>
      <c r="T77" s="285" t="s">
        <v>38</v>
      </c>
      <c r="U77" s="411">
        <v>0</v>
      </c>
      <c r="V77" s="412" t="s">
        <v>38</v>
      </c>
      <c r="W77" s="411">
        <v>0</v>
      </c>
      <c r="X77" s="412" t="s">
        <v>38</v>
      </c>
      <c r="Y77" s="411">
        <v>0</v>
      </c>
      <c r="Z77" s="412" t="s">
        <v>38</v>
      </c>
      <c r="AA77" s="288"/>
      <c r="AB77" s="289">
        <v>0</v>
      </c>
      <c r="AC77" s="289">
        <v>0</v>
      </c>
      <c r="AD77" s="289">
        <v>4675</v>
      </c>
      <c r="AE77" s="289">
        <v>150</v>
      </c>
      <c r="AF77" s="289">
        <v>31</v>
      </c>
      <c r="AG77" s="289">
        <v>0</v>
      </c>
      <c r="AH77" s="289">
        <v>0</v>
      </c>
      <c r="AI77" s="289">
        <v>0</v>
      </c>
      <c r="AJ77" s="289">
        <v>0</v>
      </c>
      <c r="AK77" s="240">
        <v>0</v>
      </c>
    </row>
    <row r="78" spans="1:37" s="20" customFormat="1">
      <c r="A78" s="20">
        <f t="shared" si="9"/>
        <v>29</v>
      </c>
      <c r="B78" s="284" t="s">
        <v>105</v>
      </c>
      <c r="C78" s="285" t="s">
        <v>34</v>
      </c>
      <c r="D78" s="286"/>
      <c r="E78" s="327">
        <v>45</v>
      </c>
      <c r="F78" s="285" t="s">
        <v>163</v>
      </c>
      <c r="G78" s="327">
        <v>45</v>
      </c>
      <c r="H78" s="285" t="s">
        <v>163</v>
      </c>
      <c r="I78" s="327">
        <v>45</v>
      </c>
      <c r="J78" s="285" t="s">
        <v>38</v>
      </c>
      <c r="K78" s="327">
        <v>45</v>
      </c>
      <c r="L78" s="285" t="s">
        <v>38</v>
      </c>
      <c r="M78" s="148">
        <v>45</v>
      </c>
      <c r="N78" s="285" t="s">
        <v>38</v>
      </c>
      <c r="O78" s="147">
        <v>0</v>
      </c>
      <c r="P78" s="285" t="s">
        <v>38</v>
      </c>
      <c r="Q78" s="148">
        <v>0</v>
      </c>
      <c r="R78" s="285" t="s">
        <v>38</v>
      </c>
      <c r="S78" s="148">
        <v>0</v>
      </c>
      <c r="T78" s="285" t="s">
        <v>38</v>
      </c>
      <c r="U78" s="411">
        <v>0</v>
      </c>
      <c r="V78" s="412" t="s">
        <v>38</v>
      </c>
      <c r="W78" s="411">
        <v>0</v>
      </c>
      <c r="X78" s="412" t="s">
        <v>38</v>
      </c>
      <c r="Y78" s="411">
        <v>0</v>
      </c>
      <c r="Z78" s="412" t="s">
        <v>38</v>
      </c>
      <c r="AA78" s="288"/>
      <c r="AB78" s="289">
        <v>155293</v>
      </c>
      <c r="AC78" s="289">
        <v>164827.67000000001</v>
      </c>
      <c r="AD78" s="289">
        <v>0</v>
      </c>
      <c r="AE78" s="289">
        <v>0</v>
      </c>
      <c r="AF78" s="289">
        <v>0</v>
      </c>
      <c r="AG78" s="289">
        <v>0</v>
      </c>
      <c r="AH78" s="289">
        <v>0</v>
      </c>
      <c r="AI78" s="289">
        <v>0</v>
      </c>
      <c r="AJ78" s="289">
        <v>0</v>
      </c>
      <c r="AK78" s="240">
        <v>0</v>
      </c>
    </row>
    <row r="79" spans="1:37" s="20" customFormat="1">
      <c r="A79" s="20">
        <f t="shared" si="9"/>
        <v>30</v>
      </c>
      <c r="B79" s="284" t="s">
        <v>106</v>
      </c>
      <c r="C79" s="285" t="s">
        <v>34</v>
      </c>
      <c r="D79" s="286"/>
      <c r="E79" s="327">
        <v>70</v>
      </c>
      <c r="F79" s="285" t="s">
        <v>163</v>
      </c>
      <c r="G79" s="327">
        <v>70</v>
      </c>
      <c r="H79" s="285" t="s">
        <v>163</v>
      </c>
      <c r="I79" s="327">
        <v>70</v>
      </c>
      <c r="J79" s="285" t="s">
        <v>38</v>
      </c>
      <c r="K79" s="327">
        <v>60</v>
      </c>
      <c r="L79" s="285" t="s">
        <v>38</v>
      </c>
      <c r="M79" s="148">
        <v>60</v>
      </c>
      <c r="N79" s="285" t="s">
        <v>38</v>
      </c>
      <c r="O79" s="147">
        <v>60</v>
      </c>
      <c r="P79" s="285" t="s">
        <v>38</v>
      </c>
      <c r="Q79" s="148">
        <v>0</v>
      </c>
      <c r="R79" s="285" t="s">
        <v>38</v>
      </c>
      <c r="S79" s="148">
        <v>0</v>
      </c>
      <c r="T79" s="285" t="s">
        <v>38</v>
      </c>
      <c r="U79" s="411">
        <v>0</v>
      </c>
      <c r="V79" s="412" t="s">
        <v>38</v>
      </c>
      <c r="W79" s="411">
        <v>0</v>
      </c>
      <c r="X79" s="412" t="s">
        <v>38</v>
      </c>
      <c r="Y79" s="411">
        <v>0</v>
      </c>
      <c r="Z79" s="412" t="s">
        <v>38</v>
      </c>
      <c r="AA79" s="288"/>
      <c r="AB79" s="289">
        <v>0</v>
      </c>
      <c r="AC79" s="289">
        <v>0</v>
      </c>
      <c r="AD79" s="289">
        <v>0</v>
      </c>
      <c r="AE79" s="289">
        <v>0</v>
      </c>
      <c r="AF79" s="289">
        <v>0</v>
      </c>
      <c r="AG79" s="289">
        <v>0</v>
      </c>
      <c r="AH79" s="289">
        <v>0</v>
      </c>
      <c r="AI79" s="289">
        <v>0</v>
      </c>
      <c r="AJ79" s="289">
        <v>0</v>
      </c>
      <c r="AK79" s="240">
        <v>0</v>
      </c>
    </row>
    <row r="80" spans="1:37" s="20" customFormat="1">
      <c r="A80" s="20">
        <f t="shared" si="9"/>
        <v>31</v>
      </c>
      <c r="B80" s="284" t="s">
        <v>107</v>
      </c>
      <c r="C80" s="285" t="s">
        <v>34</v>
      </c>
      <c r="D80" s="286"/>
      <c r="E80" s="327">
        <v>0</v>
      </c>
      <c r="F80" s="285" t="s">
        <v>163</v>
      </c>
      <c r="G80" s="327">
        <v>0</v>
      </c>
      <c r="H80" s="285" t="s">
        <v>163</v>
      </c>
      <c r="I80" s="327">
        <v>0</v>
      </c>
      <c r="J80" s="285" t="s">
        <v>163</v>
      </c>
      <c r="K80" s="327">
        <v>0</v>
      </c>
      <c r="L80" s="285" t="s">
        <v>161</v>
      </c>
      <c r="M80" s="148">
        <v>0</v>
      </c>
      <c r="N80" s="285" t="s">
        <v>161</v>
      </c>
      <c r="O80" s="147">
        <v>0</v>
      </c>
      <c r="P80" s="285" t="s">
        <v>161</v>
      </c>
      <c r="Q80" s="148">
        <v>0</v>
      </c>
      <c r="R80" s="285" t="s">
        <v>161</v>
      </c>
      <c r="S80" s="148">
        <v>0</v>
      </c>
      <c r="T80" s="285" t="s">
        <v>161</v>
      </c>
      <c r="U80" s="411">
        <v>0</v>
      </c>
      <c r="V80" s="412" t="s">
        <v>161</v>
      </c>
      <c r="W80" s="411">
        <v>0</v>
      </c>
      <c r="X80" s="412" t="s">
        <v>161</v>
      </c>
      <c r="Y80" s="411">
        <v>0</v>
      </c>
      <c r="Z80" s="412" t="s">
        <v>161</v>
      </c>
      <c r="AA80" s="288"/>
      <c r="AB80" s="289">
        <v>0</v>
      </c>
      <c r="AC80" s="289">
        <v>0</v>
      </c>
      <c r="AD80" s="289">
        <v>0</v>
      </c>
      <c r="AE80" s="289">
        <v>0</v>
      </c>
      <c r="AF80" s="289">
        <v>0</v>
      </c>
      <c r="AG80" s="289">
        <v>0</v>
      </c>
      <c r="AH80" s="289">
        <v>0</v>
      </c>
      <c r="AI80" s="289">
        <v>0</v>
      </c>
      <c r="AJ80" s="289">
        <v>0</v>
      </c>
      <c r="AK80" s="240">
        <v>0</v>
      </c>
    </row>
    <row r="81" spans="1:40" s="20" customFormat="1">
      <c r="A81" s="20">
        <f t="shared" si="9"/>
        <v>32</v>
      </c>
      <c r="B81" s="284" t="s">
        <v>108</v>
      </c>
      <c r="C81" s="285" t="s">
        <v>34</v>
      </c>
      <c r="D81" s="286">
        <v>6.2</v>
      </c>
      <c r="E81" s="327">
        <v>35</v>
      </c>
      <c r="F81" s="285" t="s">
        <v>163</v>
      </c>
      <c r="G81" s="327">
        <v>35</v>
      </c>
      <c r="H81" s="285" t="s">
        <v>163</v>
      </c>
      <c r="I81" s="327">
        <v>35</v>
      </c>
      <c r="J81" s="285" t="s">
        <v>38</v>
      </c>
      <c r="K81" s="327">
        <v>35</v>
      </c>
      <c r="L81" s="285" t="s">
        <v>38</v>
      </c>
      <c r="M81" s="148">
        <v>35</v>
      </c>
      <c r="N81" s="285" t="s">
        <v>38</v>
      </c>
      <c r="O81" s="147">
        <v>35</v>
      </c>
      <c r="P81" s="285" t="s">
        <v>38</v>
      </c>
      <c r="Q81" s="148">
        <v>35</v>
      </c>
      <c r="R81" s="285" t="s">
        <v>38</v>
      </c>
      <c r="S81" s="148">
        <v>35</v>
      </c>
      <c r="T81" s="285" t="s">
        <v>38</v>
      </c>
      <c r="U81" s="411">
        <v>35</v>
      </c>
      <c r="V81" s="412" t="s">
        <v>38</v>
      </c>
      <c r="W81" s="411">
        <v>35</v>
      </c>
      <c r="X81" s="412" t="s">
        <v>38</v>
      </c>
      <c r="Y81" s="413">
        <v>35</v>
      </c>
      <c r="Z81" s="414" t="s">
        <v>38</v>
      </c>
      <c r="AA81" s="288"/>
      <c r="AB81" s="289">
        <v>0</v>
      </c>
      <c r="AC81" s="289">
        <v>0</v>
      </c>
      <c r="AD81" s="289">
        <v>5868.58</v>
      </c>
      <c r="AE81" s="289">
        <v>3913.25</v>
      </c>
      <c r="AF81" s="289">
        <v>6998.607954545454</v>
      </c>
      <c r="AG81" s="289">
        <v>7100</v>
      </c>
      <c r="AH81" s="289">
        <v>0</v>
      </c>
      <c r="AI81" s="289">
        <v>0</v>
      </c>
      <c r="AJ81" s="289">
        <v>0</v>
      </c>
      <c r="AK81" s="240">
        <v>0</v>
      </c>
    </row>
    <row r="82" spans="1:40" s="20" customFormat="1">
      <c r="A82" s="20">
        <f t="shared" si="9"/>
        <v>33</v>
      </c>
      <c r="B82" s="284" t="s">
        <v>109</v>
      </c>
      <c r="C82" s="285" t="s">
        <v>33</v>
      </c>
      <c r="D82" s="286">
        <v>0.7</v>
      </c>
      <c r="E82" s="327">
        <v>55</v>
      </c>
      <c r="F82" s="285" t="s">
        <v>163</v>
      </c>
      <c r="G82" s="327">
        <v>55</v>
      </c>
      <c r="H82" s="285" t="s">
        <v>163</v>
      </c>
      <c r="I82" s="327">
        <v>55</v>
      </c>
      <c r="J82" s="285" t="s">
        <v>38</v>
      </c>
      <c r="K82" s="327">
        <v>55</v>
      </c>
      <c r="L82" s="285" t="s">
        <v>38</v>
      </c>
      <c r="M82" s="148">
        <v>0</v>
      </c>
      <c r="N82" s="285" t="s">
        <v>161</v>
      </c>
      <c r="O82" s="147">
        <v>0</v>
      </c>
      <c r="P82" s="285" t="s">
        <v>161</v>
      </c>
      <c r="Q82" s="148">
        <v>0</v>
      </c>
      <c r="R82" s="285" t="s">
        <v>161</v>
      </c>
      <c r="S82" s="148">
        <v>0</v>
      </c>
      <c r="T82" s="285" t="s">
        <v>161</v>
      </c>
      <c r="U82" s="411">
        <v>0</v>
      </c>
      <c r="V82" s="412" t="s">
        <v>161</v>
      </c>
      <c r="W82" s="411">
        <v>0</v>
      </c>
      <c r="X82" s="412" t="s">
        <v>161</v>
      </c>
      <c r="Y82" s="411">
        <v>0</v>
      </c>
      <c r="Z82" s="412" t="s">
        <v>161</v>
      </c>
      <c r="AA82" s="288"/>
      <c r="AB82" s="289">
        <v>0</v>
      </c>
      <c r="AC82" s="289">
        <v>0</v>
      </c>
      <c r="AD82" s="289">
        <v>0</v>
      </c>
      <c r="AE82" s="289">
        <v>0</v>
      </c>
      <c r="AF82" s="289">
        <v>0</v>
      </c>
      <c r="AG82" s="289">
        <v>0</v>
      </c>
      <c r="AH82" s="289">
        <v>0</v>
      </c>
      <c r="AI82" s="289">
        <v>0</v>
      </c>
      <c r="AJ82" s="289">
        <v>0</v>
      </c>
      <c r="AK82" s="240">
        <v>0</v>
      </c>
    </row>
    <row r="83" spans="1:40" s="20" customFormat="1">
      <c r="A83" s="20">
        <f t="shared" si="9"/>
        <v>34</v>
      </c>
      <c r="B83" s="284" t="s">
        <v>110</v>
      </c>
      <c r="C83" s="285" t="s">
        <v>33</v>
      </c>
      <c r="D83" s="286">
        <v>1.1000000000000001</v>
      </c>
      <c r="E83" s="327">
        <v>1900</v>
      </c>
      <c r="F83" s="285" t="s">
        <v>32</v>
      </c>
      <c r="G83" s="327">
        <v>1900</v>
      </c>
      <c r="H83" s="285" t="s">
        <v>32</v>
      </c>
      <c r="I83" s="327">
        <v>1900</v>
      </c>
      <c r="J83" s="285" t="s">
        <v>32</v>
      </c>
      <c r="K83" s="327">
        <v>1900</v>
      </c>
      <c r="L83" s="285" t="s">
        <v>32</v>
      </c>
      <c r="M83" s="148">
        <v>1030</v>
      </c>
      <c r="N83" s="285" t="s">
        <v>32</v>
      </c>
      <c r="O83" s="148">
        <v>1030</v>
      </c>
      <c r="P83" s="285" t="s">
        <v>32</v>
      </c>
      <c r="Q83" s="148">
        <v>1030</v>
      </c>
      <c r="R83" s="285" t="s">
        <v>32</v>
      </c>
      <c r="S83" s="148">
        <v>1030</v>
      </c>
      <c r="T83" s="285" t="s">
        <v>32</v>
      </c>
      <c r="U83" s="411">
        <v>1030</v>
      </c>
      <c r="V83" s="412" t="s">
        <v>32</v>
      </c>
      <c r="W83" s="411">
        <v>1030</v>
      </c>
      <c r="X83" s="412" t="s">
        <v>32</v>
      </c>
      <c r="Y83" s="413">
        <v>1030</v>
      </c>
      <c r="Z83" s="414" t="s">
        <v>32</v>
      </c>
      <c r="AA83" s="288"/>
      <c r="AB83" s="289">
        <v>0</v>
      </c>
      <c r="AC83" s="289">
        <v>0</v>
      </c>
      <c r="AD83" s="289">
        <v>62361.48</v>
      </c>
      <c r="AE83" s="289">
        <v>63024.9</v>
      </c>
      <c r="AF83" s="289">
        <v>47573.058702368689</v>
      </c>
      <c r="AG83" s="289">
        <v>45320</v>
      </c>
      <c r="AH83" s="289">
        <f>+AG83/(+AG83+AG84)*98880</f>
        <v>47290.434782608696</v>
      </c>
      <c r="AI83" s="289">
        <v>47884.04</v>
      </c>
      <c r="AJ83" s="289">
        <v>47380</v>
      </c>
      <c r="AK83" s="240">
        <v>48410</v>
      </c>
      <c r="AM83" s="5"/>
    </row>
    <row r="84" spans="1:40" s="20" customFormat="1">
      <c r="A84" s="20">
        <f t="shared" si="9"/>
        <v>35</v>
      </c>
      <c r="B84" s="284" t="s">
        <v>111</v>
      </c>
      <c r="C84" s="285" t="s">
        <v>33</v>
      </c>
      <c r="D84" s="286">
        <v>1.1000000000000001</v>
      </c>
      <c r="E84" s="327">
        <v>1950</v>
      </c>
      <c r="F84" s="285" t="s">
        <v>32</v>
      </c>
      <c r="G84" s="327">
        <v>1900</v>
      </c>
      <c r="H84" s="285" t="s">
        <v>32</v>
      </c>
      <c r="I84" s="327">
        <v>1900</v>
      </c>
      <c r="J84" s="285" t="s">
        <v>32</v>
      </c>
      <c r="K84" s="327">
        <v>1900</v>
      </c>
      <c r="L84" s="285" t="s">
        <v>32</v>
      </c>
      <c r="M84" s="148">
        <v>1090</v>
      </c>
      <c r="N84" s="285" t="s">
        <v>32</v>
      </c>
      <c r="O84" s="148">
        <v>1090</v>
      </c>
      <c r="P84" s="285" t="s">
        <v>32</v>
      </c>
      <c r="Q84" s="148">
        <v>1030</v>
      </c>
      <c r="R84" s="285" t="s">
        <v>32</v>
      </c>
      <c r="S84" s="148">
        <v>1030</v>
      </c>
      <c r="T84" s="285" t="s">
        <v>32</v>
      </c>
      <c r="U84" s="411">
        <v>1030</v>
      </c>
      <c r="V84" s="412" t="s">
        <v>32</v>
      </c>
      <c r="W84" s="411">
        <v>1030</v>
      </c>
      <c r="X84" s="412" t="s">
        <v>32</v>
      </c>
      <c r="Y84" s="413">
        <v>1030</v>
      </c>
      <c r="Z84" s="414" t="s">
        <v>32</v>
      </c>
      <c r="AA84" s="288"/>
      <c r="AB84" s="289">
        <v>0</v>
      </c>
      <c r="AC84" s="289">
        <v>0</v>
      </c>
      <c r="AD84" s="289">
        <v>62361.48</v>
      </c>
      <c r="AE84" s="289">
        <v>63024.9</v>
      </c>
      <c r="AF84" s="289">
        <v>50344.304840370751</v>
      </c>
      <c r="AG84" s="289">
        <v>49440</v>
      </c>
      <c r="AH84" s="289">
        <f>+AG84/(+AG84+AG83)*98880</f>
        <v>51589.565217391304</v>
      </c>
      <c r="AI84" s="289">
        <v>48935.96</v>
      </c>
      <c r="AJ84" s="289">
        <v>46350</v>
      </c>
      <c r="AK84" s="240">
        <v>49440</v>
      </c>
    </row>
    <row r="85" spans="1:40" s="20" customFormat="1">
      <c r="A85" s="20">
        <f t="shared" si="9"/>
        <v>36</v>
      </c>
      <c r="B85" s="284" t="s">
        <v>112</v>
      </c>
      <c r="C85" s="285" t="s">
        <v>33</v>
      </c>
      <c r="D85" s="286"/>
      <c r="E85" s="327">
        <v>307.5</v>
      </c>
      <c r="F85" s="285" t="s">
        <v>32</v>
      </c>
      <c r="G85" s="327">
        <v>307.5</v>
      </c>
      <c r="H85" s="285" t="s">
        <v>32</v>
      </c>
      <c r="I85" s="327">
        <v>307.5</v>
      </c>
      <c r="J85" s="285" t="s">
        <v>32</v>
      </c>
      <c r="K85" s="327">
        <v>307.5</v>
      </c>
      <c r="L85" s="285" t="s">
        <v>32</v>
      </c>
      <c r="M85" s="148">
        <v>307.5</v>
      </c>
      <c r="N85" s="285" t="s">
        <v>32</v>
      </c>
      <c r="O85" s="147">
        <v>307.5</v>
      </c>
      <c r="P85" s="285" t="s">
        <v>32</v>
      </c>
      <c r="Q85" s="148">
        <v>307.5</v>
      </c>
      <c r="R85" s="285" t="s">
        <v>32</v>
      </c>
      <c r="S85" s="148">
        <v>0</v>
      </c>
      <c r="T85" s="285" t="s">
        <v>32</v>
      </c>
      <c r="U85" s="411">
        <v>0</v>
      </c>
      <c r="V85" s="412" t="s">
        <v>32</v>
      </c>
      <c r="W85" s="411">
        <v>0</v>
      </c>
      <c r="X85" s="412" t="s">
        <v>32</v>
      </c>
      <c r="Y85" s="411">
        <v>0</v>
      </c>
      <c r="Z85" s="412" t="s">
        <v>32</v>
      </c>
      <c r="AA85" s="288"/>
      <c r="AB85" s="289">
        <v>0</v>
      </c>
      <c r="AC85" s="289">
        <v>0</v>
      </c>
      <c r="AD85" s="289">
        <v>10092.709999999999</v>
      </c>
      <c r="AE85" s="289">
        <v>10200.08</v>
      </c>
      <c r="AF85" s="289">
        <v>14202.636457260556</v>
      </c>
      <c r="AG85" s="289">
        <v>4120</v>
      </c>
      <c r="AH85" s="289">
        <v>0</v>
      </c>
      <c r="AI85" s="289">
        <v>28905</v>
      </c>
      <c r="AJ85" s="289">
        <v>0</v>
      </c>
      <c r="AK85" s="240">
        <v>0</v>
      </c>
    </row>
    <row r="86" spans="1:40" s="20" customFormat="1">
      <c r="A86" s="20">
        <f t="shared" si="9"/>
        <v>37</v>
      </c>
      <c r="B86" s="284" t="s">
        <v>113</v>
      </c>
      <c r="C86" s="285" t="s">
        <v>33</v>
      </c>
      <c r="D86" s="286">
        <v>1.1000000000000001</v>
      </c>
      <c r="E86" s="327">
        <v>3920</v>
      </c>
      <c r="F86" s="285" t="s">
        <v>32</v>
      </c>
      <c r="G86" s="327">
        <v>3975</v>
      </c>
      <c r="H86" s="285" t="s">
        <v>32</v>
      </c>
      <c r="I86" s="327">
        <v>3975</v>
      </c>
      <c r="J86" s="285" t="s">
        <v>32</v>
      </c>
      <c r="K86" s="327">
        <v>0</v>
      </c>
      <c r="L86" s="285" t="s">
        <v>161</v>
      </c>
      <c r="M86" s="148">
        <v>0</v>
      </c>
      <c r="N86" s="285" t="s">
        <v>161</v>
      </c>
      <c r="O86" s="147">
        <v>0</v>
      </c>
      <c r="P86" s="285" t="s">
        <v>161</v>
      </c>
      <c r="Q86" s="148">
        <v>0</v>
      </c>
      <c r="R86" s="285" t="s">
        <v>161</v>
      </c>
      <c r="S86" s="148">
        <v>0</v>
      </c>
      <c r="T86" s="285" t="s">
        <v>161</v>
      </c>
      <c r="U86" s="411">
        <v>0</v>
      </c>
      <c r="V86" s="412" t="s">
        <v>161</v>
      </c>
      <c r="W86" s="411">
        <v>0</v>
      </c>
      <c r="X86" s="412" t="s">
        <v>161</v>
      </c>
      <c r="Y86" s="411">
        <v>0</v>
      </c>
      <c r="Z86" s="412" t="s">
        <v>161</v>
      </c>
      <c r="AA86" s="288"/>
      <c r="AB86" s="289">
        <v>0</v>
      </c>
      <c r="AC86" s="289">
        <v>0</v>
      </c>
      <c r="AD86" s="289">
        <v>0</v>
      </c>
      <c r="AE86" s="289">
        <v>0</v>
      </c>
      <c r="AF86" s="289">
        <v>0</v>
      </c>
      <c r="AG86" s="289">
        <v>0</v>
      </c>
      <c r="AH86" s="289">
        <v>0</v>
      </c>
      <c r="AI86" s="289">
        <v>0</v>
      </c>
      <c r="AJ86" s="289">
        <v>0</v>
      </c>
      <c r="AK86" s="240">
        <v>0</v>
      </c>
      <c r="AM86" s="5"/>
    </row>
    <row r="87" spans="1:40" s="20" customFormat="1">
      <c r="A87" s="20">
        <f t="shared" si="9"/>
        <v>38</v>
      </c>
      <c r="B87" s="284" t="s">
        <v>114</v>
      </c>
      <c r="C87" s="285" t="s">
        <v>33</v>
      </c>
      <c r="D87" s="286">
        <v>1.1000000000000001</v>
      </c>
      <c r="E87" s="327">
        <v>4075</v>
      </c>
      <c r="F87" s="285" t="s">
        <v>32</v>
      </c>
      <c r="G87" s="327">
        <v>3920</v>
      </c>
      <c r="H87" s="285" t="s">
        <v>32</v>
      </c>
      <c r="I87" s="327">
        <v>3920</v>
      </c>
      <c r="J87" s="285" t="s">
        <v>32</v>
      </c>
      <c r="K87" s="327">
        <v>0</v>
      </c>
      <c r="L87" s="285" t="s">
        <v>161</v>
      </c>
      <c r="M87" s="148">
        <v>0</v>
      </c>
      <c r="N87" s="285" t="s">
        <v>161</v>
      </c>
      <c r="O87" s="147">
        <v>0</v>
      </c>
      <c r="P87" s="285" t="s">
        <v>161</v>
      </c>
      <c r="Q87" s="148">
        <v>0</v>
      </c>
      <c r="R87" s="285" t="s">
        <v>161</v>
      </c>
      <c r="S87" s="148">
        <v>0</v>
      </c>
      <c r="T87" s="285" t="s">
        <v>161</v>
      </c>
      <c r="U87" s="411">
        <v>0</v>
      </c>
      <c r="V87" s="412" t="s">
        <v>161</v>
      </c>
      <c r="W87" s="411">
        <v>0</v>
      </c>
      <c r="X87" s="412" t="s">
        <v>161</v>
      </c>
      <c r="Y87" s="411">
        <v>0</v>
      </c>
      <c r="Z87" s="412" t="s">
        <v>161</v>
      </c>
      <c r="AA87" s="288"/>
      <c r="AB87" s="289">
        <v>0</v>
      </c>
      <c r="AC87" s="289">
        <v>0</v>
      </c>
      <c r="AD87" s="289">
        <v>0</v>
      </c>
      <c r="AE87" s="289">
        <v>0</v>
      </c>
      <c r="AF87" s="289">
        <v>0</v>
      </c>
      <c r="AG87" s="289">
        <v>0</v>
      </c>
      <c r="AH87" s="289">
        <v>0</v>
      </c>
      <c r="AI87" s="289">
        <v>0</v>
      </c>
      <c r="AJ87" s="289">
        <v>0</v>
      </c>
      <c r="AK87" s="240">
        <v>0</v>
      </c>
    </row>
    <row r="88" spans="1:40" s="20" customFormat="1">
      <c r="A88" s="20">
        <f t="shared" si="9"/>
        <v>39</v>
      </c>
      <c r="B88" s="284" t="s">
        <v>115</v>
      </c>
      <c r="C88" s="285" t="s">
        <v>33</v>
      </c>
      <c r="D88" s="286"/>
      <c r="E88" s="327">
        <v>0</v>
      </c>
      <c r="F88" s="285" t="s">
        <v>163</v>
      </c>
      <c r="G88" s="327">
        <v>3975</v>
      </c>
      <c r="H88" s="285" t="s">
        <v>32</v>
      </c>
      <c r="I88" s="327">
        <v>3975</v>
      </c>
      <c r="J88" s="285" t="s">
        <v>32</v>
      </c>
      <c r="K88" s="327">
        <v>3975</v>
      </c>
      <c r="L88" s="285" t="s">
        <v>32</v>
      </c>
      <c r="M88" s="148">
        <v>2875</v>
      </c>
      <c r="N88" s="285" t="s">
        <v>32</v>
      </c>
      <c r="O88" s="148">
        <v>2875</v>
      </c>
      <c r="P88" s="285" t="s">
        <v>32</v>
      </c>
      <c r="Q88" s="148">
        <v>2875</v>
      </c>
      <c r="R88" s="285" t="s">
        <v>32</v>
      </c>
      <c r="S88" s="148">
        <v>2875</v>
      </c>
      <c r="T88" s="285" t="s">
        <v>32</v>
      </c>
      <c r="U88" s="411">
        <v>2875</v>
      </c>
      <c r="V88" s="412" t="s">
        <v>32</v>
      </c>
      <c r="W88" s="411">
        <v>2875</v>
      </c>
      <c r="X88" s="412" t="s">
        <v>32</v>
      </c>
      <c r="Y88" s="413">
        <v>2875</v>
      </c>
      <c r="Z88" s="414" t="s">
        <v>32</v>
      </c>
      <c r="AA88" s="288"/>
      <c r="AB88" s="289">
        <v>1528063</v>
      </c>
      <c r="AC88" s="289">
        <v>1484800</v>
      </c>
      <c r="AD88" s="289">
        <v>1484813.37</v>
      </c>
      <c r="AE88" s="289">
        <v>1494990</v>
      </c>
      <c r="AF88" s="289">
        <f>1399790-AF90</f>
        <v>1364790</v>
      </c>
      <c r="AG88" s="289">
        <v>566375</v>
      </c>
      <c r="AH88" s="289">
        <v>888375</v>
      </c>
      <c r="AI88" s="289">
        <v>304239.44</v>
      </c>
      <c r="AJ88" s="289">
        <v>327750</v>
      </c>
      <c r="AK88" s="240">
        <v>296125</v>
      </c>
      <c r="AM88" s="5"/>
      <c r="AN88" s="5"/>
    </row>
    <row r="89" spans="1:40" s="20" customFormat="1">
      <c r="A89" s="20">
        <f t="shared" si="9"/>
        <v>40</v>
      </c>
      <c r="B89" s="284" t="s">
        <v>116</v>
      </c>
      <c r="C89" s="285" t="s">
        <v>33</v>
      </c>
      <c r="D89" s="286"/>
      <c r="E89" s="327">
        <v>0</v>
      </c>
      <c r="F89" s="285" t="s">
        <v>163</v>
      </c>
      <c r="G89" s="327">
        <v>3920</v>
      </c>
      <c r="H89" s="285" t="s">
        <v>32</v>
      </c>
      <c r="I89" s="327">
        <v>3920</v>
      </c>
      <c r="J89" s="285" t="s">
        <v>32</v>
      </c>
      <c r="K89" s="327">
        <v>3920</v>
      </c>
      <c r="L89" s="285" t="s">
        <v>32</v>
      </c>
      <c r="M89" s="148">
        <v>3920</v>
      </c>
      <c r="N89" s="285" t="s">
        <v>32</v>
      </c>
      <c r="O89" s="148">
        <v>3920</v>
      </c>
      <c r="P89" s="285" t="s">
        <v>32</v>
      </c>
      <c r="Q89" s="148">
        <v>3920</v>
      </c>
      <c r="R89" s="285" t="s">
        <v>32</v>
      </c>
      <c r="S89" s="148">
        <v>2875</v>
      </c>
      <c r="T89" s="285" t="s">
        <v>32</v>
      </c>
      <c r="U89" s="411">
        <v>2875</v>
      </c>
      <c r="V89" s="412" t="s">
        <v>32</v>
      </c>
      <c r="W89" s="411">
        <v>2875</v>
      </c>
      <c r="X89" s="412" t="s">
        <v>32</v>
      </c>
      <c r="Y89" s="413">
        <v>2875</v>
      </c>
      <c r="Z89" s="414" t="s">
        <v>32</v>
      </c>
      <c r="AA89" s="288"/>
      <c r="AB89" s="289">
        <v>0</v>
      </c>
      <c r="AC89" s="289">
        <v>0</v>
      </c>
      <c r="AD89" s="289">
        <v>0</v>
      </c>
      <c r="AE89" s="289">
        <v>0</v>
      </c>
      <c r="AF89" s="289">
        <v>0</v>
      </c>
      <c r="AG89" s="289">
        <v>733040</v>
      </c>
      <c r="AH89" s="289">
        <v>384160</v>
      </c>
      <c r="AI89" s="289">
        <v>915621.8</v>
      </c>
      <c r="AJ89" s="289">
        <v>943000</v>
      </c>
      <c r="AK89" s="240">
        <v>974625</v>
      </c>
    </row>
    <row r="90" spans="1:40" s="20" customFormat="1">
      <c r="A90" s="20">
        <f t="shared" si="9"/>
        <v>41</v>
      </c>
      <c r="B90" s="284" t="s">
        <v>117</v>
      </c>
      <c r="C90" s="285" t="s">
        <v>33</v>
      </c>
      <c r="D90" s="286"/>
      <c r="E90" s="327">
        <v>1025</v>
      </c>
      <c r="F90" s="285" t="s">
        <v>32</v>
      </c>
      <c r="G90" s="327">
        <v>1025</v>
      </c>
      <c r="H90" s="285" t="s">
        <v>32</v>
      </c>
      <c r="I90" s="327">
        <v>1025</v>
      </c>
      <c r="J90" s="285" t="s">
        <v>32</v>
      </c>
      <c r="K90" s="327">
        <v>1025</v>
      </c>
      <c r="L90" s="285" t="s">
        <v>32</v>
      </c>
      <c r="M90" s="148">
        <v>1025</v>
      </c>
      <c r="N90" s="285" t="s">
        <v>32</v>
      </c>
      <c r="O90" s="148">
        <v>1025</v>
      </c>
      <c r="P90" s="285" t="s">
        <v>32</v>
      </c>
      <c r="Q90" s="148">
        <v>1030</v>
      </c>
      <c r="R90" s="285" t="s">
        <v>32</v>
      </c>
      <c r="S90" s="148">
        <v>1030</v>
      </c>
      <c r="T90" s="285" t="s">
        <v>32</v>
      </c>
      <c r="U90" s="411">
        <v>1030</v>
      </c>
      <c r="V90" s="412" t="s">
        <v>32</v>
      </c>
      <c r="W90" s="411">
        <v>1025</v>
      </c>
      <c r="X90" s="412" t="s">
        <v>32</v>
      </c>
      <c r="Y90" s="413">
        <v>1025</v>
      </c>
      <c r="Z90" s="414" t="s">
        <v>32</v>
      </c>
      <c r="AA90" s="288"/>
      <c r="AB90" s="289">
        <v>0</v>
      </c>
      <c r="AC90" s="289">
        <v>0</v>
      </c>
      <c r="AD90" s="289">
        <v>33642.379999999997</v>
      </c>
      <c r="AE90" s="289">
        <v>34000.28</v>
      </c>
      <c r="AF90" s="289">
        <v>35000</v>
      </c>
      <c r="AG90" s="289">
        <v>49440</v>
      </c>
      <c r="AH90" s="289">
        <v>496100</v>
      </c>
      <c r="AI90" s="289">
        <v>516600</v>
      </c>
      <c r="AJ90" s="289">
        <v>564057.5</v>
      </c>
      <c r="AK90" s="240">
        <v>550937.5</v>
      </c>
    </row>
    <row r="91" spans="1:40" s="20" customFormat="1">
      <c r="A91" s="20">
        <f t="shared" si="9"/>
        <v>42</v>
      </c>
      <c r="B91" s="284" t="s">
        <v>118</v>
      </c>
      <c r="C91" s="285" t="s">
        <v>33</v>
      </c>
      <c r="D91" s="286"/>
      <c r="E91" s="327">
        <v>100</v>
      </c>
      <c r="F91" s="285" t="s">
        <v>163</v>
      </c>
      <c r="G91" s="327">
        <v>100</v>
      </c>
      <c r="H91" s="285" t="s">
        <v>163</v>
      </c>
      <c r="I91" s="327">
        <v>100</v>
      </c>
      <c r="J91" s="285" t="s">
        <v>38</v>
      </c>
      <c r="K91" s="327">
        <v>100</v>
      </c>
      <c r="L91" s="285" t="s">
        <v>38</v>
      </c>
      <c r="M91" s="148">
        <v>100</v>
      </c>
      <c r="N91" s="285" t="s">
        <v>38</v>
      </c>
      <c r="O91" s="148">
        <v>100</v>
      </c>
      <c r="P91" s="285" t="s">
        <v>38</v>
      </c>
      <c r="Q91" s="148">
        <v>100</v>
      </c>
      <c r="R91" s="285" t="s">
        <v>38</v>
      </c>
      <c r="S91" s="148">
        <v>100</v>
      </c>
      <c r="T91" s="285" t="s">
        <v>38</v>
      </c>
      <c r="U91" s="411">
        <v>100</v>
      </c>
      <c r="V91" s="412" t="s">
        <v>38</v>
      </c>
      <c r="W91" s="411">
        <v>100</v>
      </c>
      <c r="X91" s="412" t="s">
        <v>38</v>
      </c>
      <c r="Y91" s="413">
        <v>100</v>
      </c>
      <c r="Z91" s="414" t="s">
        <v>38</v>
      </c>
      <c r="AA91" s="288"/>
      <c r="AB91" s="289">
        <v>0</v>
      </c>
      <c r="AC91" s="289">
        <v>0</v>
      </c>
      <c r="AD91" s="289">
        <v>608</v>
      </c>
      <c r="AE91" s="289">
        <v>300</v>
      </c>
      <c r="AF91" s="289">
        <v>50</v>
      </c>
      <c r="AG91" s="289">
        <v>0</v>
      </c>
      <c r="AH91" s="289">
        <v>0</v>
      </c>
      <c r="AI91" s="289">
        <v>0</v>
      </c>
      <c r="AJ91" s="289">
        <v>0</v>
      </c>
      <c r="AK91" s="240">
        <v>0</v>
      </c>
    </row>
    <row r="92" spans="1:40" s="20" customFormat="1">
      <c r="A92" s="20">
        <f t="shared" si="9"/>
        <v>43</v>
      </c>
      <c r="B92" s="284" t="s">
        <v>119</v>
      </c>
      <c r="C92" s="285" t="s">
        <v>33</v>
      </c>
      <c r="D92" s="286"/>
      <c r="E92" s="327">
        <v>30</v>
      </c>
      <c r="F92" s="285" t="s">
        <v>160</v>
      </c>
      <c r="G92" s="327">
        <v>30</v>
      </c>
      <c r="H92" s="285" t="s">
        <v>160</v>
      </c>
      <c r="I92" s="327">
        <v>30</v>
      </c>
      <c r="J92" s="285" t="s">
        <v>160</v>
      </c>
      <c r="K92" s="327">
        <v>30</v>
      </c>
      <c r="L92" s="285" t="s">
        <v>160</v>
      </c>
      <c r="M92" s="148">
        <v>30</v>
      </c>
      <c r="N92" s="285" t="s">
        <v>160</v>
      </c>
      <c r="O92" s="148">
        <v>30</v>
      </c>
      <c r="P92" s="285" t="s">
        <v>160</v>
      </c>
      <c r="Q92" s="148">
        <v>30</v>
      </c>
      <c r="R92" s="285" t="s">
        <v>160</v>
      </c>
      <c r="S92" s="148">
        <v>30</v>
      </c>
      <c r="T92" s="285" t="s">
        <v>160</v>
      </c>
      <c r="U92" s="411">
        <v>30</v>
      </c>
      <c r="V92" s="412" t="s">
        <v>160</v>
      </c>
      <c r="W92" s="411">
        <v>30</v>
      </c>
      <c r="X92" s="412" t="s">
        <v>160</v>
      </c>
      <c r="Y92" s="413">
        <v>30</v>
      </c>
      <c r="Z92" s="414" t="s">
        <v>160</v>
      </c>
      <c r="AA92" s="288"/>
      <c r="AB92" s="289">
        <v>0</v>
      </c>
      <c r="AC92" s="289">
        <v>0</v>
      </c>
      <c r="AD92" s="289">
        <v>140100</v>
      </c>
      <c r="AE92" s="289">
        <v>143550</v>
      </c>
      <c r="AF92" s="289">
        <v>131385</v>
      </c>
      <c r="AG92" s="289">
        <v>140700</v>
      </c>
      <c r="AH92" s="289">
        <v>138510</v>
      </c>
      <c r="AI92" s="289">
        <v>199980</v>
      </c>
      <c r="AJ92" s="289">
        <v>211170</v>
      </c>
      <c r="AK92" s="240">
        <v>194280</v>
      </c>
    </row>
    <row r="93" spans="1:40" s="20" customFormat="1">
      <c r="A93" s="20">
        <f t="shared" si="9"/>
        <v>44</v>
      </c>
      <c r="B93" s="284" t="s">
        <v>120</v>
      </c>
      <c r="C93" s="285" t="s">
        <v>33</v>
      </c>
      <c r="D93" s="286"/>
      <c r="E93" s="327">
        <v>30</v>
      </c>
      <c r="F93" s="285" t="s">
        <v>160</v>
      </c>
      <c r="G93" s="327">
        <v>30</v>
      </c>
      <c r="H93" s="285" t="s">
        <v>160</v>
      </c>
      <c r="I93" s="327">
        <v>30</v>
      </c>
      <c r="J93" s="285" t="s">
        <v>160</v>
      </c>
      <c r="K93" s="327">
        <v>30</v>
      </c>
      <c r="L93" s="285" t="s">
        <v>160</v>
      </c>
      <c r="M93" s="148">
        <v>30</v>
      </c>
      <c r="N93" s="285" t="s">
        <v>160</v>
      </c>
      <c r="O93" s="148">
        <v>30</v>
      </c>
      <c r="P93" s="285" t="s">
        <v>160</v>
      </c>
      <c r="Q93" s="148">
        <v>30</v>
      </c>
      <c r="R93" s="285" t="s">
        <v>160</v>
      </c>
      <c r="S93" s="148">
        <v>30</v>
      </c>
      <c r="T93" s="285" t="s">
        <v>160</v>
      </c>
      <c r="U93" s="411">
        <v>30</v>
      </c>
      <c r="V93" s="412" t="s">
        <v>160</v>
      </c>
      <c r="W93" s="411">
        <v>28</v>
      </c>
      <c r="X93" s="412" t="s">
        <v>160</v>
      </c>
      <c r="Y93" s="413">
        <v>0</v>
      </c>
      <c r="Z93" s="412" t="s">
        <v>160</v>
      </c>
      <c r="AA93" s="288"/>
      <c r="AB93" s="289">
        <v>0</v>
      </c>
      <c r="AC93" s="289">
        <v>0</v>
      </c>
      <c r="AD93" s="289">
        <v>267330</v>
      </c>
      <c r="AE93" s="289">
        <v>206340</v>
      </c>
      <c r="AF93" s="289">
        <v>350940</v>
      </c>
      <c r="AG93" s="289">
        <v>0</v>
      </c>
      <c r="AH93" s="289">
        <v>0</v>
      </c>
      <c r="AI93" s="289">
        <v>0</v>
      </c>
      <c r="AJ93" s="289">
        <v>0</v>
      </c>
      <c r="AK93" s="240">
        <v>0</v>
      </c>
    </row>
    <row r="94" spans="1:40" s="20" customFormat="1">
      <c r="A94" s="20">
        <f t="shared" si="9"/>
        <v>45</v>
      </c>
      <c r="B94" s="284" t="s">
        <v>121</v>
      </c>
      <c r="C94" s="285" t="s">
        <v>33</v>
      </c>
      <c r="D94" s="286"/>
      <c r="E94" s="327">
        <v>30</v>
      </c>
      <c r="F94" s="285" t="s">
        <v>160</v>
      </c>
      <c r="G94" s="327">
        <v>30</v>
      </c>
      <c r="H94" s="285" t="s">
        <v>160</v>
      </c>
      <c r="I94" s="327">
        <v>30</v>
      </c>
      <c r="J94" s="285" t="s">
        <v>160</v>
      </c>
      <c r="K94" s="327">
        <v>30</v>
      </c>
      <c r="L94" s="285" t="s">
        <v>160</v>
      </c>
      <c r="M94" s="148">
        <v>30</v>
      </c>
      <c r="N94" s="285" t="s">
        <v>160</v>
      </c>
      <c r="O94" s="148">
        <v>30</v>
      </c>
      <c r="P94" s="285" t="s">
        <v>160</v>
      </c>
      <c r="Q94" s="148">
        <v>30</v>
      </c>
      <c r="R94" s="285" t="s">
        <v>160</v>
      </c>
      <c r="S94" s="148">
        <v>30</v>
      </c>
      <c r="T94" s="285" t="s">
        <v>160</v>
      </c>
      <c r="U94" s="411">
        <v>30</v>
      </c>
      <c r="V94" s="412" t="s">
        <v>160</v>
      </c>
      <c r="W94" s="411">
        <v>28</v>
      </c>
      <c r="X94" s="412" t="s">
        <v>160</v>
      </c>
      <c r="Y94" s="413">
        <v>0</v>
      </c>
      <c r="Z94" s="412" t="s">
        <v>160</v>
      </c>
      <c r="AA94" s="288"/>
      <c r="AB94" s="289">
        <v>0</v>
      </c>
      <c r="AC94" s="289">
        <v>0</v>
      </c>
      <c r="AD94" s="289">
        <v>411750</v>
      </c>
      <c r="AE94" s="289">
        <v>206340</v>
      </c>
      <c r="AF94" s="289">
        <v>596035</v>
      </c>
      <c r="AG94" s="289">
        <v>0</v>
      </c>
      <c r="AH94" s="289">
        <v>0</v>
      </c>
      <c r="AI94" s="289">
        <v>0</v>
      </c>
      <c r="AJ94" s="289">
        <v>0</v>
      </c>
      <c r="AK94" s="240">
        <v>0</v>
      </c>
    </row>
    <row r="95" spans="1:40" s="20" customFormat="1">
      <c r="A95" s="20">
        <f t="shared" si="9"/>
        <v>46</v>
      </c>
      <c r="B95" s="284" t="s">
        <v>122</v>
      </c>
      <c r="C95" s="285" t="s">
        <v>33</v>
      </c>
      <c r="D95" s="286"/>
      <c r="E95" s="327">
        <v>25</v>
      </c>
      <c r="F95" s="285" t="s">
        <v>160</v>
      </c>
      <c r="G95" s="327">
        <v>25</v>
      </c>
      <c r="H95" s="285" t="s">
        <v>160</v>
      </c>
      <c r="I95" s="327">
        <v>25</v>
      </c>
      <c r="J95" s="285" t="s">
        <v>32</v>
      </c>
      <c r="K95" s="327">
        <v>0</v>
      </c>
      <c r="L95" s="285" t="s">
        <v>161</v>
      </c>
      <c r="M95" s="148">
        <v>0</v>
      </c>
      <c r="N95" s="285" t="s">
        <v>161</v>
      </c>
      <c r="O95" s="148">
        <v>0</v>
      </c>
      <c r="P95" s="285" t="s">
        <v>161</v>
      </c>
      <c r="Q95" s="148">
        <v>0</v>
      </c>
      <c r="R95" s="285" t="s">
        <v>161</v>
      </c>
      <c r="S95" s="148">
        <v>0</v>
      </c>
      <c r="T95" s="285" t="s">
        <v>161</v>
      </c>
      <c r="U95" s="411">
        <v>0</v>
      </c>
      <c r="V95" s="412" t="s">
        <v>161</v>
      </c>
      <c r="W95" s="411">
        <v>0</v>
      </c>
      <c r="X95" s="412" t="s">
        <v>161</v>
      </c>
      <c r="Y95" s="411">
        <v>0</v>
      </c>
      <c r="Z95" s="412" t="s">
        <v>161</v>
      </c>
      <c r="AA95" s="288"/>
      <c r="AB95" s="289">
        <v>0</v>
      </c>
      <c r="AC95" s="289">
        <v>0</v>
      </c>
      <c r="AD95" s="289">
        <v>0</v>
      </c>
      <c r="AE95" s="289">
        <v>0</v>
      </c>
      <c r="AF95" s="289">
        <v>0</v>
      </c>
      <c r="AG95" s="289">
        <v>0</v>
      </c>
      <c r="AH95" s="289">
        <v>0</v>
      </c>
      <c r="AI95" s="289">
        <v>0</v>
      </c>
      <c r="AJ95" s="289">
        <v>0</v>
      </c>
      <c r="AK95" s="240">
        <v>0</v>
      </c>
    </row>
    <row r="96" spans="1:40" s="20" customFormat="1">
      <c r="A96" s="20">
        <f t="shared" si="9"/>
        <v>47</v>
      </c>
      <c r="B96" s="284" t="s">
        <v>123</v>
      </c>
      <c r="C96" s="285" t="s">
        <v>34</v>
      </c>
      <c r="D96" s="286">
        <v>6.8</v>
      </c>
      <c r="E96" s="327">
        <v>45</v>
      </c>
      <c r="F96" s="285" t="s">
        <v>163</v>
      </c>
      <c r="G96" s="327">
        <v>45</v>
      </c>
      <c r="H96" s="285" t="s">
        <v>163</v>
      </c>
      <c r="I96" s="327">
        <v>45</v>
      </c>
      <c r="J96" s="285" t="s">
        <v>38</v>
      </c>
      <c r="K96" s="327">
        <v>45</v>
      </c>
      <c r="L96" s="285" t="s">
        <v>38</v>
      </c>
      <c r="M96" s="148">
        <v>45</v>
      </c>
      <c r="N96" s="285" t="s">
        <v>161</v>
      </c>
      <c r="O96" s="148">
        <v>0</v>
      </c>
      <c r="P96" s="285" t="s">
        <v>38</v>
      </c>
      <c r="Q96" s="148">
        <v>0</v>
      </c>
      <c r="R96" s="285" t="s">
        <v>38</v>
      </c>
      <c r="S96" s="148">
        <v>0</v>
      </c>
      <c r="T96" s="285" t="s">
        <v>38</v>
      </c>
      <c r="U96" s="411">
        <v>0</v>
      </c>
      <c r="V96" s="412" t="s">
        <v>38</v>
      </c>
      <c r="W96" s="411">
        <v>0</v>
      </c>
      <c r="X96" s="412" t="s">
        <v>38</v>
      </c>
      <c r="Y96" s="411">
        <v>0</v>
      </c>
      <c r="Z96" s="412" t="s">
        <v>38</v>
      </c>
      <c r="AA96" s="288"/>
      <c r="AB96" s="289">
        <v>46419</v>
      </c>
      <c r="AC96" s="289">
        <v>5204.37</v>
      </c>
      <c r="AD96" s="289">
        <v>2385</v>
      </c>
      <c r="AE96" s="289">
        <v>0</v>
      </c>
      <c r="AF96" s="289">
        <v>0</v>
      </c>
      <c r="AG96" s="289">
        <v>0</v>
      </c>
      <c r="AH96" s="289">
        <v>0</v>
      </c>
      <c r="AI96" s="289">
        <v>0</v>
      </c>
      <c r="AJ96" s="289">
        <v>0</v>
      </c>
      <c r="AK96" s="240">
        <v>0</v>
      </c>
    </row>
    <row r="97" spans="1:38" s="20" customFormat="1">
      <c r="A97" s="20">
        <f t="shared" si="9"/>
        <v>48</v>
      </c>
      <c r="B97" s="284" t="s">
        <v>124</v>
      </c>
      <c r="C97" s="285" t="s">
        <v>34</v>
      </c>
      <c r="D97" s="286"/>
      <c r="E97" s="327">
        <v>25</v>
      </c>
      <c r="F97" s="285" t="s">
        <v>163</v>
      </c>
      <c r="G97" s="327">
        <v>25</v>
      </c>
      <c r="H97" s="285" t="s">
        <v>163</v>
      </c>
      <c r="I97" s="327">
        <v>50</v>
      </c>
      <c r="J97" s="285" t="s">
        <v>163</v>
      </c>
      <c r="K97" s="327">
        <v>50</v>
      </c>
      <c r="L97" s="285" t="s">
        <v>35</v>
      </c>
      <c r="M97" s="148">
        <v>50</v>
      </c>
      <c r="N97" s="285" t="s">
        <v>35</v>
      </c>
      <c r="O97" s="148">
        <v>50</v>
      </c>
      <c r="P97" s="285" t="s">
        <v>35</v>
      </c>
      <c r="Q97" s="148">
        <v>50</v>
      </c>
      <c r="R97" s="285" t="s">
        <v>35</v>
      </c>
      <c r="S97" s="148">
        <v>50</v>
      </c>
      <c r="T97" s="285" t="s">
        <v>35</v>
      </c>
      <c r="U97" s="411">
        <v>50</v>
      </c>
      <c r="V97" s="412" t="s">
        <v>35</v>
      </c>
      <c r="W97" s="411">
        <v>50</v>
      </c>
      <c r="X97" s="412" t="s">
        <v>35</v>
      </c>
      <c r="Y97" s="413">
        <v>50</v>
      </c>
      <c r="Z97" s="414" t="s">
        <v>35</v>
      </c>
      <c r="AA97" s="288"/>
      <c r="AB97" s="289">
        <v>0</v>
      </c>
      <c r="AC97" s="289">
        <v>0</v>
      </c>
      <c r="AD97" s="289">
        <v>0</v>
      </c>
      <c r="AE97" s="289">
        <v>0</v>
      </c>
      <c r="AF97" s="289">
        <v>0</v>
      </c>
      <c r="AG97" s="289">
        <v>0</v>
      </c>
      <c r="AH97" s="289">
        <v>0</v>
      </c>
      <c r="AI97" s="289">
        <v>0</v>
      </c>
      <c r="AJ97" s="289">
        <v>0</v>
      </c>
      <c r="AK97" s="240">
        <v>0</v>
      </c>
    </row>
    <row r="98" spans="1:38" s="20" customFormat="1">
      <c r="A98" s="20">
        <f t="shared" si="9"/>
        <v>49</v>
      </c>
      <c r="B98" s="284" t="s">
        <v>125</v>
      </c>
      <c r="C98" s="285" t="s">
        <v>34</v>
      </c>
      <c r="D98" s="286"/>
      <c r="E98" s="327">
        <v>10</v>
      </c>
      <c r="F98" s="285" t="s">
        <v>163</v>
      </c>
      <c r="G98" s="327">
        <v>10</v>
      </c>
      <c r="H98" s="285" t="s">
        <v>163</v>
      </c>
      <c r="I98" s="327">
        <v>10</v>
      </c>
      <c r="J98" s="285" t="s">
        <v>163</v>
      </c>
      <c r="K98" s="327">
        <v>10</v>
      </c>
      <c r="L98" s="285" t="s">
        <v>35</v>
      </c>
      <c r="M98" s="148">
        <v>10</v>
      </c>
      <c r="N98" s="285" t="s">
        <v>35</v>
      </c>
      <c r="O98" s="148">
        <v>10</v>
      </c>
      <c r="P98" s="285" t="s">
        <v>35</v>
      </c>
      <c r="Q98" s="148">
        <v>10</v>
      </c>
      <c r="R98" s="285" t="s">
        <v>35</v>
      </c>
      <c r="S98" s="148">
        <v>10</v>
      </c>
      <c r="T98" s="285" t="s">
        <v>35</v>
      </c>
      <c r="U98" s="411">
        <v>10</v>
      </c>
      <c r="V98" s="412" t="s">
        <v>35</v>
      </c>
      <c r="W98" s="411">
        <v>10</v>
      </c>
      <c r="X98" s="412" t="s">
        <v>35</v>
      </c>
      <c r="Y98" s="413">
        <v>10</v>
      </c>
      <c r="Z98" s="414" t="s">
        <v>35</v>
      </c>
      <c r="AA98" s="288"/>
      <c r="AB98" s="289">
        <v>0</v>
      </c>
      <c r="AC98" s="289">
        <v>0</v>
      </c>
      <c r="AD98" s="289">
        <v>0</v>
      </c>
      <c r="AE98" s="289">
        <v>0</v>
      </c>
      <c r="AF98" s="289">
        <v>0</v>
      </c>
      <c r="AG98" s="289">
        <v>0</v>
      </c>
      <c r="AH98" s="289">
        <v>0</v>
      </c>
      <c r="AI98" s="289">
        <v>0</v>
      </c>
      <c r="AJ98" s="289">
        <v>0</v>
      </c>
      <c r="AK98" s="240">
        <v>0</v>
      </c>
    </row>
    <row r="99" spans="1:38" s="20" customFormat="1">
      <c r="A99" s="20">
        <f t="shared" si="9"/>
        <v>50</v>
      </c>
      <c r="B99" s="284" t="s">
        <v>126</v>
      </c>
      <c r="C99" s="285" t="s">
        <v>33</v>
      </c>
      <c r="D99" s="286">
        <v>0.7</v>
      </c>
      <c r="E99" s="327">
        <v>15</v>
      </c>
      <c r="F99" s="285" t="s">
        <v>163</v>
      </c>
      <c r="G99" s="327">
        <v>15</v>
      </c>
      <c r="H99" s="285" t="s">
        <v>163</v>
      </c>
      <c r="I99" s="327">
        <v>15</v>
      </c>
      <c r="J99" s="285" t="s">
        <v>163</v>
      </c>
      <c r="K99" s="327">
        <v>15</v>
      </c>
      <c r="L99" s="285" t="s">
        <v>35</v>
      </c>
      <c r="M99" s="148">
        <v>15</v>
      </c>
      <c r="N99" s="285" t="s">
        <v>35</v>
      </c>
      <c r="O99" s="148">
        <v>0</v>
      </c>
      <c r="P99" s="285" t="s">
        <v>35</v>
      </c>
      <c r="Q99" s="148">
        <v>0</v>
      </c>
      <c r="R99" s="285" t="s">
        <v>35</v>
      </c>
      <c r="S99" s="148">
        <v>0</v>
      </c>
      <c r="T99" s="285" t="s">
        <v>35</v>
      </c>
      <c r="U99" s="411">
        <v>0</v>
      </c>
      <c r="V99" s="412" t="s">
        <v>35</v>
      </c>
      <c r="W99" s="411">
        <v>0</v>
      </c>
      <c r="X99" s="412" t="s">
        <v>35</v>
      </c>
      <c r="Y99" s="411">
        <v>0</v>
      </c>
      <c r="Z99" s="412" t="s">
        <v>35</v>
      </c>
      <c r="AA99" s="288"/>
      <c r="AB99" s="289">
        <v>0</v>
      </c>
      <c r="AC99" s="289">
        <v>0</v>
      </c>
      <c r="AD99" s="289">
        <v>0</v>
      </c>
      <c r="AE99" s="289">
        <v>0</v>
      </c>
      <c r="AF99" s="289">
        <v>0</v>
      </c>
      <c r="AG99" s="289">
        <v>0</v>
      </c>
      <c r="AH99" s="289">
        <v>0</v>
      </c>
      <c r="AI99" s="289">
        <v>0</v>
      </c>
      <c r="AJ99" s="289">
        <v>0</v>
      </c>
      <c r="AK99" s="240">
        <v>0</v>
      </c>
    </row>
    <row r="100" spans="1:38" s="20" customFormat="1">
      <c r="A100" s="20">
        <f t="shared" si="9"/>
        <v>51</v>
      </c>
      <c r="B100" s="284" t="s">
        <v>127</v>
      </c>
      <c r="C100" s="285" t="s">
        <v>33</v>
      </c>
      <c r="D100" s="286">
        <v>0.7</v>
      </c>
      <c r="E100" s="327">
        <v>10</v>
      </c>
      <c r="F100" s="285" t="s">
        <v>163</v>
      </c>
      <c r="G100" s="327">
        <v>10</v>
      </c>
      <c r="H100" s="285" t="s">
        <v>163</v>
      </c>
      <c r="I100" s="327">
        <v>10</v>
      </c>
      <c r="J100" s="285" t="s">
        <v>163</v>
      </c>
      <c r="K100" s="327">
        <v>10</v>
      </c>
      <c r="L100" s="285" t="s">
        <v>35</v>
      </c>
      <c r="M100" s="148">
        <v>10</v>
      </c>
      <c r="N100" s="285" t="s">
        <v>35</v>
      </c>
      <c r="O100" s="148">
        <v>0</v>
      </c>
      <c r="P100" s="285" t="s">
        <v>35</v>
      </c>
      <c r="Q100" s="148">
        <v>0</v>
      </c>
      <c r="R100" s="285" t="s">
        <v>35</v>
      </c>
      <c r="S100" s="148">
        <v>0</v>
      </c>
      <c r="T100" s="285" t="s">
        <v>35</v>
      </c>
      <c r="U100" s="411">
        <v>0</v>
      </c>
      <c r="V100" s="412" t="s">
        <v>35</v>
      </c>
      <c r="W100" s="411">
        <v>0</v>
      </c>
      <c r="X100" s="412" t="s">
        <v>35</v>
      </c>
      <c r="Y100" s="411">
        <v>0</v>
      </c>
      <c r="Z100" s="412" t="s">
        <v>35</v>
      </c>
      <c r="AA100" s="288"/>
      <c r="AB100" s="289">
        <v>0</v>
      </c>
      <c r="AC100" s="289">
        <v>0</v>
      </c>
      <c r="AD100" s="289">
        <v>0</v>
      </c>
      <c r="AE100" s="289">
        <v>0</v>
      </c>
      <c r="AF100" s="289">
        <v>0</v>
      </c>
      <c r="AG100" s="289">
        <v>0</v>
      </c>
      <c r="AH100" s="289">
        <v>0</v>
      </c>
      <c r="AI100" s="289">
        <v>0</v>
      </c>
      <c r="AJ100" s="289">
        <v>0</v>
      </c>
      <c r="AK100" s="240">
        <v>0</v>
      </c>
    </row>
    <row r="101" spans="1:38" s="20" customFormat="1">
      <c r="A101" s="20">
        <f t="shared" si="9"/>
        <v>52</v>
      </c>
      <c r="B101" s="284" t="s">
        <v>128</v>
      </c>
      <c r="C101" s="285" t="s">
        <v>34</v>
      </c>
      <c r="D101" s="286">
        <v>1.1000000000000001</v>
      </c>
      <c r="E101" s="327">
        <v>20</v>
      </c>
      <c r="F101" s="285" t="s">
        <v>163</v>
      </c>
      <c r="G101" s="327">
        <v>100</v>
      </c>
      <c r="H101" s="285" t="s">
        <v>163</v>
      </c>
      <c r="I101" s="327">
        <v>100</v>
      </c>
      <c r="J101" s="285" t="s">
        <v>163</v>
      </c>
      <c r="K101" s="327">
        <v>100</v>
      </c>
      <c r="L101" s="285" t="s">
        <v>38</v>
      </c>
      <c r="M101" s="148">
        <v>100</v>
      </c>
      <c r="N101" s="285" t="s">
        <v>38</v>
      </c>
      <c r="O101" s="148">
        <v>100</v>
      </c>
      <c r="P101" s="285" t="s">
        <v>38</v>
      </c>
      <c r="Q101" s="148">
        <v>100</v>
      </c>
      <c r="R101" s="285" t="s">
        <v>38</v>
      </c>
      <c r="S101" s="148">
        <v>100</v>
      </c>
      <c r="T101" s="285" t="s">
        <v>38</v>
      </c>
      <c r="U101" s="411">
        <v>100</v>
      </c>
      <c r="V101" s="412" t="s">
        <v>38</v>
      </c>
      <c r="W101" s="411">
        <v>100</v>
      </c>
      <c r="X101" s="412" t="s">
        <v>38</v>
      </c>
      <c r="Y101" s="413">
        <v>100</v>
      </c>
      <c r="Z101" s="414" t="s">
        <v>38</v>
      </c>
      <c r="AA101" s="288"/>
      <c r="AB101" s="289">
        <v>0</v>
      </c>
      <c r="AC101" s="289">
        <v>0</v>
      </c>
      <c r="AD101" s="289">
        <v>16767.36</v>
      </c>
      <c r="AE101" s="289">
        <v>11180.72</v>
      </c>
      <c r="AF101" s="289">
        <v>19996.022727272728</v>
      </c>
      <c r="AG101" s="289">
        <v>7100</v>
      </c>
      <c r="AH101" s="289">
        <v>27500</v>
      </c>
      <c r="AI101" s="329">
        <v>50500</v>
      </c>
      <c r="AJ101" s="289">
        <v>25800</v>
      </c>
      <c r="AK101" s="240">
        <v>18896.75</v>
      </c>
      <c r="AL101" s="330"/>
    </row>
    <row r="102" spans="1:38" s="20" customFormat="1">
      <c r="A102" s="20">
        <f t="shared" si="9"/>
        <v>53</v>
      </c>
      <c r="B102" s="284" t="s">
        <v>129</v>
      </c>
      <c r="C102" s="285" t="s">
        <v>34</v>
      </c>
      <c r="D102" s="286">
        <v>6.8</v>
      </c>
      <c r="E102" s="327">
        <v>10</v>
      </c>
      <c r="F102" s="285" t="s">
        <v>163</v>
      </c>
      <c r="G102" s="327">
        <v>10</v>
      </c>
      <c r="H102" s="285" t="s">
        <v>163</v>
      </c>
      <c r="I102" s="327">
        <v>10</v>
      </c>
      <c r="J102" s="285" t="s">
        <v>163</v>
      </c>
      <c r="K102" s="327">
        <v>10</v>
      </c>
      <c r="L102" s="285" t="s">
        <v>38</v>
      </c>
      <c r="M102" s="148">
        <v>10</v>
      </c>
      <c r="N102" s="285" t="s">
        <v>38</v>
      </c>
      <c r="O102" s="148">
        <v>10</v>
      </c>
      <c r="P102" s="285" t="s">
        <v>38</v>
      </c>
      <c r="Q102" s="148">
        <v>10</v>
      </c>
      <c r="R102" s="285" t="s">
        <v>38</v>
      </c>
      <c r="S102" s="148">
        <v>10</v>
      </c>
      <c r="T102" s="285" t="s">
        <v>38</v>
      </c>
      <c r="U102" s="411">
        <v>10</v>
      </c>
      <c r="V102" s="412" t="s">
        <v>38</v>
      </c>
      <c r="W102" s="411">
        <v>10</v>
      </c>
      <c r="X102" s="412" t="s">
        <v>38</v>
      </c>
      <c r="Y102" s="413">
        <v>10</v>
      </c>
      <c r="Z102" s="414" t="s">
        <v>38</v>
      </c>
      <c r="AA102" s="288"/>
      <c r="AB102" s="289">
        <v>0</v>
      </c>
      <c r="AC102" s="289">
        <v>0</v>
      </c>
      <c r="AD102" s="289">
        <v>1676.74</v>
      </c>
      <c r="AE102" s="289">
        <v>1118.07</v>
      </c>
      <c r="AF102" s="289">
        <v>1999.6022727272727</v>
      </c>
      <c r="AG102" s="289">
        <v>0</v>
      </c>
      <c r="AH102" s="289">
        <v>0</v>
      </c>
      <c r="AI102" s="289">
        <v>0</v>
      </c>
      <c r="AJ102" s="289">
        <v>0</v>
      </c>
      <c r="AK102" s="240">
        <v>0</v>
      </c>
    </row>
    <row r="103" spans="1:38" s="20" customFormat="1">
      <c r="A103" s="20">
        <f t="shared" si="9"/>
        <v>54</v>
      </c>
      <c r="B103" s="284" t="s">
        <v>130</v>
      </c>
      <c r="C103" s="285" t="s">
        <v>33</v>
      </c>
      <c r="D103" s="286">
        <v>0.7</v>
      </c>
      <c r="E103" s="327">
        <v>5</v>
      </c>
      <c r="F103" s="285" t="s">
        <v>162</v>
      </c>
      <c r="G103" s="327">
        <v>5</v>
      </c>
      <c r="H103" s="285" t="s">
        <v>162</v>
      </c>
      <c r="I103" s="327">
        <v>5</v>
      </c>
      <c r="J103" s="285" t="s">
        <v>162</v>
      </c>
      <c r="K103" s="327">
        <v>5</v>
      </c>
      <c r="L103" s="285" t="s">
        <v>162</v>
      </c>
      <c r="M103" s="148">
        <v>5</v>
      </c>
      <c r="N103" s="285" t="s">
        <v>162</v>
      </c>
      <c r="O103" s="148">
        <v>5</v>
      </c>
      <c r="P103" s="285" t="s">
        <v>162</v>
      </c>
      <c r="Q103" s="148">
        <v>5</v>
      </c>
      <c r="R103" s="285" t="s">
        <v>162</v>
      </c>
      <c r="S103" s="148">
        <v>5</v>
      </c>
      <c r="T103" s="285" t="s">
        <v>162</v>
      </c>
      <c r="U103" s="411">
        <v>5</v>
      </c>
      <c r="V103" s="412" t="s">
        <v>162</v>
      </c>
      <c r="W103" s="411">
        <v>5</v>
      </c>
      <c r="X103" s="412" t="s">
        <v>162</v>
      </c>
      <c r="Y103" s="413">
        <v>5</v>
      </c>
      <c r="Z103" s="414" t="s">
        <v>162</v>
      </c>
      <c r="AA103" s="288"/>
      <c r="AB103" s="289">
        <v>0</v>
      </c>
      <c r="AC103" s="289">
        <v>0</v>
      </c>
      <c r="AD103" s="289">
        <v>11027.37</v>
      </c>
      <c r="AE103" s="289">
        <v>7020.41</v>
      </c>
      <c r="AF103" s="289">
        <v>13950.82</v>
      </c>
      <c r="AG103" s="289">
        <f>5355.41+1215</f>
        <v>6570.41</v>
      </c>
      <c r="AH103" s="289">
        <v>2095</v>
      </c>
      <c r="AI103" s="289">
        <v>1825</v>
      </c>
      <c r="AJ103" s="289">
        <v>340</v>
      </c>
      <c r="AK103" s="240">
        <v>900</v>
      </c>
    </row>
    <row r="104" spans="1:38" s="20" customFormat="1">
      <c r="A104" s="20">
        <f t="shared" si="9"/>
        <v>55</v>
      </c>
      <c r="B104" s="284" t="s">
        <v>131</v>
      </c>
      <c r="C104" s="285" t="s">
        <v>33</v>
      </c>
      <c r="D104" s="286">
        <v>0.7</v>
      </c>
      <c r="E104" s="327">
        <v>0</v>
      </c>
      <c r="F104" s="285" t="s">
        <v>163</v>
      </c>
      <c r="G104" s="327">
        <v>0</v>
      </c>
      <c r="H104" s="285" t="s">
        <v>163</v>
      </c>
      <c r="I104" s="327">
        <v>0</v>
      </c>
      <c r="J104" s="285" t="s">
        <v>163</v>
      </c>
      <c r="K104" s="327">
        <v>0</v>
      </c>
      <c r="L104" s="285" t="s">
        <v>161</v>
      </c>
      <c r="M104" s="148">
        <v>0</v>
      </c>
      <c r="N104" s="285" t="s">
        <v>161</v>
      </c>
      <c r="O104" s="148">
        <v>0</v>
      </c>
      <c r="P104" s="285" t="s">
        <v>161</v>
      </c>
      <c r="Q104" s="148">
        <v>0</v>
      </c>
      <c r="R104" s="285" t="s">
        <v>161</v>
      </c>
      <c r="S104" s="148">
        <v>0</v>
      </c>
      <c r="T104" s="285" t="s">
        <v>161</v>
      </c>
      <c r="U104" s="411">
        <v>0</v>
      </c>
      <c r="V104" s="412" t="s">
        <v>161</v>
      </c>
      <c r="W104" s="411">
        <v>0</v>
      </c>
      <c r="X104" s="412" t="s">
        <v>161</v>
      </c>
      <c r="Y104" s="411">
        <v>0</v>
      </c>
      <c r="Z104" s="412" t="s">
        <v>161</v>
      </c>
      <c r="AA104" s="288"/>
      <c r="AB104" s="289">
        <v>0</v>
      </c>
      <c r="AC104" s="289">
        <v>0</v>
      </c>
      <c r="AD104" s="289">
        <v>0</v>
      </c>
      <c r="AE104" s="289">
        <v>0</v>
      </c>
      <c r="AF104" s="289">
        <v>0</v>
      </c>
      <c r="AG104" s="289">
        <v>0</v>
      </c>
      <c r="AH104" s="289">
        <v>0</v>
      </c>
      <c r="AI104" s="289">
        <v>0</v>
      </c>
      <c r="AJ104" s="289">
        <v>0</v>
      </c>
      <c r="AK104" s="240">
        <v>0</v>
      </c>
    </row>
    <row r="105" spans="1:38" s="20" customFormat="1">
      <c r="A105" s="20">
        <f t="shared" si="9"/>
        <v>56</v>
      </c>
      <c r="B105" s="284" t="s">
        <v>132</v>
      </c>
      <c r="C105" s="285" t="s">
        <v>33</v>
      </c>
      <c r="D105" s="286">
        <v>0.7</v>
      </c>
      <c r="E105" s="327">
        <v>0</v>
      </c>
      <c r="F105" s="285" t="s">
        <v>163</v>
      </c>
      <c r="G105" s="327">
        <v>0</v>
      </c>
      <c r="H105" s="285" t="s">
        <v>163</v>
      </c>
      <c r="I105" s="327">
        <v>0</v>
      </c>
      <c r="J105" s="285" t="s">
        <v>163</v>
      </c>
      <c r="K105" s="327">
        <v>0</v>
      </c>
      <c r="L105" s="285" t="s">
        <v>35</v>
      </c>
      <c r="M105" s="148">
        <v>0</v>
      </c>
      <c r="N105" s="285" t="s">
        <v>35</v>
      </c>
      <c r="O105" s="148">
        <v>0</v>
      </c>
      <c r="P105" s="285" t="s">
        <v>35</v>
      </c>
      <c r="Q105" s="148">
        <v>0</v>
      </c>
      <c r="R105" s="285" t="s">
        <v>35</v>
      </c>
      <c r="S105" s="148">
        <v>0</v>
      </c>
      <c r="T105" s="285" t="s">
        <v>35</v>
      </c>
      <c r="U105" s="411">
        <v>0</v>
      </c>
      <c r="V105" s="412" t="s">
        <v>35</v>
      </c>
      <c r="W105" s="411">
        <v>0</v>
      </c>
      <c r="X105" s="412" t="s">
        <v>35</v>
      </c>
      <c r="Y105" s="411">
        <v>0</v>
      </c>
      <c r="Z105" s="412" t="s">
        <v>35</v>
      </c>
      <c r="AA105" s="288"/>
      <c r="AB105" s="289">
        <v>0</v>
      </c>
      <c r="AC105" s="289">
        <v>0</v>
      </c>
      <c r="AD105" s="289">
        <v>0</v>
      </c>
      <c r="AE105" s="289">
        <v>0</v>
      </c>
      <c r="AF105" s="289">
        <v>0</v>
      </c>
      <c r="AG105" s="289">
        <v>0</v>
      </c>
      <c r="AH105" s="289">
        <v>0</v>
      </c>
      <c r="AI105" s="289">
        <v>0</v>
      </c>
      <c r="AJ105" s="289">
        <v>0</v>
      </c>
      <c r="AK105" s="240">
        <v>0</v>
      </c>
    </row>
    <row r="106" spans="1:38" s="20" customFormat="1">
      <c r="A106" s="20">
        <f t="shared" si="9"/>
        <v>57</v>
      </c>
      <c r="B106" s="284" t="s">
        <v>133</v>
      </c>
      <c r="C106" s="285" t="s">
        <v>34</v>
      </c>
      <c r="D106" s="286"/>
      <c r="E106" s="327">
        <v>50</v>
      </c>
      <c r="F106" s="285" t="s">
        <v>35</v>
      </c>
      <c r="G106" s="327">
        <v>50</v>
      </c>
      <c r="H106" s="285" t="s">
        <v>35</v>
      </c>
      <c r="I106" s="327">
        <v>50</v>
      </c>
      <c r="J106" s="285" t="s">
        <v>35</v>
      </c>
      <c r="K106" s="327">
        <v>50</v>
      </c>
      <c r="L106" s="285" t="s">
        <v>35</v>
      </c>
      <c r="M106" s="148">
        <v>50</v>
      </c>
      <c r="N106" s="285" t="s">
        <v>35</v>
      </c>
      <c r="O106" s="148">
        <v>0</v>
      </c>
      <c r="P106" s="285" t="s">
        <v>35</v>
      </c>
      <c r="Q106" s="148">
        <v>0</v>
      </c>
      <c r="R106" s="285" t="s">
        <v>35</v>
      </c>
      <c r="S106" s="148">
        <v>0</v>
      </c>
      <c r="T106" s="285" t="s">
        <v>35</v>
      </c>
      <c r="U106" s="411">
        <v>0</v>
      </c>
      <c r="V106" s="412" t="s">
        <v>35</v>
      </c>
      <c r="W106" s="411">
        <v>0</v>
      </c>
      <c r="X106" s="412" t="s">
        <v>35</v>
      </c>
      <c r="Y106" s="411">
        <v>0</v>
      </c>
      <c r="Z106" s="412" t="s">
        <v>35</v>
      </c>
      <c r="AA106" s="288"/>
      <c r="AB106" s="289">
        <v>0</v>
      </c>
      <c r="AC106" s="289">
        <v>0</v>
      </c>
      <c r="AD106" s="289">
        <v>0</v>
      </c>
      <c r="AE106" s="289">
        <v>0</v>
      </c>
      <c r="AF106" s="289">
        <v>0</v>
      </c>
      <c r="AG106" s="289">
        <v>0</v>
      </c>
      <c r="AH106" s="289">
        <v>0</v>
      </c>
      <c r="AI106" s="289">
        <v>0</v>
      </c>
      <c r="AJ106" s="289">
        <v>0</v>
      </c>
      <c r="AK106" s="240">
        <v>0</v>
      </c>
    </row>
    <row r="107" spans="1:38" s="20" customFormat="1">
      <c r="A107" s="20">
        <f t="shared" si="9"/>
        <v>58</v>
      </c>
      <c r="B107" s="284" t="s">
        <v>134</v>
      </c>
      <c r="C107" s="285" t="s">
        <v>34</v>
      </c>
      <c r="D107" s="286"/>
      <c r="E107" s="327">
        <v>50</v>
      </c>
      <c r="F107" s="285" t="s">
        <v>35</v>
      </c>
      <c r="G107" s="327">
        <v>50</v>
      </c>
      <c r="H107" s="285" t="s">
        <v>35</v>
      </c>
      <c r="I107" s="327">
        <v>50</v>
      </c>
      <c r="J107" s="285" t="s">
        <v>35</v>
      </c>
      <c r="K107" s="327">
        <v>500</v>
      </c>
      <c r="L107" s="285" t="s">
        <v>35</v>
      </c>
      <c r="M107" s="148">
        <v>500</v>
      </c>
      <c r="N107" s="285" t="s">
        <v>35</v>
      </c>
      <c r="O107" s="148">
        <v>500</v>
      </c>
      <c r="P107" s="285" t="s">
        <v>35</v>
      </c>
      <c r="Q107" s="148">
        <v>500</v>
      </c>
      <c r="R107" s="285" t="s">
        <v>35</v>
      </c>
      <c r="S107" s="148">
        <v>500</v>
      </c>
      <c r="T107" s="285" t="s">
        <v>35</v>
      </c>
      <c r="U107" s="411">
        <v>500</v>
      </c>
      <c r="V107" s="412" t="s">
        <v>35</v>
      </c>
      <c r="W107" s="411">
        <v>500</v>
      </c>
      <c r="X107" s="412" t="s">
        <v>35</v>
      </c>
      <c r="Y107" s="413">
        <v>500</v>
      </c>
      <c r="Z107" s="414" t="s">
        <v>35</v>
      </c>
      <c r="AA107" s="288"/>
      <c r="AB107" s="289">
        <v>0</v>
      </c>
      <c r="AC107" s="289">
        <v>0</v>
      </c>
      <c r="AD107" s="289">
        <v>0</v>
      </c>
      <c r="AE107" s="289">
        <v>0</v>
      </c>
      <c r="AF107" s="289">
        <v>0</v>
      </c>
      <c r="AG107" s="289">
        <v>0</v>
      </c>
      <c r="AH107" s="289">
        <v>0</v>
      </c>
      <c r="AI107" s="289">
        <v>0</v>
      </c>
      <c r="AJ107" s="289">
        <v>0</v>
      </c>
      <c r="AK107" s="240">
        <v>0</v>
      </c>
    </row>
    <row r="108" spans="1:38" s="20" customFormat="1">
      <c r="A108" s="20">
        <f t="shared" si="9"/>
        <v>59</v>
      </c>
      <c r="B108" s="284" t="s">
        <v>135</v>
      </c>
      <c r="C108" s="285" t="s">
        <v>34</v>
      </c>
      <c r="D108" s="286"/>
      <c r="E108" s="327">
        <v>200</v>
      </c>
      <c r="F108" s="285" t="s">
        <v>35</v>
      </c>
      <c r="G108" s="327">
        <v>200</v>
      </c>
      <c r="H108" s="285" t="s">
        <v>35</v>
      </c>
      <c r="I108" s="327">
        <v>200</v>
      </c>
      <c r="J108" s="285" t="s">
        <v>38</v>
      </c>
      <c r="K108" s="327">
        <v>200</v>
      </c>
      <c r="L108" s="285" t="s">
        <v>38</v>
      </c>
      <c r="M108" s="148">
        <v>500</v>
      </c>
      <c r="N108" s="285" t="s">
        <v>35</v>
      </c>
      <c r="O108" s="148">
        <v>500</v>
      </c>
      <c r="P108" s="285" t="s">
        <v>35</v>
      </c>
      <c r="Q108" s="148">
        <v>500</v>
      </c>
      <c r="R108" s="285" t="s">
        <v>35</v>
      </c>
      <c r="S108" s="148">
        <v>500</v>
      </c>
      <c r="T108" s="285" t="s">
        <v>35</v>
      </c>
      <c r="U108" s="411">
        <v>500</v>
      </c>
      <c r="V108" s="412" t="s">
        <v>35</v>
      </c>
      <c r="W108" s="411">
        <v>500</v>
      </c>
      <c r="X108" s="412" t="s">
        <v>35</v>
      </c>
      <c r="Y108" s="413">
        <v>500</v>
      </c>
      <c r="Z108" s="414" t="s">
        <v>35</v>
      </c>
      <c r="AA108" s="288"/>
      <c r="AB108" s="289">
        <v>0</v>
      </c>
      <c r="AC108" s="289">
        <v>0</v>
      </c>
      <c r="AD108" s="289">
        <v>0</v>
      </c>
      <c r="AE108" s="289">
        <v>0</v>
      </c>
      <c r="AF108" s="289">
        <v>0</v>
      </c>
      <c r="AG108" s="289">
        <v>0</v>
      </c>
      <c r="AH108" s="289">
        <v>0</v>
      </c>
      <c r="AI108" s="289">
        <v>0</v>
      </c>
      <c r="AJ108" s="289">
        <v>0</v>
      </c>
      <c r="AK108" s="240">
        <v>0</v>
      </c>
    </row>
    <row r="109" spans="1:38" s="20" customFormat="1">
      <c r="A109" s="20">
        <f t="shared" si="9"/>
        <v>60</v>
      </c>
      <c r="B109" s="284" t="s">
        <v>136</v>
      </c>
      <c r="C109" s="285" t="s">
        <v>34</v>
      </c>
      <c r="D109" s="286"/>
      <c r="E109" s="327">
        <v>50</v>
      </c>
      <c r="F109" s="285" t="s">
        <v>35</v>
      </c>
      <c r="G109" s="327">
        <v>50</v>
      </c>
      <c r="H109" s="285" t="s">
        <v>35</v>
      </c>
      <c r="I109" s="327">
        <v>50</v>
      </c>
      <c r="J109" s="285" t="s">
        <v>35</v>
      </c>
      <c r="K109" s="327">
        <v>50</v>
      </c>
      <c r="L109" s="285" t="s">
        <v>35</v>
      </c>
      <c r="M109" s="148">
        <v>50</v>
      </c>
      <c r="N109" s="285" t="s">
        <v>35</v>
      </c>
      <c r="O109" s="148">
        <v>0</v>
      </c>
      <c r="P109" s="285" t="s">
        <v>35</v>
      </c>
      <c r="Q109" s="148">
        <v>0</v>
      </c>
      <c r="R109" s="285" t="s">
        <v>35</v>
      </c>
      <c r="S109" s="148">
        <v>0</v>
      </c>
      <c r="T109" s="285" t="s">
        <v>35</v>
      </c>
      <c r="U109" s="411">
        <v>0</v>
      </c>
      <c r="V109" s="412" t="s">
        <v>35</v>
      </c>
      <c r="W109" s="411">
        <v>0</v>
      </c>
      <c r="X109" s="412" t="s">
        <v>35</v>
      </c>
      <c r="Y109" s="411">
        <v>0</v>
      </c>
      <c r="Z109" s="412" t="s">
        <v>35</v>
      </c>
      <c r="AA109" s="288"/>
      <c r="AB109" s="289">
        <v>0</v>
      </c>
      <c r="AC109" s="289">
        <v>0</v>
      </c>
      <c r="AD109" s="289">
        <v>0</v>
      </c>
      <c r="AE109" s="289">
        <v>0</v>
      </c>
      <c r="AF109" s="289">
        <v>0</v>
      </c>
      <c r="AG109" s="289">
        <v>0</v>
      </c>
      <c r="AH109" s="289">
        <v>0</v>
      </c>
      <c r="AI109" s="289">
        <v>0</v>
      </c>
      <c r="AJ109" s="289">
        <v>0</v>
      </c>
      <c r="AK109" s="240">
        <v>0</v>
      </c>
    </row>
    <row r="110" spans="1:38" s="20" customFormat="1">
      <c r="A110" s="20">
        <f t="shared" si="9"/>
        <v>61</v>
      </c>
      <c r="B110" s="284" t="s">
        <v>137</v>
      </c>
      <c r="C110" s="285" t="s">
        <v>34</v>
      </c>
      <c r="D110" s="286"/>
      <c r="E110" s="327">
        <v>200</v>
      </c>
      <c r="F110" s="285" t="s">
        <v>35</v>
      </c>
      <c r="G110" s="327">
        <v>200</v>
      </c>
      <c r="H110" s="285" t="s">
        <v>35</v>
      </c>
      <c r="I110" s="327">
        <v>200</v>
      </c>
      <c r="J110" s="285" t="s">
        <v>38</v>
      </c>
      <c r="K110" s="327">
        <v>200</v>
      </c>
      <c r="L110" s="285" t="s">
        <v>38</v>
      </c>
      <c r="M110" s="148">
        <v>300</v>
      </c>
      <c r="N110" s="285" t="s">
        <v>35</v>
      </c>
      <c r="O110" s="148">
        <v>300</v>
      </c>
      <c r="P110" s="285" t="s">
        <v>35</v>
      </c>
      <c r="Q110" s="148">
        <v>300</v>
      </c>
      <c r="R110" s="285" t="s">
        <v>35</v>
      </c>
      <c r="S110" s="148">
        <v>300</v>
      </c>
      <c r="T110" s="285" t="s">
        <v>35</v>
      </c>
      <c r="U110" s="411">
        <v>300</v>
      </c>
      <c r="V110" s="412" t="s">
        <v>35</v>
      </c>
      <c r="W110" s="411">
        <v>300</v>
      </c>
      <c r="X110" s="412" t="s">
        <v>35</v>
      </c>
      <c r="Y110" s="413">
        <v>300</v>
      </c>
      <c r="Z110" s="414" t="s">
        <v>35</v>
      </c>
      <c r="AA110" s="288"/>
      <c r="AB110" s="289">
        <v>0</v>
      </c>
      <c r="AC110" s="289">
        <v>0</v>
      </c>
      <c r="AD110" s="289">
        <v>0</v>
      </c>
      <c r="AE110" s="289">
        <v>0</v>
      </c>
      <c r="AF110" s="289">
        <v>0</v>
      </c>
      <c r="AG110" s="289">
        <v>0</v>
      </c>
      <c r="AH110" s="289">
        <v>0</v>
      </c>
      <c r="AI110" s="289">
        <v>0</v>
      </c>
      <c r="AJ110" s="289">
        <v>0</v>
      </c>
      <c r="AK110" s="240">
        <v>0</v>
      </c>
    </row>
    <row r="111" spans="1:38" s="20" customFormat="1">
      <c r="A111" s="20">
        <f t="shared" si="9"/>
        <v>62</v>
      </c>
      <c r="B111" s="284" t="s">
        <v>138</v>
      </c>
      <c r="C111" s="285" t="s">
        <v>34</v>
      </c>
      <c r="D111" s="286"/>
      <c r="E111" s="327">
        <v>200</v>
      </c>
      <c r="F111" s="285" t="s">
        <v>35</v>
      </c>
      <c r="G111" s="327">
        <v>200</v>
      </c>
      <c r="H111" s="285" t="s">
        <v>35</v>
      </c>
      <c r="I111" s="327">
        <v>200</v>
      </c>
      <c r="J111" s="285" t="s">
        <v>38</v>
      </c>
      <c r="K111" s="327">
        <v>500</v>
      </c>
      <c r="L111" s="285" t="s">
        <v>35</v>
      </c>
      <c r="M111" s="148">
        <v>500</v>
      </c>
      <c r="N111" s="285" t="s">
        <v>35</v>
      </c>
      <c r="O111" s="148">
        <v>500</v>
      </c>
      <c r="P111" s="285" t="s">
        <v>35</v>
      </c>
      <c r="Q111" s="148">
        <v>500</v>
      </c>
      <c r="R111" s="285" t="s">
        <v>35</v>
      </c>
      <c r="S111" s="148">
        <v>500</v>
      </c>
      <c r="T111" s="285" t="s">
        <v>35</v>
      </c>
      <c r="U111" s="411">
        <v>500</v>
      </c>
      <c r="V111" s="412" t="s">
        <v>35</v>
      </c>
      <c r="W111" s="411">
        <v>500</v>
      </c>
      <c r="X111" s="412" t="s">
        <v>35</v>
      </c>
      <c r="Y111" s="413">
        <v>500</v>
      </c>
      <c r="Z111" s="414" t="s">
        <v>35</v>
      </c>
      <c r="AA111" s="288"/>
      <c r="AB111" s="289">
        <v>0</v>
      </c>
      <c r="AC111" s="289">
        <v>0</v>
      </c>
      <c r="AD111" s="289">
        <v>0</v>
      </c>
      <c r="AE111" s="289">
        <v>0</v>
      </c>
      <c r="AF111" s="289">
        <v>0</v>
      </c>
      <c r="AG111" s="289">
        <v>0</v>
      </c>
      <c r="AH111" s="289">
        <v>0</v>
      </c>
      <c r="AI111" s="289">
        <v>0</v>
      </c>
      <c r="AJ111" s="289">
        <v>0</v>
      </c>
      <c r="AK111" s="240">
        <v>0</v>
      </c>
    </row>
    <row r="112" spans="1:38" s="20" customFormat="1">
      <c r="A112" s="20">
        <f t="shared" si="9"/>
        <v>63</v>
      </c>
      <c r="B112" s="284" t="s">
        <v>139</v>
      </c>
      <c r="C112" s="285" t="s">
        <v>34</v>
      </c>
      <c r="D112" s="286"/>
      <c r="E112" s="327">
        <v>100</v>
      </c>
      <c r="F112" s="285" t="s">
        <v>35</v>
      </c>
      <c r="G112" s="327">
        <v>100</v>
      </c>
      <c r="H112" s="285" t="s">
        <v>35</v>
      </c>
      <c r="I112" s="327">
        <v>100</v>
      </c>
      <c r="J112" s="285" t="s">
        <v>35</v>
      </c>
      <c r="K112" s="327">
        <v>100</v>
      </c>
      <c r="L112" s="285" t="s">
        <v>35</v>
      </c>
      <c r="M112" s="148">
        <v>100</v>
      </c>
      <c r="N112" s="285" t="s">
        <v>35</v>
      </c>
      <c r="O112" s="148">
        <v>100</v>
      </c>
      <c r="P112" s="285" t="s">
        <v>35</v>
      </c>
      <c r="Q112" s="148">
        <v>100</v>
      </c>
      <c r="R112" s="285" t="s">
        <v>35</v>
      </c>
      <c r="S112" s="148">
        <v>100</v>
      </c>
      <c r="T112" s="285" t="s">
        <v>35</v>
      </c>
      <c r="U112" s="411">
        <v>100</v>
      </c>
      <c r="V112" s="412" t="s">
        <v>35</v>
      </c>
      <c r="W112" s="411">
        <v>100</v>
      </c>
      <c r="X112" s="412" t="s">
        <v>35</v>
      </c>
      <c r="Y112" s="413">
        <v>0</v>
      </c>
      <c r="Z112" s="414" t="s">
        <v>35</v>
      </c>
      <c r="AA112" s="288"/>
      <c r="AB112" s="289">
        <v>0</v>
      </c>
      <c r="AC112" s="289">
        <v>0</v>
      </c>
      <c r="AD112" s="289">
        <v>0</v>
      </c>
      <c r="AE112" s="289">
        <v>0</v>
      </c>
      <c r="AF112" s="289">
        <v>0</v>
      </c>
      <c r="AG112" s="289">
        <v>0</v>
      </c>
      <c r="AH112" s="289">
        <v>0</v>
      </c>
      <c r="AI112" s="289">
        <v>0</v>
      </c>
      <c r="AJ112" s="289">
        <v>0</v>
      </c>
      <c r="AK112" s="240">
        <v>0</v>
      </c>
    </row>
    <row r="113" spans="1:37" s="20" customFormat="1">
      <c r="A113" s="20">
        <f t="shared" si="9"/>
        <v>64</v>
      </c>
      <c r="B113" s="284" t="s">
        <v>140</v>
      </c>
      <c r="C113" s="285" t="s">
        <v>34</v>
      </c>
      <c r="D113" s="286"/>
      <c r="E113" s="327">
        <v>50</v>
      </c>
      <c r="F113" s="285" t="s">
        <v>35</v>
      </c>
      <c r="G113" s="327">
        <v>50</v>
      </c>
      <c r="H113" s="285" t="s">
        <v>35</v>
      </c>
      <c r="I113" s="327">
        <v>50</v>
      </c>
      <c r="J113" s="285" t="s">
        <v>35</v>
      </c>
      <c r="K113" s="327">
        <v>50</v>
      </c>
      <c r="L113" s="285" t="s">
        <v>35</v>
      </c>
      <c r="M113" s="148">
        <v>50</v>
      </c>
      <c r="N113" s="285" t="s">
        <v>35</v>
      </c>
      <c r="O113" s="148">
        <v>0</v>
      </c>
      <c r="P113" s="285" t="s">
        <v>35</v>
      </c>
      <c r="Q113" s="148">
        <v>0</v>
      </c>
      <c r="R113" s="285" t="s">
        <v>35</v>
      </c>
      <c r="S113" s="148">
        <v>0</v>
      </c>
      <c r="T113" s="285" t="s">
        <v>35</v>
      </c>
      <c r="U113" s="411">
        <v>0</v>
      </c>
      <c r="V113" s="412" t="s">
        <v>35</v>
      </c>
      <c r="W113" s="411">
        <v>0</v>
      </c>
      <c r="X113" s="412" t="s">
        <v>35</v>
      </c>
      <c r="Y113" s="411">
        <v>0</v>
      </c>
      <c r="Z113" s="412" t="s">
        <v>35</v>
      </c>
      <c r="AA113" s="288"/>
      <c r="AB113" s="289">
        <v>0</v>
      </c>
      <c r="AC113" s="289">
        <v>0</v>
      </c>
      <c r="AD113" s="289">
        <v>0</v>
      </c>
      <c r="AE113" s="289">
        <v>0</v>
      </c>
      <c r="AF113" s="289">
        <v>0</v>
      </c>
      <c r="AG113" s="289">
        <v>0</v>
      </c>
      <c r="AH113" s="289">
        <v>0</v>
      </c>
      <c r="AI113" s="289">
        <v>0</v>
      </c>
      <c r="AJ113" s="289">
        <v>0</v>
      </c>
      <c r="AK113" s="240">
        <v>0</v>
      </c>
    </row>
    <row r="114" spans="1:37" s="20" customFormat="1">
      <c r="A114" s="20">
        <f t="shared" si="9"/>
        <v>65</v>
      </c>
      <c r="B114" s="284" t="s">
        <v>141</v>
      </c>
      <c r="C114" s="285" t="s">
        <v>34</v>
      </c>
      <c r="D114" s="286"/>
      <c r="E114" s="327">
        <v>50</v>
      </c>
      <c r="F114" s="285" t="s">
        <v>35</v>
      </c>
      <c r="G114" s="327">
        <v>50</v>
      </c>
      <c r="H114" s="285" t="s">
        <v>35</v>
      </c>
      <c r="I114" s="327">
        <v>50</v>
      </c>
      <c r="J114" s="285" t="s">
        <v>35</v>
      </c>
      <c r="K114" s="327">
        <v>50</v>
      </c>
      <c r="L114" s="285" t="s">
        <v>35</v>
      </c>
      <c r="M114" s="148">
        <v>50</v>
      </c>
      <c r="N114" s="285" t="s">
        <v>35</v>
      </c>
      <c r="O114" s="148">
        <v>50</v>
      </c>
      <c r="P114" s="285" t="s">
        <v>35</v>
      </c>
      <c r="Q114" s="148">
        <v>0</v>
      </c>
      <c r="R114" s="285" t="s">
        <v>35</v>
      </c>
      <c r="S114" s="148">
        <v>0</v>
      </c>
      <c r="T114" s="285" t="s">
        <v>35</v>
      </c>
      <c r="U114" s="411">
        <v>0</v>
      </c>
      <c r="V114" s="412" t="s">
        <v>35</v>
      </c>
      <c r="W114" s="411">
        <v>0</v>
      </c>
      <c r="X114" s="412" t="s">
        <v>35</v>
      </c>
      <c r="Y114" s="411">
        <v>0</v>
      </c>
      <c r="Z114" s="412" t="s">
        <v>35</v>
      </c>
      <c r="AA114" s="288"/>
      <c r="AB114" s="289">
        <v>0</v>
      </c>
      <c r="AC114" s="289">
        <v>0</v>
      </c>
      <c r="AD114" s="289">
        <v>0</v>
      </c>
      <c r="AE114" s="289">
        <v>0</v>
      </c>
      <c r="AF114" s="289">
        <v>0</v>
      </c>
      <c r="AG114" s="289">
        <v>0</v>
      </c>
      <c r="AH114" s="289">
        <v>0</v>
      </c>
      <c r="AI114" s="289">
        <v>0</v>
      </c>
      <c r="AJ114" s="289">
        <v>0</v>
      </c>
      <c r="AK114" s="240">
        <v>0</v>
      </c>
    </row>
    <row r="115" spans="1:37" s="20" customFormat="1">
      <c r="A115" s="20">
        <f t="shared" si="9"/>
        <v>66</v>
      </c>
      <c r="B115" s="284" t="s">
        <v>142</v>
      </c>
      <c r="C115" s="285" t="s">
        <v>34</v>
      </c>
      <c r="D115" s="286"/>
      <c r="E115" s="327">
        <v>50</v>
      </c>
      <c r="F115" s="285" t="s">
        <v>35</v>
      </c>
      <c r="G115" s="327">
        <v>50</v>
      </c>
      <c r="H115" s="285" t="s">
        <v>35</v>
      </c>
      <c r="I115" s="327">
        <v>200</v>
      </c>
      <c r="J115" s="285" t="s">
        <v>35</v>
      </c>
      <c r="K115" s="327">
        <v>200</v>
      </c>
      <c r="L115" s="285" t="s">
        <v>35</v>
      </c>
      <c r="M115" s="148">
        <v>200</v>
      </c>
      <c r="N115" s="285" t="s">
        <v>35</v>
      </c>
      <c r="O115" s="148">
        <v>200</v>
      </c>
      <c r="P115" s="285" t="s">
        <v>35</v>
      </c>
      <c r="Q115" s="148">
        <v>200</v>
      </c>
      <c r="R115" s="285" t="s">
        <v>35</v>
      </c>
      <c r="S115" s="148">
        <v>200</v>
      </c>
      <c r="T115" s="285" t="s">
        <v>35</v>
      </c>
      <c r="U115" s="411">
        <v>200</v>
      </c>
      <c r="V115" s="412" t="s">
        <v>35</v>
      </c>
      <c r="W115" s="411">
        <v>200</v>
      </c>
      <c r="X115" s="412" t="s">
        <v>35</v>
      </c>
      <c r="Y115" s="413">
        <v>200</v>
      </c>
      <c r="Z115" s="414" t="s">
        <v>35</v>
      </c>
      <c r="AA115" s="288"/>
      <c r="AB115" s="289">
        <v>0</v>
      </c>
      <c r="AC115" s="289">
        <v>0</v>
      </c>
      <c r="AD115" s="289">
        <v>0</v>
      </c>
      <c r="AE115" s="289">
        <v>0</v>
      </c>
      <c r="AF115" s="289">
        <v>0</v>
      </c>
      <c r="AG115" s="289">
        <v>0</v>
      </c>
      <c r="AH115" s="289">
        <v>0</v>
      </c>
      <c r="AI115" s="289">
        <v>0</v>
      </c>
      <c r="AJ115" s="289">
        <v>0</v>
      </c>
      <c r="AK115" s="240">
        <v>0</v>
      </c>
    </row>
    <row r="116" spans="1:37" s="20" customFormat="1">
      <c r="A116" s="20">
        <f t="shared" si="9"/>
        <v>67</v>
      </c>
      <c r="B116" s="284" t="s">
        <v>143</v>
      </c>
      <c r="C116" s="285" t="s">
        <v>34</v>
      </c>
      <c r="D116" s="286"/>
      <c r="E116" s="327">
        <v>0</v>
      </c>
      <c r="F116" s="285" t="s">
        <v>35</v>
      </c>
      <c r="G116" s="327">
        <v>0</v>
      </c>
      <c r="H116" s="285" t="s">
        <v>35</v>
      </c>
      <c r="I116" s="327">
        <v>400</v>
      </c>
      <c r="J116" s="285" t="s">
        <v>35</v>
      </c>
      <c r="K116" s="327">
        <v>400</v>
      </c>
      <c r="L116" s="285" t="s">
        <v>35</v>
      </c>
      <c r="M116" s="148">
        <v>400</v>
      </c>
      <c r="N116" s="285" t="s">
        <v>35</v>
      </c>
      <c r="O116" s="148">
        <v>400</v>
      </c>
      <c r="P116" s="285" t="s">
        <v>35</v>
      </c>
      <c r="Q116" s="148">
        <v>400</v>
      </c>
      <c r="R116" s="285" t="s">
        <v>35</v>
      </c>
      <c r="S116" s="148">
        <v>400</v>
      </c>
      <c r="T116" s="285" t="s">
        <v>35</v>
      </c>
      <c r="U116" s="411">
        <v>400</v>
      </c>
      <c r="V116" s="412" t="s">
        <v>35</v>
      </c>
      <c r="W116" s="411">
        <v>400</v>
      </c>
      <c r="X116" s="412" t="s">
        <v>35</v>
      </c>
      <c r="Y116" s="413">
        <v>400</v>
      </c>
      <c r="Z116" s="414" t="s">
        <v>35</v>
      </c>
      <c r="AA116" s="288"/>
      <c r="AB116" s="289">
        <v>0</v>
      </c>
      <c r="AC116" s="289">
        <v>0</v>
      </c>
      <c r="AD116" s="289">
        <v>0</v>
      </c>
      <c r="AE116" s="289">
        <v>0</v>
      </c>
      <c r="AF116" s="289">
        <v>0</v>
      </c>
      <c r="AG116" s="289">
        <v>0</v>
      </c>
      <c r="AH116" s="289">
        <v>0</v>
      </c>
      <c r="AI116" s="289">
        <v>0</v>
      </c>
      <c r="AJ116" s="289">
        <v>0</v>
      </c>
      <c r="AK116" s="240">
        <v>0</v>
      </c>
    </row>
    <row r="117" spans="1:37" s="20" customFormat="1">
      <c r="A117" s="20">
        <f t="shared" si="9"/>
        <v>68</v>
      </c>
      <c r="B117" s="284" t="s">
        <v>144</v>
      </c>
      <c r="C117" s="285" t="s">
        <v>34</v>
      </c>
      <c r="D117" s="286"/>
      <c r="E117" s="327">
        <v>100</v>
      </c>
      <c r="F117" s="285" t="s">
        <v>35</v>
      </c>
      <c r="G117" s="327">
        <v>500</v>
      </c>
      <c r="H117" s="285" t="s">
        <v>35</v>
      </c>
      <c r="I117" s="327">
        <v>500</v>
      </c>
      <c r="J117" s="285" t="s">
        <v>35</v>
      </c>
      <c r="K117" s="327">
        <v>500</v>
      </c>
      <c r="L117" s="285" t="s">
        <v>35</v>
      </c>
      <c r="M117" s="148">
        <v>500</v>
      </c>
      <c r="N117" s="285" t="s">
        <v>35</v>
      </c>
      <c r="O117" s="148">
        <v>500</v>
      </c>
      <c r="P117" s="285" t="s">
        <v>35</v>
      </c>
      <c r="Q117" s="148">
        <v>500</v>
      </c>
      <c r="R117" s="285" t="s">
        <v>35</v>
      </c>
      <c r="S117" s="148">
        <v>500</v>
      </c>
      <c r="T117" s="285" t="s">
        <v>35</v>
      </c>
      <c r="U117" s="411">
        <v>500</v>
      </c>
      <c r="V117" s="412" t="s">
        <v>35</v>
      </c>
      <c r="W117" s="411">
        <v>500</v>
      </c>
      <c r="X117" s="412" t="s">
        <v>35</v>
      </c>
      <c r="Y117" s="413">
        <v>500</v>
      </c>
      <c r="Z117" s="414" t="s">
        <v>35</v>
      </c>
      <c r="AA117" s="288"/>
      <c r="AB117" s="289">
        <v>0</v>
      </c>
      <c r="AC117" s="289">
        <v>0</v>
      </c>
      <c r="AD117" s="289">
        <v>0</v>
      </c>
      <c r="AE117" s="289">
        <v>0</v>
      </c>
      <c r="AF117" s="289">
        <v>0</v>
      </c>
      <c r="AG117" s="289">
        <v>0</v>
      </c>
      <c r="AH117" s="289">
        <v>0</v>
      </c>
      <c r="AI117" s="289">
        <v>0</v>
      </c>
      <c r="AJ117" s="289">
        <v>0</v>
      </c>
      <c r="AK117" s="240">
        <v>0</v>
      </c>
    </row>
    <row r="118" spans="1:37" s="20" customFormat="1">
      <c r="A118" s="20">
        <f t="shared" si="9"/>
        <v>69</v>
      </c>
      <c r="B118" s="284" t="s">
        <v>145</v>
      </c>
      <c r="C118" s="285" t="s">
        <v>34</v>
      </c>
      <c r="D118" s="286"/>
      <c r="E118" s="327">
        <v>500</v>
      </c>
      <c r="F118" s="285" t="s">
        <v>35</v>
      </c>
      <c r="G118" s="327">
        <v>500</v>
      </c>
      <c r="H118" s="285" t="s">
        <v>35</v>
      </c>
      <c r="I118" s="327">
        <v>500</v>
      </c>
      <c r="J118" s="285" t="s">
        <v>35</v>
      </c>
      <c r="K118" s="327">
        <v>500</v>
      </c>
      <c r="L118" s="285" t="s">
        <v>35</v>
      </c>
      <c r="M118" s="148">
        <v>500</v>
      </c>
      <c r="N118" s="285" t="s">
        <v>35</v>
      </c>
      <c r="O118" s="148">
        <v>500</v>
      </c>
      <c r="P118" s="285" t="s">
        <v>35</v>
      </c>
      <c r="Q118" s="148">
        <v>500</v>
      </c>
      <c r="R118" s="285" t="s">
        <v>35</v>
      </c>
      <c r="S118" s="148">
        <v>500</v>
      </c>
      <c r="T118" s="285" t="s">
        <v>35</v>
      </c>
      <c r="U118" s="411">
        <v>500</v>
      </c>
      <c r="V118" s="412" t="s">
        <v>35</v>
      </c>
      <c r="W118" s="411">
        <v>500</v>
      </c>
      <c r="X118" s="412" t="s">
        <v>35</v>
      </c>
      <c r="Y118" s="413">
        <v>500</v>
      </c>
      <c r="Z118" s="414" t="s">
        <v>35</v>
      </c>
      <c r="AA118" s="288"/>
      <c r="AB118" s="289">
        <v>0</v>
      </c>
      <c r="AC118" s="289">
        <v>0</v>
      </c>
      <c r="AD118" s="289">
        <v>0</v>
      </c>
      <c r="AE118" s="289">
        <v>0</v>
      </c>
      <c r="AF118" s="289">
        <v>0</v>
      </c>
      <c r="AG118" s="289">
        <v>0</v>
      </c>
      <c r="AH118" s="289">
        <v>0</v>
      </c>
      <c r="AI118" s="289">
        <v>0</v>
      </c>
      <c r="AJ118" s="289">
        <v>0</v>
      </c>
      <c r="AK118" s="240">
        <v>0</v>
      </c>
    </row>
    <row r="119" spans="1:37" s="20" customFormat="1">
      <c r="A119" s="20">
        <f t="shared" si="9"/>
        <v>70</v>
      </c>
      <c r="B119" s="284" t="s">
        <v>146</v>
      </c>
      <c r="C119" s="285" t="s">
        <v>34</v>
      </c>
      <c r="D119" s="286"/>
      <c r="E119" s="327">
        <v>50</v>
      </c>
      <c r="F119" s="285" t="s">
        <v>35</v>
      </c>
      <c r="G119" s="327">
        <v>50</v>
      </c>
      <c r="H119" s="285" t="s">
        <v>35</v>
      </c>
      <c r="I119" s="327">
        <v>50</v>
      </c>
      <c r="J119" s="285" t="s">
        <v>35</v>
      </c>
      <c r="K119" s="327">
        <v>50</v>
      </c>
      <c r="L119" s="285" t="s">
        <v>35</v>
      </c>
      <c r="M119" s="148">
        <v>50</v>
      </c>
      <c r="N119" s="285" t="s">
        <v>35</v>
      </c>
      <c r="O119" s="148">
        <v>0</v>
      </c>
      <c r="P119" s="285" t="s">
        <v>35</v>
      </c>
      <c r="Q119" s="148">
        <v>0</v>
      </c>
      <c r="R119" s="285" t="s">
        <v>35</v>
      </c>
      <c r="S119" s="148">
        <v>0</v>
      </c>
      <c r="T119" s="285" t="s">
        <v>35</v>
      </c>
      <c r="U119" s="411">
        <v>0</v>
      </c>
      <c r="V119" s="412" t="s">
        <v>35</v>
      </c>
      <c r="W119" s="411">
        <v>0</v>
      </c>
      <c r="X119" s="412" t="s">
        <v>35</v>
      </c>
      <c r="Y119" s="411">
        <v>0</v>
      </c>
      <c r="Z119" s="412" t="s">
        <v>35</v>
      </c>
      <c r="AA119" s="288"/>
      <c r="AB119" s="289">
        <v>0</v>
      </c>
      <c r="AC119" s="289">
        <v>0</v>
      </c>
      <c r="AD119" s="289">
        <v>0</v>
      </c>
      <c r="AE119" s="289">
        <v>0</v>
      </c>
      <c r="AF119" s="289">
        <v>0</v>
      </c>
      <c r="AG119" s="289">
        <v>0</v>
      </c>
      <c r="AH119" s="289">
        <v>0</v>
      </c>
      <c r="AI119" s="289">
        <v>0</v>
      </c>
      <c r="AJ119" s="289">
        <v>0</v>
      </c>
      <c r="AK119" s="240">
        <v>0</v>
      </c>
    </row>
    <row r="120" spans="1:37" s="20" customFormat="1">
      <c r="A120" s="20">
        <f t="shared" ref="A120:A132" si="10">+A119+1</f>
        <v>71</v>
      </c>
      <c r="B120" s="284" t="s">
        <v>147</v>
      </c>
      <c r="C120" s="285" t="s">
        <v>34</v>
      </c>
      <c r="D120" s="286"/>
      <c r="E120" s="327">
        <v>50</v>
      </c>
      <c r="F120" s="285" t="s">
        <v>35</v>
      </c>
      <c r="G120" s="327">
        <v>50</v>
      </c>
      <c r="H120" s="285" t="s">
        <v>35</v>
      </c>
      <c r="I120" s="327">
        <v>50</v>
      </c>
      <c r="J120" s="285" t="s">
        <v>35</v>
      </c>
      <c r="K120" s="327">
        <v>50</v>
      </c>
      <c r="L120" s="285" t="s">
        <v>35</v>
      </c>
      <c r="M120" s="148">
        <v>50</v>
      </c>
      <c r="N120" s="285" t="s">
        <v>35</v>
      </c>
      <c r="O120" s="148">
        <v>50</v>
      </c>
      <c r="P120" s="285" t="s">
        <v>35</v>
      </c>
      <c r="Q120" s="148">
        <v>0</v>
      </c>
      <c r="R120" s="285" t="s">
        <v>35</v>
      </c>
      <c r="S120" s="148">
        <v>0</v>
      </c>
      <c r="T120" s="285" t="s">
        <v>35</v>
      </c>
      <c r="U120" s="411">
        <v>0</v>
      </c>
      <c r="V120" s="412" t="s">
        <v>35</v>
      </c>
      <c r="W120" s="411">
        <v>0</v>
      </c>
      <c r="X120" s="412" t="s">
        <v>35</v>
      </c>
      <c r="Y120" s="411">
        <v>0</v>
      </c>
      <c r="Z120" s="412" t="s">
        <v>35</v>
      </c>
      <c r="AA120" s="288"/>
      <c r="AB120" s="289">
        <v>0</v>
      </c>
      <c r="AC120" s="289">
        <v>0</v>
      </c>
      <c r="AD120" s="289">
        <v>0</v>
      </c>
      <c r="AE120" s="289">
        <v>0</v>
      </c>
      <c r="AF120" s="289">
        <v>0</v>
      </c>
      <c r="AG120" s="289">
        <v>0</v>
      </c>
      <c r="AH120" s="289">
        <v>0</v>
      </c>
      <c r="AI120" s="289">
        <v>0</v>
      </c>
      <c r="AJ120" s="289">
        <v>0</v>
      </c>
      <c r="AK120" s="240">
        <v>0</v>
      </c>
    </row>
    <row r="121" spans="1:37" s="20" customFormat="1">
      <c r="A121" s="20">
        <f t="shared" si="10"/>
        <v>72</v>
      </c>
      <c r="B121" s="284" t="s">
        <v>148</v>
      </c>
      <c r="C121" s="285" t="s">
        <v>33</v>
      </c>
      <c r="D121" s="286">
        <v>0.7</v>
      </c>
      <c r="E121" s="327">
        <v>10</v>
      </c>
      <c r="F121" s="285" t="s">
        <v>163</v>
      </c>
      <c r="G121" s="327">
        <v>10</v>
      </c>
      <c r="H121" s="285" t="s">
        <v>163</v>
      </c>
      <c r="I121" s="327">
        <v>10</v>
      </c>
      <c r="J121" s="285" t="s">
        <v>38</v>
      </c>
      <c r="K121" s="327">
        <v>10</v>
      </c>
      <c r="L121" s="285" t="s">
        <v>38</v>
      </c>
      <c r="M121" s="148">
        <v>10</v>
      </c>
      <c r="N121" s="285" t="s">
        <v>38</v>
      </c>
      <c r="O121" s="148">
        <v>10</v>
      </c>
      <c r="P121" s="285" t="s">
        <v>38</v>
      </c>
      <c r="Q121" s="148">
        <v>10</v>
      </c>
      <c r="R121" s="285" t="s">
        <v>38</v>
      </c>
      <c r="S121" s="148">
        <v>10</v>
      </c>
      <c r="T121" s="285" t="s">
        <v>38</v>
      </c>
      <c r="U121" s="411">
        <v>10</v>
      </c>
      <c r="V121" s="412" t="s">
        <v>38</v>
      </c>
      <c r="W121" s="411">
        <v>10</v>
      </c>
      <c r="X121" s="412" t="s">
        <v>38</v>
      </c>
      <c r="Y121" s="413">
        <v>10</v>
      </c>
      <c r="Z121" s="414" t="s">
        <v>38</v>
      </c>
      <c r="AA121" s="288"/>
      <c r="AB121" s="289">
        <v>0</v>
      </c>
      <c r="AC121" s="289">
        <v>0</v>
      </c>
      <c r="AD121" s="289">
        <v>0</v>
      </c>
      <c r="AE121" s="289">
        <v>0</v>
      </c>
      <c r="AF121" s="289">
        <v>0</v>
      </c>
      <c r="AG121" s="289">
        <v>0</v>
      </c>
      <c r="AH121" s="289">
        <v>0</v>
      </c>
      <c r="AI121" s="289">
        <v>0</v>
      </c>
      <c r="AJ121" s="289">
        <v>0</v>
      </c>
      <c r="AK121" s="240">
        <v>0</v>
      </c>
    </row>
    <row r="122" spans="1:37" s="20" customFormat="1">
      <c r="A122" s="20">
        <f t="shared" si="10"/>
        <v>73</v>
      </c>
      <c r="B122" s="284" t="s">
        <v>149</v>
      </c>
      <c r="C122" s="285" t="s">
        <v>33</v>
      </c>
      <c r="D122" s="286">
        <v>5.0999999999999996</v>
      </c>
      <c r="E122" s="327">
        <v>5</v>
      </c>
      <c r="F122" s="285" t="s">
        <v>32</v>
      </c>
      <c r="G122" s="327">
        <v>5</v>
      </c>
      <c r="H122" s="285" t="s">
        <v>32</v>
      </c>
      <c r="I122" s="327">
        <v>5</v>
      </c>
      <c r="J122" s="285" t="s">
        <v>32</v>
      </c>
      <c r="K122" s="327">
        <v>0</v>
      </c>
      <c r="L122" s="285" t="s">
        <v>161</v>
      </c>
      <c r="M122" s="148">
        <v>0</v>
      </c>
      <c r="N122" s="285" t="s">
        <v>161</v>
      </c>
      <c r="O122" s="148">
        <v>0</v>
      </c>
      <c r="P122" s="285" t="s">
        <v>161</v>
      </c>
      <c r="Q122" s="148">
        <v>0</v>
      </c>
      <c r="R122" s="285" t="s">
        <v>161</v>
      </c>
      <c r="S122" s="148">
        <v>0</v>
      </c>
      <c r="T122" s="285" t="s">
        <v>161</v>
      </c>
      <c r="U122" s="411">
        <v>0</v>
      </c>
      <c r="V122" s="412" t="s">
        <v>161</v>
      </c>
      <c r="W122" s="411">
        <v>0</v>
      </c>
      <c r="X122" s="412" t="s">
        <v>161</v>
      </c>
      <c r="Y122" s="411">
        <v>0</v>
      </c>
      <c r="Z122" s="412" t="s">
        <v>161</v>
      </c>
      <c r="AA122" s="288"/>
      <c r="AB122" s="289">
        <v>0</v>
      </c>
      <c r="AC122" s="289">
        <v>0</v>
      </c>
      <c r="AD122" s="289">
        <v>0</v>
      </c>
      <c r="AE122" s="289">
        <v>0</v>
      </c>
      <c r="AF122" s="289">
        <v>0</v>
      </c>
      <c r="AG122" s="289">
        <v>0</v>
      </c>
      <c r="AH122" s="289">
        <v>0</v>
      </c>
      <c r="AI122" s="289">
        <v>0</v>
      </c>
      <c r="AJ122" s="289">
        <v>0</v>
      </c>
      <c r="AK122" s="240">
        <v>0</v>
      </c>
    </row>
    <row r="123" spans="1:37" s="20" customFormat="1">
      <c r="A123" s="20">
        <f t="shared" si="10"/>
        <v>74</v>
      </c>
      <c r="B123" s="284" t="s">
        <v>150</v>
      </c>
      <c r="C123" s="285" t="s">
        <v>33</v>
      </c>
      <c r="D123" s="286"/>
      <c r="E123" s="327">
        <v>100</v>
      </c>
      <c r="F123" s="285" t="s">
        <v>32</v>
      </c>
      <c r="G123" s="327">
        <v>100</v>
      </c>
      <c r="H123" s="285" t="s">
        <v>32</v>
      </c>
      <c r="I123" s="327">
        <v>100</v>
      </c>
      <c r="J123" s="285" t="s">
        <v>32</v>
      </c>
      <c r="K123" s="327">
        <v>100</v>
      </c>
      <c r="L123" s="285" t="s">
        <v>32</v>
      </c>
      <c r="M123" s="148">
        <v>100</v>
      </c>
      <c r="N123" s="285" t="s">
        <v>32</v>
      </c>
      <c r="O123" s="148">
        <v>100</v>
      </c>
      <c r="P123" s="285" t="s">
        <v>32</v>
      </c>
      <c r="Q123" s="148">
        <v>100</v>
      </c>
      <c r="R123" s="285" t="s">
        <v>32</v>
      </c>
      <c r="S123" s="148">
        <v>100</v>
      </c>
      <c r="T123" s="285" t="s">
        <v>32</v>
      </c>
      <c r="U123" s="411">
        <v>100</v>
      </c>
      <c r="V123" s="412" t="s">
        <v>32</v>
      </c>
      <c r="W123" s="411">
        <v>95</v>
      </c>
      <c r="X123" s="412" t="s">
        <v>32</v>
      </c>
      <c r="Y123" s="413">
        <v>95</v>
      </c>
      <c r="Z123" s="414" t="s">
        <v>32</v>
      </c>
      <c r="AA123" s="288"/>
      <c r="AB123" s="289">
        <v>0</v>
      </c>
      <c r="AC123" s="289">
        <v>0</v>
      </c>
      <c r="AD123" s="289">
        <v>207700</v>
      </c>
      <c r="AE123" s="289">
        <v>119900</v>
      </c>
      <c r="AF123" s="289">
        <v>41300</v>
      </c>
      <c r="AG123" s="289">
        <v>160500</v>
      </c>
      <c r="AH123" s="289">
        <v>131300</v>
      </c>
      <c r="AI123" s="289">
        <v>0</v>
      </c>
      <c r="AJ123" s="289">
        <v>0</v>
      </c>
      <c r="AK123" s="240">
        <v>188955</v>
      </c>
    </row>
    <row r="124" spans="1:37" s="20" customFormat="1">
      <c r="A124" s="20">
        <f t="shared" si="10"/>
        <v>75</v>
      </c>
      <c r="B124" s="284" t="s">
        <v>151</v>
      </c>
      <c r="C124" s="285" t="s">
        <v>33</v>
      </c>
      <c r="D124" s="286"/>
      <c r="E124" s="327">
        <v>150</v>
      </c>
      <c r="F124" s="285" t="s">
        <v>32</v>
      </c>
      <c r="G124" s="327">
        <v>150</v>
      </c>
      <c r="H124" s="285" t="s">
        <v>32</v>
      </c>
      <c r="I124" s="327">
        <v>150</v>
      </c>
      <c r="J124" s="285" t="s">
        <v>32</v>
      </c>
      <c r="K124" s="327">
        <v>150</v>
      </c>
      <c r="L124" s="285" t="s">
        <v>32</v>
      </c>
      <c r="M124" s="148">
        <v>150</v>
      </c>
      <c r="N124" s="285" t="s">
        <v>32</v>
      </c>
      <c r="O124" s="148">
        <v>200</v>
      </c>
      <c r="P124" s="285" t="s">
        <v>32</v>
      </c>
      <c r="Q124" s="148">
        <v>200</v>
      </c>
      <c r="R124" s="285" t="s">
        <v>32</v>
      </c>
      <c r="S124" s="148">
        <v>200</v>
      </c>
      <c r="T124" s="285" t="s">
        <v>32</v>
      </c>
      <c r="U124" s="411">
        <v>200</v>
      </c>
      <c r="V124" s="412" t="s">
        <v>32</v>
      </c>
      <c r="W124" s="411">
        <v>200</v>
      </c>
      <c r="X124" s="412" t="s">
        <v>32</v>
      </c>
      <c r="Y124" s="413">
        <v>200</v>
      </c>
      <c r="Z124" s="412" t="s">
        <v>32</v>
      </c>
      <c r="AA124" s="288"/>
      <c r="AB124" s="289">
        <v>0</v>
      </c>
      <c r="AC124" s="289">
        <v>0</v>
      </c>
      <c r="AD124" s="289">
        <v>54300</v>
      </c>
      <c r="AE124" s="289">
        <v>57150</v>
      </c>
      <c r="AF124" s="289">
        <v>50925</v>
      </c>
      <c r="AG124" s="289">
        <v>69400</v>
      </c>
      <c r="AH124" s="289">
        <v>68800</v>
      </c>
      <c r="AI124" s="289">
        <v>111400</v>
      </c>
      <c r="AJ124" s="289">
        <v>125600</v>
      </c>
      <c r="AK124" s="240">
        <v>131200</v>
      </c>
    </row>
    <row r="125" spans="1:37" s="20" customFormat="1">
      <c r="A125" s="20">
        <f t="shared" si="10"/>
        <v>76</v>
      </c>
      <c r="B125" s="284" t="s">
        <v>152</v>
      </c>
      <c r="C125" s="285" t="s">
        <v>33</v>
      </c>
      <c r="D125" s="286"/>
      <c r="E125" s="327">
        <v>206</v>
      </c>
      <c r="F125" s="285" t="s">
        <v>32</v>
      </c>
      <c r="G125" s="327">
        <v>206</v>
      </c>
      <c r="H125" s="285" t="s">
        <v>32</v>
      </c>
      <c r="I125" s="327">
        <v>206</v>
      </c>
      <c r="J125" s="285" t="s">
        <v>32</v>
      </c>
      <c r="K125" s="327">
        <v>206</v>
      </c>
      <c r="L125" s="285" t="s">
        <v>32</v>
      </c>
      <c r="M125" s="148">
        <v>206</v>
      </c>
      <c r="N125" s="285" t="s">
        <v>32</v>
      </c>
      <c r="O125" s="148">
        <v>206</v>
      </c>
      <c r="P125" s="285" t="s">
        <v>32</v>
      </c>
      <c r="Q125" s="148">
        <v>206</v>
      </c>
      <c r="R125" s="285" t="s">
        <v>32</v>
      </c>
      <c r="S125" s="148">
        <v>206</v>
      </c>
      <c r="T125" s="285" t="s">
        <v>32</v>
      </c>
      <c r="U125" s="411">
        <v>206</v>
      </c>
      <c r="V125" s="412" t="s">
        <v>32</v>
      </c>
      <c r="W125" s="411">
        <v>206</v>
      </c>
      <c r="X125" s="412" t="s">
        <v>32</v>
      </c>
      <c r="Y125" s="413">
        <v>206</v>
      </c>
      <c r="Z125" s="414" t="s">
        <v>32</v>
      </c>
      <c r="AA125" s="288"/>
      <c r="AB125" s="289">
        <v>0</v>
      </c>
      <c r="AC125" s="289">
        <v>0</v>
      </c>
      <c r="AD125" s="289">
        <v>6761.3</v>
      </c>
      <c r="AE125" s="289">
        <v>6833.23</v>
      </c>
      <c r="AF125" s="289">
        <v>79104</v>
      </c>
      <c r="AG125" s="289">
        <v>79104</v>
      </c>
      <c r="AH125" s="289">
        <v>83842</v>
      </c>
      <c r="AI125" s="289">
        <v>87756</v>
      </c>
      <c r="AJ125" s="289">
        <v>91052</v>
      </c>
      <c r="AK125" s="240">
        <v>91052</v>
      </c>
    </row>
    <row r="126" spans="1:37" s="20" customFormat="1">
      <c r="A126" s="20">
        <f t="shared" si="10"/>
        <v>77</v>
      </c>
      <c r="B126" s="284" t="s">
        <v>153</v>
      </c>
      <c r="C126" s="285" t="s">
        <v>33</v>
      </c>
      <c r="D126" s="286"/>
      <c r="E126" s="327">
        <v>103</v>
      </c>
      <c r="F126" s="285" t="s">
        <v>32</v>
      </c>
      <c r="G126" s="327">
        <v>103</v>
      </c>
      <c r="H126" s="285" t="s">
        <v>32</v>
      </c>
      <c r="I126" s="327">
        <v>103</v>
      </c>
      <c r="J126" s="285" t="s">
        <v>32</v>
      </c>
      <c r="K126" s="327">
        <v>103</v>
      </c>
      <c r="L126" s="285" t="s">
        <v>32</v>
      </c>
      <c r="M126" s="148">
        <v>103</v>
      </c>
      <c r="N126" s="285" t="s">
        <v>32</v>
      </c>
      <c r="O126" s="148">
        <v>103</v>
      </c>
      <c r="P126" s="285" t="s">
        <v>32</v>
      </c>
      <c r="Q126" s="148">
        <v>103</v>
      </c>
      <c r="R126" s="285" t="s">
        <v>32</v>
      </c>
      <c r="S126" s="148">
        <v>103</v>
      </c>
      <c r="T126" s="285" t="s">
        <v>32</v>
      </c>
      <c r="U126" s="411">
        <v>103</v>
      </c>
      <c r="V126" s="412" t="s">
        <v>32</v>
      </c>
      <c r="W126" s="411">
        <v>103</v>
      </c>
      <c r="X126" s="412" t="s">
        <v>32</v>
      </c>
      <c r="Y126" s="413">
        <v>103</v>
      </c>
      <c r="Z126" s="414" t="s">
        <v>32</v>
      </c>
      <c r="AA126" s="288"/>
      <c r="AB126" s="289">
        <v>0</v>
      </c>
      <c r="AC126" s="289">
        <v>0</v>
      </c>
      <c r="AD126" s="289">
        <v>3380.65</v>
      </c>
      <c r="AE126" s="289">
        <v>3416.61</v>
      </c>
      <c r="AF126" s="289">
        <v>9682</v>
      </c>
      <c r="AG126" s="289">
        <v>9373</v>
      </c>
      <c r="AH126" s="289">
        <v>9888</v>
      </c>
      <c r="AI126" s="289">
        <v>9682</v>
      </c>
      <c r="AJ126" s="289">
        <v>9373</v>
      </c>
      <c r="AK126" s="240">
        <v>9785</v>
      </c>
    </row>
    <row r="127" spans="1:37" s="20" customFormat="1">
      <c r="A127" s="20">
        <f t="shared" si="10"/>
        <v>78</v>
      </c>
      <c r="B127" s="284" t="s">
        <v>154</v>
      </c>
      <c r="C127" s="285" t="s">
        <v>33</v>
      </c>
      <c r="D127" s="286"/>
      <c r="E127" s="327">
        <v>150</v>
      </c>
      <c r="F127" s="285" t="s">
        <v>32</v>
      </c>
      <c r="G127" s="327">
        <v>150</v>
      </c>
      <c r="H127" s="285" t="s">
        <v>32</v>
      </c>
      <c r="I127" s="327">
        <v>150</v>
      </c>
      <c r="J127" s="285" t="s">
        <v>32</v>
      </c>
      <c r="K127" s="327">
        <v>150</v>
      </c>
      <c r="L127" s="285" t="s">
        <v>32</v>
      </c>
      <c r="M127" s="148">
        <v>150</v>
      </c>
      <c r="N127" s="285" t="s">
        <v>32</v>
      </c>
      <c r="O127" s="148">
        <v>155</v>
      </c>
      <c r="P127" s="285" t="s">
        <v>32</v>
      </c>
      <c r="Q127" s="148">
        <v>155</v>
      </c>
      <c r="R127" s="285" t="s">
        <v>32</v>
      </c>
      <c r="S127" s="148">
        <v>155</v>
      </c>
      <c r="T127" s="285" t="s">
        <v>32</v>
      </c>
      <c r="U127" s="411">
        <v>159</v>
      </c>
      <c r="V127" s="412" t="s">
        <v>32</v>
      </c>
      <c r="W127" s="411">
        <v>165</v>
      </c>
      <c r="X127" s="412" t="s">
        <v>32</v>
      </c>
      <c r="Y127" s="413">
        <v>172</v>
      </c>
      <c r="Z127" s="414" t="s">
        <v>32</v>
      </c>
      <c r="AA127" s="288"/>
      <c r="AB127" s="289">
        <v>0</v>
      </c>
      <c r="AC127" s="289">
        <v>0</v>
      </c>
      <c r="AD127" s="289">
        <v>150150</v>
      </c>
      <c r="AE127" s="289">
        <v>191250</v>
      </c>
      <c r="AF127" s="289">
        <v>152662.5</v>
      </c>
      <c r="AG127" s="289">
        <v>162130</v>
      </c>
      <c r="AH127" s="289">
        <v>160890</v>
      </c>
      <c r="AI127" s="289">
        <v>157945</v>
      </c>
      <c r="AJ127" s="289">
        <v>165364</v>
      </c>
      <c r="AK127" s="240">
        <v>169785</v>
      </c>
    </row>
    <row r="128" spans="1:37" s="20" customFormat="1">
      <c r="A128" s="20">
        <f t="shared" si="10"/>
        <v>79</v>
      </c>
      <c r="B128" s="284" t="s">
        <v>155</v>
      </c>
      <c r="C128" s="285" t="s">
        <v>33</v>
      </c>
      <c r="D128" s="286"/>
      <c r="E128" s="327">
        <v>100</v>
      </c>
      <c r="F128" s="285" t="s">
        <v>32</v>
      </c>
      <c r="G128" s="327">
        <v>100</v>
      </c>
      <c r="H128" s="285" t="s">
        <v>32</v>
      </c>
      <c r="I128" s="327">
        <v>100</v>
      </c>
      <c r="J128" s="285" t="s">
        <v>32</v>
      </c>
      <c r="K128" s="327">
        <v>250</v>
      </c>
      <c r="L128" s="285" t="s">
        <v>32</v>
      </c>
      <c r="M128" s="148">
        <v>250</v>
      </c>
      <c r="N128" s="285" t="s">
        <v>32</v>
      </c>
      <c r="O128" s="148">
        <v>250</v>
      </c>
      <c r="P128" s="285" t="s">
        <v>32</v>
      </c>
      <c r="Q128" s="148">
        <v>275</v>
      </c>
      <c r="R128" s="285" t="s">
        <v>32</v>
      </c>
      <c r="S128" s="148">
        <v>275</v>
      </c>
      <c r="T128" s="285" t="s">
        <v>32</v>
      </c>
      <c r="U128" s="411">
        <v>275</v>
      </c>
      <c r="V128" s="412" t="s">
        <v>32</v>
      </c>
      <c r="W128" s="411">
        <v>275</v>
      </c>
      <c r="X128" s="412" t="s">
        <v>32</v>
      </c>
      <c r="Y128" s="413">
        <v>275</v>
      </c>
      <c r="Z128" s="414" t="s">
        <v>32</v>
      </c>
      <c r="AA128" s="288"/>
      <c r="AB128" s="289">
        <v>0</v>
      </c>
      <c r="AC128" s="289">
        <v>0</v>
      </c>
      <c r="AD128" s="289">
        <v>58625</v>
      </c>
      <c r="AE128" s="289">
        <v>39666.67</v>
      </c>
      <c r="AF128" s="289">
        <v>39441.666666666664</v>
      </c>
      <c r="AG128" s="289">
        <v>121925</v>
      </c>
      <c r="AH128" s="289">
        <v>127325</v>
      </c>
      <c r="AI128" s="289">
        <v>134475</v>
      </c>
      <c r="AJ128" s="289">
        <v>125400</v>
      </c>
      <c r="AK128" s="240">
        <v>101750</v>
      </c>
    </row>
    <row r="129" spans="1:37" s="20" customFormat="1">
      <c r="A129" s="20">
        <f t="shared" si="10"/>
        <v>80</v>
      </c>
      <c r="B129" s="284" t="s">
        <v>156</v>
      </c>
      <c r="C129" s="285" t="s">
        <v>33</v>
      </c>
      <c r="D129" s="286">
        <v>0.7</v>
      </c>
      <c r="E129" s="327">
        <v>15</v>
      </c>
      <c r="F129" s="285" t="s">
        <v>163</v>
      </c>
      <c r="G129" s="327">
        <v>20</v>
      </c>
      <c r="H129" s="285" t="s">
        <v>163</v>
      </c>
      <c r="I129" s="327">
        <v>20</v>
      </c>
      <c r="J129" s="285" t="s">
        <v>163</v>
      </c>
      <c r="K129" s="327">
        <v>20</v>
      </c>
      <c r="L129" s="285" t="s">
        <v>38</v>
      </c>
      <c r="M129" s="148">
        <v>20</v>
      </c>
      <c r="N129" s="285" t="s">
        <v>38</v>
      </c>
      <c r="O129" s="148">
        <v>25</v>
      </c>
      <c r="P129" s="285" t="s">
        <v>38</v>
      </c>
      <c r="Q129" s="148">
        <v>25</v>
      </c>
      <c r="R129" s="285" t="s">
        <v>38</v>
      </c>
      <c r="S129" s="148">
        <v>25</v>
      </c>
      <c r="T129" s="285" t="s">
        <v>38</v>
      </c>
      <c r="U129" s="411">
        <v>25</v>
      </c>
      <c r="V129" s="412" t="s">
        <v>38</v>
      </c>
      <c r="W129" s="411">
        <v>25</v>
      </c>
      <c r="X129" s="412" t="s">
        <v>38</v>
      </c>
      <c r="Y129" s="413">
        <v>25</v>
      </c>
      <c r="Z129" s="414" t="s">
        <v>38</v>
      </c>
      <c r="AA129" s="288"/>
      <c r="AB129" s="289">
        <v>0</v>
      </c>
      <c r="AC129" s="289">
        <v>0</v>
      </c>
      <c r="AD129" s="289">
        <v>0</v>
      </c>
      <c r="AE129" s="289">
        <v>0</v>
      </c>
      <c r="AF129" s="289">
        <v>0</v>
      </c>
      <c r="AG129" s="289">
        <v>0</v>
      </c>
      <c r="AH129" s="289">
        <v>0</v>
      </c>
      <c r="AI129" s="289">
        <v>0</v>
      </c>
      <c r="AJ129" s="289">
        <v>0</v>
      </c>
      <c r="AK129" s="240">
        <v>0</v>
      </c>
    </row>
    <row r="130" spans="1:37" s="20" customFormat="1">
      <c r="A130" s="20">
        <f t="shared" si="10"/>
        <v>81</v>
      </c>
      <c r="B130" s="284" t="s">
        <v>157</v>
      </c>
      <c r="C130" s="285" t="s">
        <v>34</v>
      </c>
      <c r="D130" s="286"/>
      <c r="E130" s="327">
        <v>1</v>
      </c>
      <c r="F130" s="285" t="s">
        <v>163</v>
      </c>
      <c r="G130" s="327">
        <v>1</v>
      </c>
      <c r="H130" s="285" t="s">
        <v>163</v>
      </c>
      <c r="I130" s="327">
        <v>1</v>
      </c>
      <c r="J130" s="285" t="s">
        <v>38</v>
      </c>
      <c r="K130" s="327">
        <v>1</v>
      </c>
      <c r="L130" s="285" t="s">
        <v>38</v>
      </c>
      <c r="M130" s="148">
        <v>1</v>
      </c>
      <c r="N130" s="285" t="s">
        <v>38</v>
      </c>
      <c r="O130" s="148">
        <v>1</v>
      </c>
      <c r="P130" s="285" t="s">
        <v>38</v>
      </c>
      <c r="Q130" s="148">
        <v>1</v>
      </c>
      <c r="R130" s="285" t="s">
        <v>38</v>
      </c>
      <c r="S130" s="148">
        <v>1</v>
      </c>
      <c r="T130" s="285" t="s">
        <v>38</v>
      </c>
      <c r="U130" s="411">
        <v>1</v>
      </c>
      <c r="V130" s="412" t="s">
        <v>38</v>
      </c>
      <c r="W130" s="411">
        <v>1</v>
      </c>
      <c r="X130" s="412" t="s">
        <v>38</v>
      </c>
      <c r="Y130" s="413">
        <v>1</v>
      </c>
      <c r="Z130" s="414" t="s">
        <v>38</v>
      </c>
      <c r="AA130" s="288"/>
      <c r="AB130" s="289">
        <v>0</v>
      </c>
      <c r="AC130" s="289">
        <v>0</v>
      </c>
      <c r="AD130" s="289">
        <v>1676.74</v>
      </c>
      <c r="AE130" s="289">
        <v>111.81</v>
      </c>
      <c r="AF130" s="289">
        <v>199.96022727272728</v>
      </c>
      <c r="AG130" s="289">
        <v>0</v>
      </c>
      <c r="AH130" s="289">
        <v>0</v>
      </c>
      <c r="AI130" s="289">
        <v>0</v>
      </c>
      <c r="AJ130" s="289">
        <v>0</v>
      </c>
      <c r="AK130" s="240">
        <v>0</v>
      </c>
    </row>
    <row r="131" spans="1:37" s="20" customFormat="1">
      <c r="A131" s="20">
        <f t="shared" si="10"/>
        <v>82</v>
      </c>
      <c r="B131" s="284" t="s">
        <v>158</v>
      </c>
      <c r="C131" s="285" t="s">
        <v>34</v>
      </c>
      <c r="D131" s="286"/>
      <c r="E131" s="327">
        <v>5</v>
      </c>
      <c r="F131" s="285" t="s">
        <v>163</v>
      </c>
      <c r="G131" s="327">
        <v>5</v>
      </c>
      <c r="H131" s="285" t="s">
        <v>163</v>
      </c>
      <c r="I131" s="327">
        <v>10</v>
      </c>
      <c r="J131" s="285" t="s">
        <v>38</v>
      </c>
      <c r="K131" s="327">
        <v>10</v>
      </c>
      <c r="L131" s="285" t="s">
        <v>38</v>
      </c>
      <c r="M131" s="148">
        <v>10</v>
      </c>
      <c r="N131" s="285" t="s">
        <v>38</v>
      </c>
      <c r="O131" s="148">
        <v>10</v>
      </c>
      <c r="P131" s="285" t="s">
        <v>38</v>
      </c>
      <c r="Q131" s="148">
        <v>10</v>
      </c>
      <c r="R131" s="285" t="s">
        <v>38</v>
      </c>
      <c r="S131" s="148">
        <v>10</v>
      </c>
      <c r="T131" s="285" t="s">
        <v>38</v>
      </c>
      <c r="U131" s="411">
        <v>10</v>
      </c>
      <c r="V131" s="412" t="s">
        <v>38</v>
      </c>
      <c r="W131" s="411">
        <v>10</v>
      </c>
      <c r="X131" s="412" t="s">
        <v>38</v>
      </c>
      <c r="Y131" s="413">
        <v>10</v>
      </c>
      <c r="Z131" s="414" t="s">
        <v>38</v>
      </c>
      <c r="AA131" s="288"/>
      <c r="AB131" s="289">
        <v>0</v>
      </c>
      <c r="AC131" s="289">
        <v>0</v>
      </c>
      <c r="AD131" s="289">
        <v>177.1</v>
      </c>
      <c r="AE131" s="289">
        <v>940</v>
      </c>
      <c r="AF131" s="289">
        <v>1999.6022727272727</v>
      </c>
      <c r="AG131" s="289">
        <v>865</v>
      </c>
      <c r="AH131" s="289">
        <v>915</v>
      </c>
      <c r="AI131" s="289">
        <v>765</v>
      </c>
      <c r="AJ131" s="289">
        <v>720.83</v>
      </c>
      <c r="AK131" s="240">
        <v>110</v>
      </c>
    </row>
    <row r="132" spans="1:37" s="20" customFormat="1">
      <c r="A132" s="20">
        <f t="shared" si="10"/>
        <v>83</v>
      </c>
      <c r="B132" s="284" t="s">
        <v>159</v>
      </c>
      <c r="C132" s="285" t="s">
        <v>34</v>
      </c>
      <c r="D132" s="286"/>
      <c r="E132" s="327">
        <v>10</v>
      </c>
      <c r="F132" s="285" t="s">
        <v>163</v>
      </c>
      <c r="G132" s="327">
        <v>10</v>
      </c>
      <c r="H132" s="285" t="s">
        <v>163</v>
      </c>
      <c r="I132" s="327">
        <v>10</v>
      </c>
      <c r="J132" s="285" t="s">
        <v>38</v>
      </c>
      <c r="K132" s="327">
        <v>10</v>
      </c>
      <c r="L132" s="285" t="s">
        <v>38</v>
      </c>
      <c r="M132" s="148">
        <v>10</v>
      </c>
      <c r="N132" s="285" t="s">
        <v>38</v>
      </c>
      <c r="O132" s="148">
        <v>10</v>
      </c>
      <c r="P132" s="285" t="s">
        <v>38</v>
      </c>
      <c r="Q132" s="148">
        <v>10</v>
      </c>
      <c r="R132" s="285" t="s">
        <v>38</v>
      </c>
      <c r="S132" s="148">
        <v>10</v>
      </c>
      <c r="T132" s="285" t="s">
        <v>38</v>
      </c>
      <c r="U132" s="411">
        <v>10</v>
      </c>
      <c r="V132" s="412" t="s">
        <v>38</v>
      </c>
      <c r="W132" s="411">
        <v>10</v>
      </c>
      <c r="X132" s="412" t="s">
        <v>38</v>
      </c>
      <c r="Y132" s="413">
        <v>10</v>
      </c>
      <c r="Z132" s="414" t="s">
        <v>38</v>
      </c>
      <c r="AA132" s="288"/>
      <c r="AB132" s="289">
        <v>0</v>
      </c>
      <c r="AC132" s="289">
        <v>0</v>
      </c>
      <c r="AD132" s="289">
        <v>1676.74</v>
      </c>
      <c r="AE132" s="289">
        <v>1118.07</v>
      </c>
      <c r="AF132" s="289">
        <v>1999.6022727272727</v>
      </c>
      <c r="AG132" s="289">
        <v>0</v>
      </c>
      <c r="AH132" s="289">
        <v>0</v>
      </c>
      <c r="AI132" s="289">
        <v>0</v>
      </c>
      <c r="AJ132" s="289">
        <v>0</v>
      </c>
      <c r="AK132" s="240">
        <v>0</v>
      </c>
    </row>
    <row r="133" spans="1:37" s="20" customFormat="1">
      <c r="A133" s="20">
        <v>84</v>
      </c>
      <c r="B133" s="284" t="s">
        <v>289</v>
      </c>
      <c r="C133" s="285" t="s">
        <v>33</v>
      </c>
      <c r="D133" s="286"/>
      <c r="E133" s="327"/>
      <c r="F133" s="285"/>
      <c r="G133" s="327"/>
      <c r="H133" s="285"/>
      <c r="I133" s="327"/>
      <c r="J133" s="285"/>
      <c r="K133" s="327"/>
      <c r="L133" s="285"/>
      <c r="M133" s="148">
        <v>0</v>
      </c>
      <c r="N133" s="285" t="s">
        <v>161</v>
      </c>
      <c r="O133" s="148">
        <v>0</v>
      </c>
      <c r="P133" s="285" t="s">
        <v>160</v>
      </c>
      <c r="Q133" s="148">
        <v>0</v>
      </c>
      <c r="R133" s="285" t="s">
        <v>160</v>
      </c>
      <c r="S133" s="148">
        <v>100</v>
      </c>
      <c r="T133" s="285" t="s">
        <v>160</v>
      </c>
      <c r="U133" s="411">
        <v>100</v>
      </c>
      <c r="V133" s="412" t="s">
        <v>160</v>
      </c>
      <c r="W133" s="411">
        <v>100</v>
      </c>
      <c r="X133" s="412" t="s">
        <v>160</v>
      </c>
      <c r="Y133" s="413">
        <v>100</v>
      </c>
      <c r="Z133" s="412" t="s">
        <v>160</v>
      </c>
      <c r="AA133" s="288"/>
      <c r="AB133" s="289"/>
      <c r="AC133" s="289"/>
      <c r="AD133" s="289"/>
      <c r="AE133" s="289"/>
      <c r="AF133" s="289">
        <v>0</v>
      </c>
      <c r="AG133" s="289">
        <v>0</v>
      </c>
      <c r="AH133" s="289">
        <v>4100</v>
      </c>
      <c r="AI133" s="289">
        <v>2400</v>
      </c>
      <c r="AJ133" s="289">
        <v>2800</v>
      </c>
      <c r="AK133" s="240">
        <v>2700</v>
      </c>
    </row>
    <row r="134" spans="1:37" s="20" customFormat="1">
      <c r="A134" s="20">
        <v>85</v>
      </c>
      <c r="B134" s="284" t="s">
        <v>290</v>
      </c>
      <c r="C134" s="285" t="s">
        <v>33</v>
      </c>
      <c r="D134" s="286"/>
      <c r="E134" s="327"/>
      <c r="F134" s="285"/>
      <c r="G134" s="327"/>
      <c r="H134" s="285"/>
      <c r="I134" s="327"/>
      <c r="J134" s="285"/>
      <c r="K134" s="327"/>
      <c r="L134" s="285"/>
      <c r="M134" s="148">
        <v>0</v>
      </c>
      <c r="N134" s="285" t="s">
        <v>162</v>
      </c>
      <c r="O134" s="148">
        <v>0</v>
      </c>
      <c r="P134" s="285" t="s">
        <v>162</v>
      </c>
      <c r="Q134" s="148">
        <v>0</v>
      </c>
      <c r="R134" s="285" t="s">
        <v>162</v>
      </c>
      <c r="S134" s="148">
        <v>25</v>
      </c>
      <c r="T134" s="285" t="s">
        <v>162</v>
      </c>
      <c r="U134" s="411">
        <v>25</v>
      </c>
      <c r="V134" s="412" t="s">
        <v>162</v>
      </c>
      <c r="W134" s="411">
        <v>25</v>
      </c>
      <c r="X134" s="412" t="s">
        <v>162</v>
      </c>
      <c r="Y134" s="413">
        <v>25</v>
      </c>
      <c r="Z134" s="412" t="s">
        <v>162</v>
      </c>
      <c r="AA134" s="288"/>
      <c r="AB134" s="289"/>
      <c r="AC134" s="289"/>
      <c r="AD134" s="289"/>
      <c r="AE134" s="289"/>
      <c r="AF134" s="289">
        <v>0</v>
      </c>
      <c r="AG134" s="289">
        <v>0</v>
      </c>
      <c r="AH134" s="289">
        <v>1870</v>
      </c>
      <c r="AI134" s="289">
        <v>1050</v>
      </c>
      <c r="AJ134" s="289">
        <v>0</v>
      </c>
      <c r="AK134" s="240">
        <v>0</v>
      </c>
    </row>
    <row r="135" spans="1:37" s="20" customFormat="1">
      <c r="A135" s="20">
        <v>86</v>
      </c>
      <c r="B135" s="284" t="s">
        <v>291</v>
      </c>
      <c r="C135" s="285" t="s">
        <v>33</v>
      </c>
      <c r="D135" s="286"/>
      <c r="E135" s="327"/>
      <c r="F135" s="285"/>
      <c r="G135" s="327"/>
      <c r="H135" s="285"/>
      <c r="I135" s="327"/>
      <c r="J135" s="285"/>
      <c r="K135" s="327"/>
      <c r="L135" s="285"/>
      <c r="M135" s="148">
        <v>0</v>
      </c>
      <c r="N135" s="285" t="s">
        <v>161</v>
      </c>
      <c r="O135" s="148">
        <v>0</v>
      </c>
      <c r="P135" s="285" t="s">
        <v>32</v>
      </c>
      <c r="Q135" s="148">
        <v>0</v>
      </c>
      <c r="R135" s="285" t="s">
        <v>32</v>
      </c>
      <c r="S135" s="148">
        <v>60</v>
      </c>
      <c r="T135" s="285" t="s">
        <v>32</v>
      </c>
      <c r="U135" s="411">
        <v>60</v>
      </c>
      <c r="V135" s="412" t="s">
        <v>32</v>
      </c>
      <c r="W135" s="411">
        <v>60</v>
      </c>
      <c r="X135" s="412" t="s">
        <v>32</v>
      </c>
      <c r="Y135" s="413">
        <v>60</v>
      </c>
      <c r="Z135" s="412" t="s">
        <v>32</v>
      </c>
      <c r="AA135" s="288"/>
      <c r="AB135" s="289"/>
      <c r="AC135" s="289"/>
      <c r="AD135" s="289"/>
      <c r="AE135" s="289"/>
      <c r="AF135" s="289">
        <v>0</v>
      </c>
      <c r="AG135" s="289">
        <v>0</v>
      </c>
      <c r="AH135" s="289">
        <v>1440</v>
      </c>
      <c r="AI135" s="289">
        <v>2040</v>
      </c>
      <c r="AJ135" s="289">
        <v>3480</v>
      </c>
      <c r="AK135" s="240">
        <v>3720</v>
      </c>
    </row>
    <row r="136" spans="1:37" s="20" customFormat="1">
      <c r="A136" s="20">
        <v>87</v>
      </c>
      <c r="B136" s="284" t="s">
        <v>291</v>
      </c>
      <c r="C136" s="285" t="s">
        <v>33</v>
      </c>
      <c r="D136" s="286"/>
      <c r="E136" s="327"/>
      <c r="F136" s="285"/>
      <c r="G136" s="327"/>
      <c r="H136" s="285"/>
      <c r="I136" s="327"/>
      <c r="J136" s="285"/>
      <c r="K136" s="327"/>
      <c r="L136" s="285"/>
      <c r="M136" s="148">
        <v>0</v>
      </c>
      <c r="N136" s="285" t="s">
        <v>162</v>
      </c>
      <c r="O136" s="148">
        <v>0</v>
      </c>
      <c r="P136" s="285" t="s">
        <v>162</v>
      </c>
      <c r="Q136" s="148">
        <v>0</v>
      </c>
      <c r="R136" s="285" t="s">
        <v>162</v>
      </c>
      <c r="S136" s="148">
        <v>110</v>
      </c>
      <c r="T136" s="285" t="s">
        <v>162</v>
      </c>
      <c r="U136" s="411">
        <v>110</v>
      </c>
      <c r="V136" s="412" t="s">
        <v>162</v>
      </c>
      <c r="W136" s="411">
        <v>80</v>
      </c>
      <c r="X136" s="412" t="s">
        <v>162</v>
      </c>
      <c r="Y136" s="413">
        <v>0</v>
      </c>
      <c r="Z136" s="414" t="s">
        <v>162</v>
      </c>
      <c r="AA136" s="288"/>
      <c r="AB136" s="289"/>
      <c r="AC136" s="289"/>
      <c r="AD136" s="289"/>
      <c r="AE136" s="289"/>
      <c r="AF136" s="289">
        <v>0</v>
      </c>
      <c r="AG136" s="289">
        <v>0</v>
      </c>
      <c r="AH136" s="289">
        <v>1430</v>
      </c>
      <c r="AI136" s="289">
        <v>1870</v>
      </c>
      <c r="AJ136" s="289">
        <v>2320</v>
      </c>
      <c r="AK136" s="240">
        <v>0</v>
      </c>
    </row>
    <row r="137" spans="1:37" s="20" customFormat="1">
      <c r="A137" s="20">
        <v>88</v>
      </c>
      <c r="B137" s="284" t="s">
        <v>292</v>
      </c>
      <c r="C137" s="285" t="s">
        <v>33</v>
      </c>
      <c r="D137" s="286"/>
      <c r="E137" s="327"/>
      <c r="F137" s="285"/>
      <c r="G137" s="327"/>
      <c r="H137" s="285"/>
      <c r="I137" s="327"/>
      <c r="J137" s="285"/>
      <c r="K137" s="327"/>
      <c r="L137" s="285"/>
      <c r="M137" s="148">
        <v>0</v>
      </c>
      <c r="N137" s="285" t="s">
        <v>162</v>
      </c>
      <c r="O137" s="148">
        <v>0</v>
      </c>
      <c r="P137" s="285" t="s">
        <v>162</v>
      </c>
      <c r="Q137" s="148">
        <v>0</v>
      </c>
      <c r="R137" s="285" t="s">
        <v>162</v>
      </c>
      <c r="S137" s="148">
        <v>40</v>
      </c>
      <c r="T137" s="285" t="s">
        <v>162</v>
      </c>
      <c r="U137" s="411">
        <v>40</v>
      </c>
      <c r="V137" s="412" t="s">
        <v>162</v>
      </c>
      <c r="W137" s="411">
        <v>42</v>
      </c>
      <c r="X137" s="412" t="s">
        <v>162</v>
      </c>
      <c r="Y137" s="413">
        <v>42</v>
      </c>
      <c r="Z137" s="412" t="s">
        <v>162</v>
      </c>
      <c r="AA137" s="288"/>
      <c r="AB137" s="289"/>
      <c r="AC137" s="289"/>
      <c r="AD137" s="289"/>
      <c r="AE137" s="289"/>
      <c r="AF137" s="289">
        <v>0</v>
      </c>
      <c r="AG137" s="289">
        <v>0</v>
      </c>
      <c r="AH137" s="289">
        <v>4960</v>
      </c>
      <c r="AI137" s="289">
        <v>4840</v>
      </c>
      <c r="AJ137" s="289">
        <v>5544</v>
      </c>
      <c r="AK137" s="240">
        <v>5334</v>
      </c>
    </row>
    <row r="138" spans="1:37" s="20" customFormat="1">
      <c r="A138" s="20">
        <v>89</v>
      </c>
      <c r="B138" s="284" t="s">
        <v>324</v>
      </c>
      <c r="C138" s="285" t="s">
        <v>33</v>
      </c>
      <c r="D138" s="286"/>
      <c r="E138" s="327"/>
      <c r="F138" s="285"/>
      <c r="G138" s="327"/>
      <c r="H138" s="285"/>
      <c r="I138" s="327"/>
      <c r="J138" s="285"/>
      <c r="K138" s="327"/>
      <c r="L138" s="285"/>
      <c r="M138" s="148"/>
      <c r="N138" s="285"/>
      <c r="O138" s="148"/>
      <c r="P138" s="285"/>
      <c r="Q138" s="148">
        <v>0</v>
      </c>
      <c r="R138" s="285" t="s">
        <v>32</v>
      </c>
      <c r="S138" s="148">
        <v>0</v>
      </c>
      <c r="T138" s="285" t="s">
        <v>32</v>
      </c>
      <c r="U138" s="411">
        <v>60</v>
      </c>
      <c r="V138" s="412" t="s">
        <v>32</v>
      </c>
      <c r="W138" s="411">
        <v>105</v>
      </c>
      <c r="X138" s="412" t="s">
        <v>32</v>
      </c>
      <c r="Y138" s="413">
        <v>105</v>
      </c>
      <c r="Z138" s="414" t="s">
        <v>32</v>
      </c>
      <c r="AA138" s="288"/>
      <c r="AB138" s="289"/>
      <c r="AC138" s="289"/>
      <c r="AD138" s="289"/>
      <c r="AE138" s="289"/>
      <c r="AF138" s="289"/>
      <c r="AG138" s="289"/>
      <c r="AH138" s="289"/>
      <c r="AI138" s="289">
        <v>0</v>
      </c>
      <c r="AJ138" s="289">
        <v>324605</v>
      </c>
      <c r="AK138" s="240">
        <v>749910</v>
      </c>
    </row>
    <row r="139" spans="1:37" s="20" customFormat="1">
      <c r="A139" s="20">
        <v>90</v>
      </c>
      <c r="B139" s="284" t="s">
        <v>325</v>
      </c>
      <c r="C139" s="285" t="s">
        <v>33</v>
      </c>
      <c r="D139" s="286"/>
      <c r="E139" s="327"/>
      <c r="F139" s="285"/>
      <c r="G139" s="327"/>
      <c r="H139" s="285"/>
      <c r="I139" s="327"/>
      <c r="J139" s="285"/>
      <c r="K139" s="327"/>
      <c r="L139" s="285"/>
      <c r="M139" s="148"/>
      <c r="N139" s="285"/>
      <c r="O139" s="148"/>
      <c r="P139" s="285"/>
      <c r="Q139" s="148">
        <v>0</v>
      </c>
      <c r="R139" s="285" t="s">
        <v>162</v>
      </c>
      <c r="S139" s="148">
        <v>0</v>
      </c>
      <c r="T139" s="285" t="s">
        <v>162</v>
      </c>
      <c r="U139" s="411">
        <v>100</v>
      </c>
      <c r="V139" s="412" t="s">
        <v>162</v>
      </c>
      <c r="W139" s="411">
        <v>100</v>
      </c>
      <c r="X139" s="412" t="s">
        <v>162</v>
      </c>
      <c r="Y139" s="413">
        <v>100</v>
      </c>
      <c r="Z139" s="412" t="s">
        <v>162</v>
      </c>
      <c r="AA139" s="288"/>
      <c r="AB139" s="289"/>
      <c r="AC139" s="289"/>
      <c r="AD139" s="289"/>
      <c r="AE139" s="289"/>
      <c r="AF139" s="289"/>
      <c r="AG139" s="289"/>
      <c r="AH139" s="289"/>
      <c r="AI139" s="289">
        <v>0</v>
      </c>
      <c r="AJ139" s="289">
        <v>2900</v>
      </c>
      <c r="AK139" s="240">
        <v>3200</v>
      </c>
    </row>
    <row r="140" spans="1:37" s="20" customFormat="1">
      <c r="A140" s="20">
        <v>91</v>
      </c>
      <c r="B140" s="241" t="s">
        <v>334</v>
      </c>
      <c r="C140" s="285" t="s">
        <v>33</v>
      </c>
      <c r="D140" s="242"/>
      <c r="E140" s="327"/>
      <c r="F140" s="285"/>
      <c r="G140" s="327"/>
      <c r="H140" s="285"/>
      <c r="I140" s="327"/>
      <c r="J140" s="285"/>
      <c r="K140" s="327"/>
      <c r="L140" s="285"/>
      <c r="M140" s="148"/>
      <c r="N140" s="285"/>
      <c r="O140" s="148"/>
      <c r="P140" s="285"/>
      <c r="Q140" s="148"/>
      <c r="R140" s="285"/>
      <c r="S140" s="148"/>
      <c r="T140" s="285"/>
      <c r="U140" s="411">
        <v>0</v>
      </c>
      <c r="V140" s="412" t="s">
        <v>32</v>
      </c>
      <c r="W140" s="411">
        <v>0</v>
      </c>
      <c r="X140" s="412" t="s">
        <v>32</v>
      </c>
      <c r="Y140" s="413">
        <v>35</v>
      </c>
      <c r="Z140" s="412" t="s">
        <v>32</v>
      </c>
      <c r="AA140" s="288"/>
      <c r="AB140" s="289"/>
      <c r="AC140" s="289"/>
      <c r="AD140" s="289"/>
      <c r="AE140" s="289"/>
      <c r="AF140" s="289"/>
      <c r="AG140" s="289"/>
      <c r="AH140" s="289"/>
      <c r="AI140" s="289">
        <v>0</v>
      </c>
      <c r="AJ140" s="289">
        <v>0</v>
      </c>
      <c r="AK140" s="240">
        <v>7105</v>
      </c>
    </row>
    <row r="141" spans="1:37" s="20" customFormat="1">
      <c r="A141" s="20">
        <v>92</v>
      </c>
      <c r="B141" s="241" t="s">
        <v>335</v>
      </c>
      <c r="C141" s="285" t="s">
        <v>33</v>
      </c>
      <c r="D141" s="242"/>
      <c r="E141" s="327"/>
      <c r="F141" s="285"/>
      <c r="G141" s="327"/>
      <c r="H141" s="285"/>
      <c r="I141" s="327"/>
      <c r="J141" s="285"/>
      <c r="K141" s="327"/>
      <c r="L141" s="285"/>
      <c r="M141" s="148"/>
      <c r="N141" s="285"/>
      <c r="O141" s="148"/>
      <c r="P141" s="285"/>
      <c r="Q141" s="148"/>
      <c r="R141" s="285"/>
      <c r="S141" s="148"/>
      <c r="T141" s="285"/>
      <c r="U141" s="411">
        <v>0</v>
      </c>
      <c r="V141" s="412" t="s">
        <v>162</v>
      </c>
      <c r="W141" s="411">
        <v>0</v>
      </c>
      <c r="X141" s="412" t="s">
        <v>162</v>
      </c>
      <c r="Y141" s="413">
        <v>125</v>
      </c>
      <c r="Z141" s="412" t="s">
        <v>162</v>
      </c>
      <c r="AA141" s="288"/>
      <c r="AB141" s="289"/>
      <c r="AC141" s="289"/>
      <c r="AD141" s="289"/>
      <c r="AE141" s="289"/>
      <c r="AF141" s="289"/>
      <c r="AG141" s="289"/>
      <c r="AH141" s="289"/>
      <c r="AI141" s="289">
        <v>0</v>
      </c>
      <c r="AJ141" s="289">
        <v>0</v>
      </c>
      <c r="AK141" s="240">
        <v>3625</v>
      </c>
    </row>
    <row r="142" spans="1:37" s="20" customFormat="1">
      <c r="A142" s="20">
        <v>93</v>
      </c>
      <c r="B142" s="241" t="s">
        <v>336</v>
      </c>
      <c r="C142" s="285" t="s">
        <v>33</v>
      </c>
      <c r="D142" s="242"/>
      <c r="E142" s="327"/>
      <c r="F142" s="285"/>
      <c r="G142" s="327"/>
      <c r="H142" s="285"/>
      <c r="I142" s="327"/>
      <c r="J142" s="285"/>
      <c r="K142" s="327"/>
      <c r="L142" s="285"/>
      <c r="M142" s="148"/>
      <c r="N142" s="285"/>
      <c r="O142" s="148"/>
      <c r="P142" s="285"/>
      <c r="Q142" s="148"/>
      <c r="R142" s="285"/>
      <c r="S142" s="148"/>
      <c r="T142" s="285"/>
      <c r="U142" s="411">
        <v>0</v>
      </c>
      <c r="V142" s="414" t="s">
        <v>38</v>
      </c>
      <c r="W142" s="411">
        <v>129</v>
      </c>
      <c r="X142" s="414" t="s">
        <v>38</v>
      </c>
      <c r="Y142" s="413">
        <v>129</v>
      </c>
      <c r="Z142" s="414" t="s">
        <v>38</v>
      </c>
      <c r="AA142" s="288"/>
      <c r="AB142" s="289"/>
      <c r="AC142" s="289"/>
      <c r="AD142" s="289"/>
      <c r="AE142" s="289"/>
      <c r="AF142" s="289"/>
      <c r="AG142" s="289"/>
      <c r="AH142" s="289"/>
      <c r="AI142" s="289">
        <v>0</v>
      </c>
      <c r="AJ142" s="289">
        <v>2838</v>
      </c>
      <c r="AK142" s="240">
        <v>2193</v>
      </c>
    </row>
    <row r="143" spans="1:37" s="20" customFormat="1">
      <c r="A143" s="20">
        <v>94</v>
      </c>
      <c r="B143" s="241" t="s">
        <v>337</v>
      </c>
      <c r="C143" s="285" t="s">
        <v>33</v>
      </c>
      <c r="D143" s="242"/>
      <c r="E143" s="327"/>
      <c r="F143" s="285"/>
      <c r="G143" s="327"/>
      <c r="H143" s="285"/>
      <c r="I143" s="327"/>
      <c r="J143" s="285"/>
      <c r="K143" s="327"/>
      <c r="L143" s="285"/>
      <c r="M143" s="148"/>
      <c r="N143" s="285"/>
      <c r="O143" s="148"/>
      <c r="P143" s="285"/>
      <c r="Q143" s="148"/>
      <c r="R143" s="285"/>
      <c r="S143" s="148"/>
      <c r="T143" s="285"/>
      <c r="U143" s="411">
        <v>0</v>
      </c>
      <c r="V143" s="414" t="s">
        <v>38</v>
      </c>
      <c r="W143" s="411">
        <v>192</v>
      </c>
      <c r="X143" s="414" t="s">
        <v>38</v>
      </c>
      <c r="Y143" s="413">
        <v>192</v>
      </c>
      <c r="Z143" s="414" t="s">
        <v>38</v>
      </c>
      <c r="AA143" s="288"/>
      <c r="AB143" s="289"/>
      <c r="AC143" s="289"/>
      <c r="AD143" s="289"/>
      <c r="AE143" s="289"/>
      <c r="AF143" s="289"/>
      <c r="AG143" s="289"/>
      <c r="AH143" s="289"/>
      <c r="AI143" s="289">
        <v>0</v>
      </c>
      <c r="AJ143" s="289">
        <v>3264</v>
      </c>
      <c r="AK143" s="240">
        <v>3264</v>
      </c>
    </row>
    <row r="144" spans="1:37" s="20" customFormat="1">
      <c r="A144" s="20">
        <v>95</v>
      </c>
      <c r="B144" s="241" t="s">
        <v>338</v>
      </c>
      <c r="C144" s="285" t="s">
        <v>33</v>
      </c>
      <c r="D144" s="242"/>
      <c r="E144" s="327"/>
      <c r="F144" s="285"/>
      <c r="G144" s="327"/>
      <c r="H144" s="285"/>
      <c r="I144" s="327"/>
      <c r="J144" s="285"/>
      <c r="K144" s="327"/>
      <c r="L144" s="285"/>
      <c r="M144" s="148"/>
      <c r="N144" s="285"/>
      <c r="O144" s="148"/>
      <c r="P144" s="285"/>
      <c r="Q144" s="148"/>
      <c r="R144" s="285"/>
      <c r="S144" s="148"/>
      <c r="T144" s="285"/>
      <c r="U144" s="411">
        <v>0</v>
      </c>
      <c r="V144" s="414" t="s">
        <v>38</v>
      </c>
      <c r="W144" s="411">
        <v>1915</v>
      </c>
      <c r="X144" s="414" t="s">
        <v>38</v>
      </c>
      <c r="Y144" s="413">
        <v>1915</v>
      </c>
      <c r="Z144" s="414" t="s">
        <v>38</v>
      </c>
      <c r="AA144" s="288"/>
      <c r="AB144" s="289"/>
      <c r="AC144" s="289"/>
      <c r="AD144" s="289"/>
      <c r="AE144" s="289"/>
      <c r="AF144" s="289"/>
      <c r="AG144" s="289"/>
      <c r="AH144" s="289"/>
      <c r="AI144" s="289">
        <v>0</v>
      </c>
      <c r="AJ144" s="289">
        <v>61280</v>
      </c>
      <c r="AK144" s="240">
        <v>30640</v>
      </c>
    </row>
    <row r="145" spans="1:40" s="20" customFormat="1">
      <c r="A145" s="20">
        <v>96</v>
      </c>
      <c r="B145" s="241" t="s">
        <v>339</v>
      </c>
      <c r="C145" s="285" t="s">
        <v>33</v>
      </c>
      <c r="D145" s="242"/>
      <c r="E145" s="327"/>
      <c r="F145" s="285"/>
      <c r="G145" s="327"/>
      <c r="H145" s="285"/>
      <c r="I145" s="327"/>
      <c r="J145" s="285"/>
      <c r="K145" s="327"/>
      <c r="L145" s="285"/>
      <c r="M145" s="148"/>
      <c r="N145" s="285"/>
      <c r="O145" s="148"/>
      <c r="P145" s="285"/>
      <c r="Q145" s="148"/>
      <c r="R145" s="285"/>
      <c r="S145" s="148"/>
      <c r="T145" s="285"/>
      <c r="U145" s="411">
        <v>0</v>
      </c>
      <c r="V145" s="414" t="s">
        <v>38</v>
      </c>
      <c r="W145" s="411">
        <v>0</v>
      </c>
      <c r="X145" s="414" t="s">
        <v>38</v>
      </c>
      <c r="Y145" s="413">
        <v>913</v>
      </c>
      <c r="Z145" s="414" t="s">
        <v>38</v>
      </c>
      <c r="AA145" s="288"/>
      <c r="AB145" s="289"/>
      <c r="AC145" s="289"/>
      <c r="AD145" s="289"/>
      <c r="AE145" s="289"/>
      <c r="AF145" s="289"/>
      <c r="AG145" s="289"/>
      <c r="AH145" s="289"/>
      <c r="AI145" s="289">
        <v>0</v>
      </c>
      <c r="AJ145" s="289">
        <v>0</v>
      </c>
      <c r="AK145" s="240">
        <v>13695</v>
      </c>
    </row>
    <row r="146" spans="1:40" s="20" customFormat="1">
      <c r="B146" s="241"/>
      <c r="C146" s="285"/>
      <c r="D146" s="242"/>
      <c r="E146" s="327"/>
      <c r="F146" s="285"/>
      <c r="G146" s="327"/>
      <c r="H146" s="285"/>
      <c r="I146" s="327"/>
      <c r="J146" s="285"/>
      <c r="K146" s="327"/>
      <c r="L146" s="285"/>
      <c r="M146" s="148"/>
      <c r="N146" s="285"/>
      <c r="O146" s="148"/>
      <c r="P146" s="285"/>
      <c r="Q146" s="148"/>
      <c r="R146" s="285"/>
      <c r="S146" s="148"/>
      <c r="T146" s="285"/>
      <c r="U146" s="411"/>
      <c r="V146" s="412"/>
      <c r="W146" s="411"/>
      <c r="X146" s="412"/>
      <c r="Y146" s="413"/>
      <c r="Z146" s="414"/>
      <c r="AA146" s="288"/>
      <c r="AB146" s="289"/>
      <c r="AC146" s="289"/>
      <c r="AD146" s="289"/>
      <c r="AE146" s="289"/>
      <c r="AF146" s="289"/>
      <c r="AG146" s="289"/>
      <c r="AH146" s="289"/>
      <c r="AI146" s="289"/>
      <c r="AJ146" s="328"/>
      <c r="AK146" s="240"/>
    </row>
    <row r="147" spans="1:40" s="20" customFormat="1">
      <c r="B147" s="241"/>
      <c r="C147" s="285"/>
      <c r="D147" s="242"/>
      <c r="E147" s="327"/>
      <c r="F147" s="285"/>
      <c r="G147" s="327"/>
      <c r="H147" s="285"/>
      <c r="I147" s="327"/>
      <c r="J147" s="285"/>
      <c r="K147" s="327"/>
      <c r="L147" s="285"/>
      <c r="M147" s="148"/>
      <c r="N147" s="285"/>
      <c r="O147" s="148"/>
      <c r="P147" s="285"/>
      <c r="Q147" s="148"/>
      <c r="R147" s="285"/>
      <c r="S147" s="148"/>
      <c r="T147" s="285"/>
      <c r="U147" s="411"/>
      <c r="V147" s="412"/>
      <c r="W147" s="411"/>
      <c r="X147" s="412"/>
      <c r="Y147" s="413"/>
      <c r="Z147" s="414"/>
      <c r="AA147" s="288"/>
      <c r="AB147" s="289"/>
      <c r="AC147" s="289"/>
      <c r="AD147" s="289"/>
      <c r="AE147" s="289"/>
      <c r="AF147" s="289"/>
      <c r="AG147" s="289"/>
      <c r="AH147" s="289"/>
      <c r="AI147" s="289"/>
      <c r="AJ147" s="328"/>
      <c r="AK147" s="240"/>
    </row>
    <row r="148" spans="1:40" s="20" customFormat="1">
      <c r="B148" s="241"/>
      <c r="C148" s="239"/>
      <c r="D148" s="242"/>
      <c r="E148" s="327"/>
      <c r="F148" s="285"/>
      <c r="G148" s="327"/>
      <c r="H148" s="285"/>
      <c r="I148" s="327"/>
      <c r="J148" s="285"/>
      <c r="K148" s="327"/>
      <c r="L148" s="285"/>
      <c r="M148" s="148"/>
      <c r="N148" s="285"/>
      <c r="O148" s="148"/>
      <c r="P148" s="285"/>
      <c r="Q148" s="148"/>
      <c r="R148" s="285"/>
      <c r="S148" s="148"/>
      <c r="T148" s="285"/>
      <c r="U148" s="411"/>
      <c r="V148" s="412"/>
      <c r="W148" s="411"/>
      <c r="X148" s="412"/>
      <c r="Y148" s="413"/>
      <c r="Z148" s="414"/>
      <c r="AA148" s="288"/>
      <c r="AB148" s="289"/>
      <c r="AC148" s="289"/>
      <c r="AD148" s="289"/>
      <c r="AE148" s="289"/>
      <c r="AF148" s="289"/>
      <c r="AG148" s="289"/>
      <c r="AH148" s="289"/>
      <c r="AI148" s="289"/>
      <c r="AJ148" s="328"/>
      <c r="AK148" s="240"/>
    </row>
    <row r="149" spans="1:40" s="20" customFormat="1">
      <c r="B149" s="241"/>
      <c r="C149" s="239"/>
      <c r="D149" s="242"/>
      <c r="E149" s="327"/>
      <c r="F149" s="285"/>
      <c r="G149" s="327"/>
      <c r="H149" s="285"/>
      <c r="I149" s="327"/>
      <c r="J149" s="285"/>
      <c r="K149" s="327"/>
      <c r="L149" s="285"/>
      <c r="M149" s="148"/>
      <c r="N149" s="285"/>
      <c r="O149" s="148"/>
      <c r="P149" s="285"/>
      <c r="Q149" s="148"/>
      <c r="R149" s="285"/>
      <c r="S149" s="148"/>
      <c r="T149" s="285"/>
      <c r="U149" s="411"/>
      <c r="V149" s="412"/>
      <c r="W149" s="411"/>
      <c r="X149" s="412"/>
      <c r="Y149" s="413"/>
      <c r="Z149" s="414"/>
      <c r="AA149" s="288"/>
      <c r="AB149" s="289"/>
      <c r="AC149" s="289"/>
      <c r="AD149" s="289"/>
      <c r="AE149" s="289"/>
      <c r="AF149" s="289"/>
      <c r="AG149" s="289"/>
      <c r="AH149" s="289"/>
      <c r="AI149" s="289"/>
      <c r="AJ149" s="328"/>
      <c r="AK149" s="240"/>
    </row>
    <row r="150" spans="1:40" s="20" customFormat="1">
      <c r="B150" s="241"/>
      <c r="C150" s="239"/>
      <c r="D150" s="242"/>
      <c r="E150" s="327"/>
      <c r="F150" s="285"/>
      <c r="G150" s="327"/>
      <c r="H150" s="285"/>
      <c r="I150" s="327"/>
      <c r="J150" s="285"/>
      <c r="K150" s="327"/>
      <c r="L150" s="285"/>
      <c r="M150" s="148"/>
      <c r="N150" s="285"/>
      <c r="O150" s="148"/>
      <c r="P150" s="285"/>
      <c r="Q150" s="148"/>
      <c r="R150" s="285"/>
      <c r="S150" s="148"/>
      <c r="T150" s="285"/>
      <c r="U150" s="411"/>
      <c r="V150" s="412"/>
      <c r="W150" s="411"/>
      <c r="X150" s="412"/>
      <c r="Y150" s="413"/>
      <c r="Z150" s="414"/>
      <c r="AA150" s="288"/>
      <c r="AB150" s="289"/>
      <c r="AC150" s="289"/>
      <c r="AD150" s="289"/>
      <c r="AE150" s="289"/>
      <c r="AF150" s="289"/>
      <c r="AG150" s="289"/>
      <c r="AH150" s="289"/>
      <c r="AI150" s="289"/>
      <c r="AJ150" s="328"/>
      <c r="AK150" s="240"/>
    </row>
    <row r="151" spans="1:40" s="20" customFormat="1">
      <c r="B151" s="241"/>
      <c r="C151" s="239"/>
      <c r="D151" s="242"/>
      <c r="E151" s="327"/>
      <c r="F151" s="285"/>
      <c r="G151" s="327"/>
      <c r="H151" s="285"/>
      <c r="I151" s="327"/>
      <c r="J151" s="285"/>
      <c r="K151" s="327"/>
      <c r="L151" s="285"/>
      <c r="M151" s="148"/>
      <c r="N151" s="285"/>
      <c r="O151" s="148"/>
      <c r="P151" s="285"/>
      <c r="Q151" s="148"/>
      <c r="R151" s="285"/>
      <c r="S151" s="148"/>
      <c r="T151" s="285"/>
      <c r="U151" s="411"/>
      <c r="V151" s="412"/>
      <c r="W151" s="411"/>
      <c r="X151" s="412"/>
      <c r="Y151" s="413"/>
      <c r="Z151" s="414"/>
      <c r="AA151" s="288"/>
      <c r="AB151" s="289"/>
      <c r="AC151" s="289"/>
      <c r="AD151" s="289"/>
      <c r="AE151" s="289"/>
      <c r="AF151" s="289"/>
      <c r="AG151" s="289"/>
      <c r="AH151" s="289"/>
      <c r="AI151" s="289"/>
      <c r="AJ151" s="328"/>
      <c r="AK151" s="240"/>
    </row>
    <row r="152" spans="1:40" s="20" customFormat="1">
      <c r="B152" s="241"/>
      <c r="C152" s="239"/>
      <c r="D152" s="242"/>
      <c r="E152" s="327"/>
      <c r="F152" s="285"/>
      <c r="G152" s="327"/>
      <c r="H152" s="285"/>
      <c r="I152" s="327"/>
      <c r="J152" s="285"/>
      <c r="K152" s="327"/>
      <c r="L152" s="285"/>
      <c r="M152" s="327"/>
      <c r="N152" s="285"/>
      <c r="O152" s="327"/>
      <c r="P152" s="285"/>
      <c r="Q152" s="327"/>
      <c r="R152" s="285"/>
      <c r="S152" s="327"/>
      <c r="T152" s="285"/>
      <c r="U152" s="411"/>
      <c r="V152" s="412"/>
      <c r="W152" s="411"/>
      <c r="X152" s="412"/>
      <c r="Y152" s="413"/>
      <c r="Z152" s="414"/>
      <c r="AA152" s="288"/>
      <c r="AB152" s="289"/>
      <c r="AC152" s="289"/>
      <c r="AD152" s="289"/>
      <c r="AE152" s="289"/>
      <c r="AF152" s="289"/>
      <c r="AG152" s="289"/>
      <c r="AH152" s="289"/>
      <c r="AI152" s="289"/>
      <c r="AJ152" s="328"/>
      <c r="AK152" s="240"/>
    </row>
    <row r="153" spans="1:40">
      <c r="B153" s="290" t="s">
        <v>198</v>
      </c>
      <c r="C153" s="10"/>
      <c r="D153" s="331"/>
      <c r="E153" s="332"/>
      <c r="F153" s="10"/>
      <c r="G153" s="332"/>
      <c r="H153" s="10"/>
      <c r="I153" s="332"/>
      <c r="J153" s="10"/>
      <c r="K153" s="332"/>
      <c r="L153" s="10"/>
      <c r="M153" s="332"/>
      <c r="N153" s="10"/>
      <c r="O153" s="332"/>
      <c r="P153" s="10"/>
      <c r="Q153" s="332"/>
      <c r="R153" s="10"/>
      <c r="S153" s="332"/>
      <c r="T153" s="10"/>
      <c r="U153" s="411"/>
      <c r="V153" s="415"/>
      <c r="W153" s="411"/>
      <c r="X153" s="415"/>
      <c r="Y153" s="411"/>
      <c r="Z153" s="415"/>
      <c r="AA153" s="333"/>
      <c r="AB153" s="328"/>
      <c r="AC153" s="328"/>
      <c r="AD153" s="328"/>
      <c r="AE153" s="328"/>
      <c r="AF153" s="328"/>
      <c r="AG153" s="328"/>
      <c r="AH153" s="328"/>
      <c r="AI153" s="289"/>
      <c r="AJ153" s="328"/>
      <c r="AK153" s="289"/>
    </row>
    <row r="154" spans="1:40">
      <c r="I154" s="25"/>
      <c r="AD154" s="335"/>
      <c r="AE154" s="335"/>
      <c r="AF154" s="335"/>
    </row>
    <row r="155" spans="1:40" s="337" customFormat="1" ht="30.75" customHeight="1">
      <c r="B155" s="336"/>
      <c r="D155" s="374"/>
      <c r="E155" s="495" t="str">
        <f>E2&amp;" Comments"</f>
        <v>2013-14 Comments</v>
      </c>
      <c r="F155" s="496"/>
      <c r="G155" s="495" t="str">
        <f>G2&amp;" Comments"</f>
        <v>2014-15 Comments</v>
      </c>
      <c r="H155" s="496"/>
      <c r="I155" s="495" t="str">
        <f>I2&amp;" Comments"</f>
        <v>2015-16 Comments</v>
      </c>
      <c r="J155" s="496"/>
      <c r="K155" s="495" t="str">
        <f>K2&amp;" Comments"</f>
        <v>2016-17 Comments</v>
      </c>
      <c r="L155" s="496"/>
      <c r="M155" s="495" t="str">
        <f>M2&amp;" Comments"</f>
        <v>2017-18 Comments</v>
      </c>
      <c r="N155" s="496"/>
      <c r="O155" s="495" t="str">
        <f>O2&amp;" Comments"</f>
        <v>2018-19 Comments</v>
      </c>
      <c r="P155" s="496"/>
      <c r="Q155" s="495" t="str">
        <f>Q2&amp;" Comments"</f>
        <v>2019-20 Comments</v>
      </c>
      <c r="R155" s="496"/>
      <c r="S155" s="495" t="str">
        <f>S2&amp;" Comments"</f>
        <v>2020-21 Comments</v>
      </c>
      <c r="T155" s="496"/>
      <c r="U155" s="497" t="str">
        <f>U2&amp;" Comments"</f>
        <v>2021-22 Comments</v>
      </c>
      <c r="V155" s="498"/>
      <c r="W155" s="507" t="str">
        <f>W2&amp;" Comments"</f>
        <v>2022-23 Comments</v>
      </c>
      <c r="X155" s="508"/>
      <c r="Y155" s="509" t="str">
        <f>Y2&amp;" Comments"</f>
        <v>2023-24 Comments</v>
      </c>
      <c r="Z155" s="510"/>
      <c r="AA155" s="499"/>
      <c r="AB155" s="500"/>
      <c r="AD155" s="338"/>
      <c r="AE155" s="338"/>
      <c r="AF155" s="338"/>
      <c r="AG155" s="338"/>
      <c r="AH155" s="338"/>
      <c r="AI155" s="339"/>
      <c r="AJ155" s="338"/>
      <c r="AK155" s="338"/>
      <c r="AL155" s="338"/>
      <c r="AM155" s="338"/>
      <c r="AN155" s="338"/>
    </row>
    <row r="156" spans="1:40" s="341" customFormat="1" ht="234" customHeight="1">
      <c r="B156" s="375"/>
      <c r="C156" s="375"/>
      <c r="D156" s="375"/>
      <c r="E156" s="491"/>
      <c r="F156" s="492"/>
      <c r="G156" s="491"/>
      <c r="H156" s="492"/>
      <c r="I156" s="493"/>
      <c r="J156" s="494"/>
      <c r="K156" s="493"/>
      <c r="L156" s="494"/>
      <c r="M156" s="501"/>
      <c r="N156" s="502"/>
      <c r="O156" s="505" t="s">
        <v>293</v>
      </c>
      <c r="P156" s="506"/>
      <c r="Q156" s="505" t="s">
        <v>294</v>
      </c>
      <c r="R156" s="506"/>
      <c r="S156" s="491" t="s">
        <v>295</v>
      </c>
      <c r="T156" s="492"/>
      <c r="U156" s="491" t="s">
        <v>327</v>
      </c>
      <c r="V156" s="492"/>
      <c r="W156" s="491" t="s">
        <v>326</v>
      </c>
      <c r="X156" s="492"/>
      <c r="Y156" s="491" t="s">
        <v>340</v>
      </c>
      <c r="Z156" s="492"/>
      <c r="AA156" s="503"/>
      <c r="AB156" s="504"/>
      <c r="AC156" s="375"/>
      <c r="AD156" s="375"/>
      <c r="AE156" s="375"/>
      <c r="AF156" s="375"/>
      <c r="AG156" s="375"/>
      <c r="AH156" s="375"/>
      <c r="AI156" s="340"/>
      <c r="AJ156" s="375"/>
      <c r="AK156" s="375"/>
      <c r="AL156" s="375"/>
      <c r="AM156" s="375"/>
      <c r="AN156" s="375"/>
    </row>
  </sheetData>
  <sheetProtection formatColumns="0" insertRows="0"/>
  <mergeCells count="39">
    <mergeCell ref="AA155:AB155"/>
    <mergeCell ref="M156:N156"/>
    <mergeCell ref="S156:T156"/>
    <mergeCell ref="U156:V156"/>
    <mergeCell ref="AA156:AB156"/>
    <mergeCell ref="O156:P156"/>
    <mergeCell ref="Q156:R156"/>
    <mergeCell ref="W155:X155"/>
    <mergeCell ref="W156:X156"/>
    <mergeCell ref="Y155:Z155"/>
    <mergeCell ref="Y156:Z156"/>
    <mergeCell ref="E156:F156"/>
    <mergeCell ref="G156:H156"/>
    <mergeCell ref="I156:J156"/>
    <mergeCell ref="K156:L156"/>
    <mergeCell ref="E1:V1"/>
    <mergeCell ref="U2:V2"/>
    <mergeCell ref="E155:F155"/>
    <mergeCell ref="G155:H155"/>
    <mergeCell ref="I155:J155"/>
    <mergeCell ref="K155:L155"/>
    <mergeCell ref="M155:N155"/>
    <mergeCell ref="O155:P155"/>
    <mergeCell ref="Q155:R155"/>
    <mergeCell ref="S155:T155"/>
    <mergeCell ref="U155:V155"/>
    <mergeCell ref="AB1:AK1"/>
    <mergeCell ref="E2:F2"/>
    <mergeCell ref="G2:H2"/>
    <mergeCell ref="I2:J2"/>
    <mergeCell ref="K2:L2"/>
    <mergeCell ref="M2:N2"/>
    <mergeCell ref="O2:P2"/>
    <mergeCell ref="Q2:R2"/>
    <mergeCell ref="S2:T2"/>
    <mergeCell ref="W2:X2"/>
    <mergeCell ref="Y2:Z2"/>
    <mergeCell ref="W1:X1"/>
    <mergeCell ref="Y1:Z1"/>
  </mergeCells>
  <dataValidations count="6">
    <dataValidation type="list" allowBlank="1" showInputMessage="1" showErrorMessage="1" sqref="J16 H16 F16 L16 N16 P16 R16 T16 V16 X16 Z16:AA16" xr:uid="{A0342ADF-EE96-4A1A-BB39-A8110E5FADB2}">
      <formula1>fee_unit</formula1>
    </dataValidation>
    <dataValidation type="decimal" operator="greaterThanOrEqual" allowBlank="1" showInputMessage="1" showErrorMessage="1" errorTitle="data type error" error="value must be number greater or equal to 0" sqref="K4:K15 I4:I15 G4:G15 M4:M15 U4:U15 O4:O15 Q4:Q15 S4:S15 D4:E15 AB4:AK15 AB53:AK153 I53:I152 G53:G152 D53:E152 AB17:AK51 W4:W15 Y4:Y15" xr:uid="{2FEB685C-5952-4A62-8CCF-649DF2B5AE3D}">
      <formula1>0</formula1>
    </dataValidation>
    <dataValidation type="list" allowBlank="1" showInputMessage="1" showErrorMessage="1" sqref="C16" xr:uid="{F2B7FF43-EFC9-42DD-A678-EBD80D5B118F}">
      <formula1>rev_class</formula1>
    </dataValidation>
    <dataValidation type="list" allowBlank="1" showInputMessage="1" showErrorMessage="1" sqref="F4:F15 H4:H15 J4:J15 L4:L15 N4:N15 P4:P15 R4:R15 T4:T15 N83:P83 L55:N55 M56:M83 L53:O53 N54 N56:N82 Q53:Q54 L54 P53:P82 S53:S54 S58:S61 Q152 S152 J53:J152 F53:F152 L56:L152 H53:H152 N84:N152 M86:M152 P84:P152 U53:U54 V4:V15 U58:U61 Z4:AA15 T53:T152 R53:R152 X54:X152 X4:X15 Z54:Z152 AA53:AA152 W53:Z53 V53:V152" xr:uid="{44991E1E-C0D7-45D2-B443-5FF8EF7855FF}">
      <formula1>"SCH, QCH, SEM, SES, APP, DAY, EACH, MO, ONCE, SUM, VAR, YEAR,DSC"</formula1>
    </dataValidation>
    <dataValidation type="list" allowBlank="1" showInputMessage="1" showErrorMessage="1" sqref="C4:C15 C53:C152" xr:uid="{D4531840-D170-42A7-9433-C8070E5E79F7}">
      <formula1>"UnresGen, UnresAuxOprt, Restrct"</formula1>
    </dataValidation>
    <dataValidation type="decimal" operator="greaterThanOrEqual" allowBlank="1" showInputMessage="1" showErrorMessage="1" errorTitle="Data Type Error" error="Value must be a number greater than or equal to 0." sqref="AB16:AK16" xr:uid="{EC947369-F371-4857-96DF-D015F781FB3B}">
      <formula1>0</formula1>
    </dataValidation>
  </dataValidations>
  <pageMargins left="0.2" right="0.2" top="0.5" bottom="0.5" header="0.3" footer="0.3"/>
  <pageSetup scale="55" fitToHeight="0" orientation="landscape" r:id="rId1"/>
  <ignoredErrors>
    <ignoredError sqref="AJ49:AJ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70"/>
  <sheetViews>
    <sheetView zoomScale="80" zoomScaleNormal="80" workbookViewId="0">
      <pane xSplit="1" ySplit="6" topLeftCell="BT7" activePane="bottomRight" state="frozen"/>
      <selection activeCell="C23" sqref="C23"/>
      <selection pane="topRight" activeCell="C23" sqref="C23"/>
      <selection pane="bottomLeft" activeCell="C23" sqref="C23"/>
      <selection pane="bottomRight" activeCell="CO25" sqref="CO25"/>
    </sheetView>
  </sheetViews>
  <sheetFormatPr defaultColWidth="11.42578125" defaultRowHeight="14.25"/>
  <cols>
    <col min="1" max="1" width="52.42578125" style="20" customWidth="1"/>
    <col min="2" max="10" width="17.28515625" style="20" hidden="1" customWidth="1"/>
    <col min="11" max="11" width="15.42578125" style="20" hidden="1" customWidth="1"/>
    <col min="12" max="20" width="17.28515625" style="20" hidden="1" customWidth="1"/>
    <col min="21" max="21" width="15.42578125" style="20" hidden="1" customWidth="1"/>
    <col min="22" max="30" width="17.28515625" style="20" hidden="1" customWidth="1"/>
    <col min="31" max="31" width="15.42578125" style="20" hidden="1" customWidth="1"/>
    <col min="32" max="40" width="17.28515625" style="20" hidden="1" customWidth="1"/>
    <col min="41" max="41" width="15.42578125" style="20" hidden="1" customWidth="1"/>
    <col min="42" max="50" width="17.28515625" style="20" hidden="1" customWidth="1"/>
    <col min="51" max="51" width="15.42578125" style="20" hidden="1" customWidth="1"/>
    <col min="52" max="52" width="17.28515625" style="222" hidden="1" customWidth="1"/>
    <col min="53" max="53" width="14.85546875" style="20" hidden="1" customWidth="1"/>
    <col min="54" max="54" width="14.7109375" style="20" hidden="1" customWidth="1"/>
    <col min="55" max="56" width="13.28515625" style="20" hidden="1" customWidth="1"/>
    <col min="57" max="57" width="11.85546875" style="20" hidden="1" customWidth="1"/>
    <col min="58" max="58" width="13.5703125" style="20" hidden="1" customWidth="1"/>
    <col min="59" max="59" width="14" style="20" hidden="1" customWidth="1"/>
    <col min="60" max="60" width="14.85546875" style="20" hidden="1" customWidth="1"/>
    <col min="61" max="61" width="15.42578125" style="20" hidden="1" customWidth="1"/>
    <col min="62" max="62" width="17.28515625" style="20" hidden="1" customWidth="1"/>
    <col min="63" max="63" width="14.85546875" style="20" hidden="1" customWidth="1"/>
    <col min="64" max="64" width="13.42578125" style="20" hidden="1" customWidth="1"/>
    <col min="65" max="65" width="15.42578125" style="20" hidden="1" customWidth="1"/>
    <col min="66" max="66" width="13.5703125" style="20" hidden="1" customWidth="1"/>
    <col min="67" max="67" width="11.5703125" style="20" hidden="1" customWidth="1"/>
    <col min="68" max="68" width="15.140625" style="20" hidden="1" customWidth="1"/>
    <col min="69" max="69" width="12.5703125" style="20" hidden="1" customWidth="1"/>
    <col min="70" max="71" width="15.42578125" style="20" hidden="1" customWidth="1"/>
    <col min="72" max="73" width="14.28515625" style="20" customWidth="1"/>
    <col min="74" max="74" width="11" style="20" customWidth="1"/>
    <col min="75" max="75" width="13.5703125" style="20" customWidth="1"/>
    <col min="76" max="76" width="12.28515625" style="20" customWidth="1"/>
    <col min="77" max="77" width="11.5703125" style="20" customWidth="1"/>
    <col min="78" max="78" width="15" style="20" customWidth="1"/>
    <col min="79" max="79" width="12.5703125" style="20" customWidth="1"/>
    <col min="80" max="80" width="13.85546875" style="20" customWidth="1"/>
    <col min="81" max="81" width="14" style="20" customWidth="1"/>
    <col min="82" max="82" width="15.28515625" style="20" customWidth="1"/>
    <col min="83" max="83" width="13.7109375" style="20" customWidth="1"/>
    <col min="84" max="84" width="10.7109375" style="20" customWidth="1"/>
    <col min="85" max="85" width="13.28515625" style="20" customWidth="1"/>
    <col min="86" max="86" width="12.42578125" style="20" customWidth="1"/>
    <col min="87" max="87" width="12.5703125" style="20" customWidth="1"/>
    <col min="88" max="88" width="13.28515625" style="20" customWidth="1"/>
    <col min="89" max="89" width="12.5703125" style="20" customWidth="1"/>
    <col min="90" max="90" width="13.7109375" style="20" customWidth="1"/>
    <col min="91" max="91" width="13.85546875" style="20" customWidth="1"/>
    <col min="92" max="16384" width="11.42578125" style="20"/>
  </cols>
  <sheetData>
    <row r="1" spans="1:91">
      <c r="K1" s="168"/>
      <c r="U1" s="168"/>
      <c r="AE1" s="168"/>
      <c r="AO1" s="168"/>
      <c r="AY1" s="168"/>
    </row>
    <row r="2" spans="1:91" s="138" customFormat="1" ht="23.25" customHeight="1">
      <c r="A2" s="137"/>
      <c r="B2" s="521" t="s">
        <v>276</v>
      </c>
      <c r="C2" s="521"/>
      <c r="D2" s="521"/>
      <c r="E2" s="521"/>
      <c r="F2" s="521"/>
      <c r="G2" s="521"/>
      <c r="H2" s="521"/>
      <c r="I2" s="521"/>
      <c r="J2" s="521"/>
      <c r="K2" s="401"/>
      <c r="L2" s="565" t="s">
        <v>1</v>
      </c>
      <c r="M2" s="565"/>
      <c r="N2" s="565"/>
      <c r="O2" s="565"/>
      <c r="P2" s="565"/>
      <c r="Q2" s="565"/>
      <c r="R2" s="565"/>
      <c r="S2" s="565"/>
      <c r="T2" s="565"/>
      <c r="U2" s="146"/>
      <c r="V2" s="541" t="s">
        <v>278</v>
      </c>
      <c r="W2" s="542"/>
      <c r="X2" s="542"/>
      <c r="Y2" s="542"/>
      <c r="Z2" s="542"/>
      <c r="AA2" s="542"/>
      <c r="AB2" s="542"/>
      <c r="AC2" s="542"/>
      <c r="AD2" s="542"/>
      <c r="AE2" s="543"/>
      <c r="AF2" s="538" t="s">
        <v>279</v>
      </c>
      <c r="AG2" s="539"/>
      <c r="AH2" s="539"/>
      <c r="AI2" s="539"/>
      <c r="AJ2" s="539"/>
      <c r="AK2" s="539"/>
      <c r="AL2" s="539"/>
      <c r="AM2" s="539"/>
      <c r="AN2" s="539"/>
      <c r="AO2" s="540"/>
      <c r="AP2" s="535" t="s">
        <v>280</v>
      </c>
      <c r="AQ2" s="536"/>
      <c r="AR2" s="536"/>
      <c r="AS2" s="536"/>
      <c r="AT2" s="536"/>
      <c r="AU2" s="536"/>
      <c r="AV2" s="536"/>
      <c r="AW2" s="536"/>
      <c r="AX2" s="536"/>
      <c r="AY2" s="537"/>
      <c r="AZ2" s="562" t="s">
        <v>281</v>
      </c>
      <c r="BA2" s="563"/>
      <c r="BB2" s="563"/>
      <c r="BC2" s="563"/>
      <c r="BD2" s="563"/>
      <c r="BE2" s="563"/>
      <c r="BF2" s="563"/>
      <c r="BG2" s="563"/>
      <c r="BH2" s="563"/>
      <c r="BI2" s="564"/>
      <c r="BJ2" s="520" t="s">
        <v>282</v>
      </c>
      <c r="BK2" s="521"/>
      <c r="BL2" s="521"/>
      <c r="BM2" s="521"/>
      <c r="BN2" s="521"/>
      <c r="BO2" s="521"/>
      <c r="BP2" s="521"/>
      <c r="BQ2" s="521"/>
      <c r="BR2" s="521"/>
      <c r="BS2" s="522"/>
      <c r="BT2" s="529" t="s">
        <v>283</v>
      </c>
      <c r="BU2" s="530"/>
      <c r="BV2" s="530"/>
      <c r="BW2" s="530"/>
      <c r="BX2" s="530"/>
      <c r="BY2" s="530"/>
      <c r="BZ2" s="530"/>
      <c r="CA2" s="530"/>
      <c r="CB2" s="530"/>
      <c r="CC2" s="531"/>
      <c r="CD2" s="541" t="s">
        <v>284</v>
      </c>
      <c r="CE2" s="542"/>
      <c r="CF2" s="542"/>
      <c r="CG2" s="542"/>
      <c r="CH2" s="542"/>
      <c r="CI2" s="542"/>
      <c r="CJ2" s="542"/>
      <c r="CK2" s="542"/>
      <c r="CL2" s="542"/>
      <c r="CM2" s="543"/>
    </row>
    <row r="3" spans="1:91" s="16" customFormat="1" ht="18" customHeight="1">
      <c r="A3" s="73"/>
      <c r="B3" s="100"/>
      <c r="C3" s="100"/>
      <c r="D3" s="100"/>
      <c r="E3" s="100"/>
      <c r="F3" s="100"/>
      <c r="G3" s="100"/>
      <c r="H3" s="100"/>
      <c r="I3" s="100"/>
      <c r="J3" s="100"/>
      <c r="K3" s="155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01"/>
      <c r="W3" s="102"/>
      <c r="X3" s="102"/>
      <c r="Y3" s="102"/>
      <c r="Z3" s="102"/>
      <c r="AA3" s="102"/>
      <c r="AB3" s="102"/>
      <c r="AC3" s="102"/>
      <c r="AD3" s="102"/>
      <c r="AE3" s="103"/>
      <c r="AF3" s="105"/>
      <c r="AG3" s="106"/>
      <c r="AH3" s="106"/>
      <c r="AI3" s="106"/>
      <c r="AJ3" s="106"/>
      <c r="AK3" s="106"/>
      <c r="AL3" s="106"/>
      <c r="AM3" s="106"/>
      <c r="AN3" s="106"/>
      <c r="AO3" s="175"/>
      <c r="AP3" s="127"/>
      <c r="AQ3" s="128"/>
      <c r="AR3" s="128"/>
      <c r="AS3" s="128"/>
      <c r="AT3" s="128"/>
      <c r="AU3" s="128"/>
      <c r="AV3" s="128"/>
      <c r="AW3" s="128"/>
      <c r="AX3" s="128"/>
      <c r="AY3" s="172"/>
      <c r="AZ3" s="223"/>
      <c r="BA3" s="185"/>
      <c r="BB3" s="185"/>
      <c r="BC3" s="185"/>
      <c r="BD3" s="185"/>
      <c r="BE3" s="185"/>
      <c r="BF3" s="185"/>
      <c r="BG3" s="185"/>
      <c r="BH3" s="185"/>
      <c r="BI3" s="171"/>
      <c r="BJ3" s="191"/>
      <c r="BK3" s="100"/>
      <c r="BL3" s="100"/>
      <c r="BM3" s="100"/>
      <c r="BN3" s="100"/>
      <c r="BO3" s="100"/>
      <c r="BP3" s="100"/>
      <c r="BQ3" s="100"/>
      <c r="BR3" s="100"/>
      <c r="BS3" s="155"/>
      <c r="BT3" s="342"/>
      <c r="BU3" s="343"/>
      <c r="BV3" s="343"/>
      <c r="BW3" s="343"/>
      <c r="BX3" s="343"/>
      <c r="BY3" s="343"/>
      <c r="BZ3" s="343"/>
      <c r="CA3" s="343"/>
      <c r="CB3" s="343"/>
      <c r="CC3" s="344"/>
      <c r="CD3" s="101"/>
      <c r="CE3" s="102"/>
      <c r="CF3" s="102"/>
      <c r="CG3" s="102"/>
      <c r="CH3" s="102"/>
      <c r="CI3" s="102"/>
      <c r="CJ3" s="102"/>
      <c r="CK3" s="102"/>
      <c r="CL3" s="102"/>
      <c r="CM3" s="103"/>
    </row>
    <row r="4" spans="1:91" s="15" customFormat="1" ht="14.25" customHeight="1">
      <c r="A4" s="17"/>
      <c r="B4" s="88"/>
      <c r="C4" s="82"/>
      <c r="D4" s="82"/>
      <c r="E4" s="82"/>
      <c r="F4" s="82"/>
      <c r="G4" s="82"/>
      <c r="H4" s="82"/>
      <c r="I4" s="82"/>
      <c r="J4" s="82"/>
      <c r="K4" s="83"/>
      <c r="L4" s="30"/>
      <c r="M4" s="30"/>
      <c r="N4" s="30"/>
      <c r="O4" s="30"/>
      <c r="P4" s="30"/>
      <c r="Q4" s="30"/>
      <c r="R4" s="30"/>
      <c r="S4" s="30"/>
      <c r="T4" s="30"/>
      <c r="U4" s="31"/>
      <c r="V4" s="42"/>
      <c r="W4" s="37"/>
      <c r="X4" s="37"/>
      <c r="Y4" s="37"/>
      <c r="Z4" s="37"/>
      <c r="AA4" s="37"/>
      <c r="AB4" s="37"/>
      <c r="AC4" s="37"/>
      <c r="AD4" s="37"/>
      <c r="AE4" s="38"/>
      <c r="AF4" s="43"/>
      <c r="AG4" s="44"/>
      <c r="AH4" s="44"/>
      <c r="AI4" s="44"/>
      <c r="AJ4" s="44"/>
      <c r="AK4" s="44"/>
      <c r="AL4" s="44"/>
      <c r="AM4" s="44"/>
      <c r="AN4" s="44"/>
      <c r="AO4" s="176"/>
      <c r="AP4" s="129"/>
      <c r="AQ4" s="130"/>
      <c r="AR4" s="130"/>
      <c r="AS4" s="130"/>
      <c r="AT4" s="130"/>
      <c r="AU4" s="130"/>
      <c r="AV4" s="130"/>
      <c r="AW4" s="130"/>
      <c r="AX4" s="130"/>
      <c r="AY4" s="173"/>
      <c r="AZ4" s="224"/>
      <c r="BA4" s="186"/>
      <c r="BB4" s="186"/>
      <c r="BC4" s="186"/>
      <c r="BD4" s="186"/>
      <c r="BE4" s="186"/>
      <c r="BF4" s="186"/>
      <c r="BG4" s="186"/>
      <c r="BH4" s="186"/>
      <c r="BI4" s="169"/>
      <c r="BJ4" s="192"/>
      <c r="BK4" s="82"/>
      <c r="BL4" s="82"/>
      <c r="BM4" s="82"/>
      <c r="BN4" s="82"/>
      <c r="BO4" s="82"/>
      <c r="BP4" s="82"/>
      <c r="BQ4" s="82"/>
      <c r="BR4" s="82"/>
      <c r="BS4" s="83"/>
      <c r="BT4" s="345"/>
      <c r="BU4" s="346"/>
      <c r="BV4" s="346"/>
      <c r="BW4" s="346"/>
      <c r="BX4" s="346"/>
      <c r="BY4" s="346"/>
      <c r="BZ4" s="346"/>
      <c r="CA4" s="346"/>
      <c r="CB4" s="346"/>
      <c r="CC4" s="347"/>
      <c r="CD4" s="42"/>
      <c r="CE4" s="37"/>
      <c r="CF4" s="37"/>
      <c r="CG4" s="37"/>
      <c r="CH4" s="37"/>
      <c r="CI4" s="37"/>
      <c r="CJ4" s="37"/>
      <c r="CK4" s="37"/>
      <c r="CL4" s="37"/>
      <c r="CM4" s="38"/>
    </row>
    <row r="5" spans="1:91" s="15" customFormat="1" ht="14.25" customHeight="1">
      <c r="A5" s="17"/>
      <c r="B5" s="89"/>
      <c r="C5" s="84"/>
      <c r="D5" s="84"/>
      <c r="E5" s="523" t="s">
        <v>40</v>
      </c>
      <c r="F5" s="524"/>
      <c r="G5" s="524"/>
      <c r="H5" s="524"/>
      <c r="I5" s="525"/>
      <c r="J5" s="154"/>
      <c r="K5" s="156"/>
      <c r="L5" s="32"/>
      <c r="M5" s="32"/>
      <c r="N5" s="32"/>
      <c r="O5" s="569" t="s">
        <v>40</v>
      </c>
      <c r="P5" s="570"/>
      <c r="Q5" s="570"/>
      <c r="R5" s="570"/>
      <c r="S5" s="571"/>
      <c r="T5" s="180"/>
      <c r="U5" s="181"/>
      <c r="V5" s="51"/>
      <c r="W5" s="39"/>
      <c r="X5" s="39"/>
      <c r="Y5" s="544" t="s">
        <v>40</v>
      </c>
      <c r="Z5" s="545"/>
      <c r="AA5" s="545"/>
      <c r="AB5" s="545"/>
      <c r="AC5" s="546"/>
      <c r="AD5" s="179"/>
      <c r="AE5" s="178"/>
      <c r="AF5" s="48"/>
      <c r="AG5" s="45"/>
      <c r="AH5" s="45"/>
      <c r="AI5" s="566" t="s">
        <v>40</v>
      </c>
      <c r="AJ5" s="567"/>
      <c r="AK5" s="567"/>
      <c r="AL5" s="567"/>
      <c r="AM5" s="568"/>
      <c r="AN5" s="47"/>
      <c r="AO5" s="177"/>
      <c r="AP5" s="131"/>
      <c r="AQ5" s="132"/>
      <c r="AR5" s="132"/>
      <c r="AS5" s="556" t="s">
        <v>40</v>
      </c>
      <c r="AT5" s="557"/>
      <c r="AU5" s="557"/>
      <c r="AV5" s="557"/>
      <c r="AW5" s="558"/>
      <c r="AX5" s="133"/>
      <c r="AY5" s="174"/>
      <c r="AZ5" s="225"/>
      <c r="BA5" s="187"/>
      <c r="BB5" s="187"/>
      <c r="BC5" s="559" t="s">
        <v>40</v>
      </c>
      <c r="BD5" s="560"/>
      <c r="BE5" s="560"/>
      <c r="BF5" s="560"/>
      <c r="BG5" s="561"/>
      <c r="BH5" s="188"/>
      <c r="BI5" s="170"/>
      <c r="BJ5" s="193"/>
      <c r="BK5" s="84"/>
      <c r="BL5" s="84"/>
      <c r="BM5" s="523" t="s">
        <v>40</v>
      </c>
      <c r="BN5" s="524"/>
      <c r="BO5" s="524"/>
      <c r="BP5" s="524"/>
      <c r="BQ5" s="525"/>
      <c r="BR5" s="154"/>
      <c r="BS5" s="156"/>
      <c r="BT5" s="348"/>
      <c r="BU5" s="349"/>
      <c r="BV5" s="349"/>
      <c r="BW5" s="532" t="s">
        <v>40</v>
      </c>
      <c r="BX5" s="533"/>
      <c r="BY5" s="533"/>
      <c r="BZ5" s="533"/>
      <c r="CA5" s="534"/>
      <c r="CB5" s="350"/>
      <c r="CC5" s="351"/>
      <c r="CD5" s="51"/>
      <c r="CE5" s="39"/>
      <c r="CF5" s="39"/>
      <c r="CG5" s="544" t="s">
        <v>40</v>
      </c>
      <c r="CH5" s="545"/>
      <c r="CI5" s="545"/>
      <c r="CJ5" s="545"/>
      <c r="CK5" s="546"/>
      <c r="CL5" s="179"/>
      <c r="CM5" s="178"/>
    </row>
    <row r="6" spans="1:91" s="19" customFormat="1" ht="51" customHeight="1">
      <c r="A6" s="18" t="s">
        <v>41</v>
      </c>
      <c r="B6" s="376" t="s">
        <v>42</v>
      </c>
      <c r="C6" s="108" t="s">
        <v>43</v>
      </c>
      <c r="D6" s="377" t="s">
        <v>44</v>
      </c>
      <c r="E6" s="85" t="s">
        <v>45</v>
      </c>
      <c r="F6" s="108" t="s">
        <v>46</v>
      </c>
      <c r="G6" s="108" t="s">
        <v>47</v>
      </c>
      <c r="H6" s="108" t="s">
        <v>48</v>
      </c>
      <c r="I6" s="108" t="s">
        <v>39</v>
      </c>
      <c r="J6" s="376" t="s">
        <v>49</v>
      </c>
      <c r="K6" s="86" t="s">
        <v>303</v>
      </c>
      <c r="L6" s="381" t="s">
        <v>42</v>
      </c>
      <c r="M6" s="111" t="s">
        <v>43</v>
      </c>
      <c r="N6" s="382" t="s">
        <v>44</v>
      </c>
      <c r="O6" s="33" t="s">
        <v>45</v>
      </c>
      <c r="P6" s="111" t="s">
        <v>46</v>
      </c>
      <c r="Q6" s="111" t="s">
        <v>47</v>
      </c>
      <c r="R6" s="111" t="s">
        <v>48</v>
      </c>
      <c r="S6" s="111" t="s">
        <v>39</v>
      </c>
      <c r="T6" s="380" t="s">
        <v>49</v>
      </c>
      <c r="U6" s="34" t="s">
        <v>303</v>
      </c>
      <c r="V6" s="52" t="s">
        <v>42</v>
      </c>
      <c r="W6" s="104" t="s">
        <v>43</v>
      </c>
      <c r="X6" s="396" t="s">
        <v>44</v>
      </c>
      <c r="Y6" s="40" t="s">
        <v>45</v>
      </c>
      <c r="Z6" s="104" t="s">
        <v>46</v>
      </c>
      <c r="AA6" s="104" t="s">
        <v>47</v>
      </c>
      <c r="AB6" s="104" t="s">
        <v>48</v>
      </c>
      <c r="AC6" s="104" t="s">
        <v>39</v>
      </c>
      <c r="AD6" s="395" t="s">
        <v>49</v>
      </c>
      <c r="AE6" s="41" t="s">
        <v>303</v>
      </c>
      <c r="AF6" s="49" t="s">
        <v>42</v>
      </c>
      <c r="AG6" s="107" t="s">
        <v>43</v>
      </c>
      <c r="AH6" s="379" t="s">
        <v>44</v>
      </c>
      <c r="AI6" s="46" t="s">
        <v>45</v>
      </c>
      <c r="AJ6" s="107" t="s">
        <v>46</v>
      </c>
      <c r="AK6" s="107" t="s">
        <v>47</v>
      </c>
      <c r="AL6" s="107" t="s">
        <v>48</v>
      </c>
      <c r="AM6" s="107" t="s">
        <v>39</v>
      </c>
      <c r="AN6" s="378" t="s">
        <v>49</v>
      </c>
      <c r="AO6" s="182" t="s">
        <v>303</v>
      </c>
      <c r="AP6" s="134" t="s">
        <v>42</v>
      </c>
      <c r="AQ6" s="135" t="s">
        <v>43</v>
      </c>
      <c r="AR6" s="398" t="s">
        <v>44</v>
      </c>
      <c r="AS6" s="136" t="s">
        <v>45</v>
      </c>
      <c r="AT6" s="135" t="s">
        <v>46</v>
      </c>
      <c r="AU6" s="135" t="s">
        <v>47</v>
      </c>
      <c r="AV6" s="135" t="s">
        <v>48</v>
      </c>
      <c r="AW6" s="135" t="s">
        <v>39</v>
      </c>
      <c r="AX6" s="397" t="s">
        <v>49</v>
      </c>
      <c r="AY6" s="183" t="s">
        <v>303</v>
      </c>
      <c r="AZ6" s="226" t="s">
        <v>42</v>
      </c>
      <c r="BA6" s="189" t="s">
        <v>43</v>
      </c>
      <c r="BB6" s="400" t="s">
        <v>44</v>
      </c>
      <c r="BC6" s="190" t="s">
        <v>45</v>
      </c>
      <c r="BD6" s="189" t="s">
        <v>46</v>
      </c>
      <c r="BE6" s="189" t="s">
        <v>47</v>
      </c>
      <c r="BF6" s="189" t="s">
        <v>48</v>
      </c>
      <c r="BG6" s="189" t="s">
        <v>39</v>
      </c>
      <c r="BH6" s="399" t="s">
        <v>49</v>
      </c>
      <c r="BI6" s="184" t="s">
        <v>303</v>
      </c>
      <c r="BJ6" s="194" t="s">
        <v>42</v>
      </c>
      <c r="BK6" s="108" t="s">
        <v>43</v>
      </c>
      <c r="BL6" s="377" t="s">
        <v>44</v>
      </c>
      <c r="BM6" s="85" t="s">
        <v>45</v>
      </c>
      <c r="BN6" s="108" t="s">
        <v>46</v>
      </c>
      <c r="BO6" s="108" t="s">
        <v>47</v>
      </c>
      <c r="BP6" s="108" t="s">
        <v>48</v>
      </c>
      <c r="BQ6" s="108" t="s">
        <v>39</v>
      </c>
      <c r="BR6" s="376" t="s">
        <v>49</v>
      </c>
      <c r="BS6" s="86" t="s">
        <v>303</v>
      </c>
      <c r="BT6" s="352" t="s">
        <v>42</v>
      </c>
      <c r="BU6" s="353" t="s">
        <v>43</v>
      </c>
      <c r="BV6" s="394" t="s">
        <v>44</v>
      </c>
      <c r="BW6" s="354" t="s">
        <v>45</v>
      </c>
      <c r="BX6" s="353" t="s">
        <v>46</v>
      </c>
      <c r="BY6" s="353" t="s">
        <v>47</v>
      </c>
      <c r="BZ6" s="353" t="s">
        <v>48</v>
      </c>
      <c r="CA6" s="353" t="s">
        <v>39</v>
      </c>
      <c r="CB6" s="393" t="s">
        <v>49</v>
      </c>
      <c r="CC6" s="355" t="s">
        <v>303</v>
      </c>
      <c r="CD6" s="52" t="s">
        <v>42</v>
      </c>
      <c r="CE6" s="104" t="s">
        <v>43</v>
      </c>
      <c r="CF6" s="396" t="s">
        <v>44</v>
      </c>
      <c r="CG6" s="40" t="s">
        <v>45</v>
      </c>
      <c r="CH6" s="104" t="s">
        <v>46</v>
      </c>
      <c r="CI6" s="104" t="s">
        <v>47</v>
      </c>
      <c r="CJ6" s="104" t="s">
        <v>48</v>
      </c>
      <c r="CK6" s="104" t="s">
        <v>39</v>
      </c>
      <c r="CL6" s="395" t="s">
        <v>49</v>
      </c>
      <c r="CM6" s="41" t="s">
        <v>303</v>
      </c>
    </row>
    <row r="7" spans="1:91" s="5" customFormat="1" ht="15.95" customHeight="1">
      <c r="B7" s="90"/>
      <c r="C7" s="61"/>
      <c r="D7" s="62"/>
      <c r="E7" s="63"/>
      <c r="F7" s="63"/>
      <c r="G7" s="63"/>
      <c r="H7" s="63"/>
      <c r="I7" s="63"/>
      <c r="J7" s="63"/>
      <c r="K7" s="166"/>
      <c r="L7" s="157"/>
      <c r="M7" s="61"/>
      <c r="N7" s="62"/>
      <c r="O7" s="63"/>
      <c r="P7" s="63"/>
      <c r="Q7" s="63"/>
      <c r="R7" s="63"/>
      <c r="S7" s="63"/>
      <c r="T7" s="63"/>
      <c r="U7" s="166"/>
      <c r="V7" s="55"/>
      <c r="W7" s="61"/>
      <c r="X7" s="62"/>
      <c r="Y7" s="63"/>
      <c r="Z7" s="63"/>
      <c r="AA7" s="63"/>
      <c r="AB7" s="63"/>
      <c r="AC7" s="63"/>
      <c r="AD7" s="63"/>
      <c r="AE7" s="166"/>
      <c r="AF7" s="55"/>
      <c r="AG7" s="61"/>
      <c r="AH7" s="62"/>
      <c r="AI7" s="63"/>
      <c r="AJ7" s="63"/>
      <c r="AK7" s="63"/>
      <c r="AL7" s="63"/>
      <c r="AM7" s="63"/>
      <c r="AN7" s="63"/>
      <c r="AO7" s="166"/>
      <c r="AP7" s="55"/>
      <c r="AQ7" s="61"/>
      <c r="AR7" s="62"/>
      <c r="AS7" s="63"/>
      <c r="AT7" s="63"/>
      <c r="AU7" s="63"/>
      <c r="AV7" s="63"/>
      <c r="AW7" s="63"/>
      <c r="AX7" s="63"/>
      <c r="AY7" s="166"/>
      <c r="AZ7" s="227"/>
      <c r="BA7" s="61"/>
      <c r="BB7" s="62"/>
      <c r="BC7" s="63"/>
      <c r="BD7" s="63"/>
      <c r="BE7" s="63"/>
      <c r="BF7" s="63"/>
      <c r="BG7" s="63"/>
      <c r="BH7" s="63"/>
      <c r="BI7" s="166"/>
      <c r="BJ7" s="55"/>
      <c r="BK7" s="61"/>
      <c r="BL7" s="62"/>
      <c r="BM7" s="63"/>
      <c r="BN7" s="63"/>
      <c r="BO7" s="63"/>
      <c r="BP7" s="63"/>
      <c r="BQ7" s="63"/>
      <c r="BR7" s="63"/>
      <c r="BS7" s="166"/>
      <c r="BT7" s="55"/>
      <c r="BU7" s="61"/>
      <c r="BV7" s="62"/>
      <c r="BW7" s="63"/>
      <c r="BX7" s="63"/>
      <c r="BY7" s="63"/>
      <c r="BZ7" s="63"/>
      <c r="CA7" s="63"/>
      <c r="CB7" s="63"/>
      <c r="CC7" s="166"/>
      <c r="CD7" s="55"/>
      <c r="CE7" s="61"/>
      <c r="CF7" s="62"/>
      <c r="CG7" s="63"/>
      <c r="CH7" s="63"/>
      <c r="CI7" s="63"/>
      <c r="CJ7" s="63"/>
      <c r="CK7" s="63"/>
      <c r="CL7" s="63"/>
      <c r="CM7" s="166"/>
    </row>
    <row r="8" spans="1:91" s="57" customFormat="1" ht="15.95" customHeight="1">
      <c r="A8" s="76" t="s">
        <v>50</v>
      </c>
      <c r="B8" s="91"/>
      <c r="C8" s="64"/>
      <c r="D8" s="64"/>
      <c r="E8" s="65"/>
      <c r="F8" s="65"/>
      <c r="G8" s="65"/>
      <c r="H8" s="65"/>
      <c r="I8" s="65"/>
      <c r="J8" s="65"/>
      <c r="K8" s="167"/>
      <c r="L8" s="158"/>
      <c r="M8" s="64"/>
      <c r="N8" s="64"/>
      <c r="O8" s="65"/>
      <c r="P8" s="65"/>
      <c r="Q8" s="65"/>
      <c r="R8" s="65"/>
      <c r="S8" s="65"/>
      <c r="T8" s="65"/>
      <c r="U8" s="167"/>
      <c r="V8" s="56"/>
      <c r="W8" s="64"/>
      <c r="X8" s="64"/>
      <c r="Y8" s="65"/>
      <c r="Z8" s="65"/>
      <c r="AA8" s="65"/>
      <c r="AB8" s="65"/>
      <c r="AC8" s="65"/>
      <c r="AD8" s="65"/>
      <c r="AE8" s="167"/>
      <c r="AF8" s="56"/>
      <c r="AG8" s="64"/>
      <c r="AH8" s="64"/>
      <c r="AI8" s="65"/>
      <c r="AJ8" s="65"/>
      <c r="AK8" s="65"/>
      <c r="AL8" s="65"/>
      <c r="AM8" s="65"/>
      <c r="AN8" s="65"/>
      <c r="AO8" s="167"/>
      <c r="AP8" s="56"/>
      <c r="AQ8" s="64"/>
      <c r="AR8" s="64"/>
      <c r="AS8" s="65"/>
      <c r="AT8" s="65"/>
      <c r="AU8" s="65"/>
      <c r="AV8" s="65"/>
      <c r="AW8" s="65"/>
      <c r="AX8" s="65"/>
      <c r="AY8" s="167"/>
      <c r="AZ8" s="228"/>
      <c r="BA8" s="64"/>
      <c r="BB8" s="64"/>
      <c r="BC8" s="65"/>
      <c r="BD8" s="65"/>
      <c r="BE8" s="65"/>
      <c r="BF8" s="65"/>
      <c r="BG8" s="65"/>
      <c r="BH8" s="65"/>
      <c r="BI8" s="167"/>
      <c r="BJ8" s="56"/>
      <c r="BK8" s="64"/>
      <c r="BL8" s="64"/>
      <c r="BM8" s="65"/>
      <c r="BN8" s="65"/>
      <c r="BO8" s="65"/>
      <c r="BP8" s="65"/>
      <c r="BQ8" s="65"/>
      <c r="BR8" s="65"/>
      <c r="BS8" s="167"/>
      <c r="BT8" s="56"/>
      <c r="BU8" s="64"/>
      <c r="BV8" s="64"/>
      <c r="BW8" s="65"/>
      <c r="BX8" s="65"/>
      <c r="BY8" s="65"/>
      <c r="BZ8" s="65"/>
      <c r="CA8" s="65"/>
      <c r="CB8" s="65"/>
      <c r="CC8" s="167"/>
      <c r="CD8" s="56"/>
      <c r="CE8" s="64"/>
      <c r="CF8" s="64"/>
      <c r="CG8" s="65"/>
      <c r="CH8" s="65"/>
      <c r="CI8" s="65"/>
      <c r="CJ8" s="65"/>
      <c r="CK8" s="65"/>
      <c r="CL8" s="65"/>
      <c r="CM8" s="167"/>
    </row>
    <row r="9" spans="1:91" s="5" customFormat="1" ht="15.95" customHeight="1">
      <c r="A9" s="77"/>
      <c r="B9" s="90"/>
      <c r="C9" s="61"/>
      <c r="D9" s="61"/>
      <c r="E9" s="63"/>
      <c r="F9" s="63"/>
      <c r="G9" s="63"/>
      <c r="H9" s="63"/>
      <c r="I9" s="63"/>
      <c r="J9" s="63"/>
      <c r="K9" s="166"/>
      <c r="L9" s="157"/>
      <c r="M9" s="61"/>
      <c r="N9" s="61"/>
      <c r="O9" s="63"/>
      <c r="P9" s="63"/>
      <c r="Q9" s="63"/>
      <c r="R9" s="63"/>
      <c r="S9" s="63"/>
      <c r="T9" s="63"/>
      <c r="U9" s="166"/>
      <c r="V9" s="55"/>
      <c r="W9" s="61"/>
      <c r="X9" s="61"/>
      <c r="Y9" s="63"/>
      <c r="Z9" s="63"/>
      <c r="AA9" s="63"/>
      <c r="AB9" s="63"/>
      <c r="AC9" s="63"/>
      <c r="AD9" s="63"/>
      <c r="AE9" s="166"/>
      <c r="AF9" s="55"/>
      <c r="AG9" s="61"/>
      <c r="AH9" s="61"/>
      <c r="AI9" s="63"/>
      <c r="AJ9" s="63"/>
      <c r="AK9" s="63"/>
      <c r="AL9" s="63"/>
      <c r="AM9" s="63"/>
      <c r="AN9" s="63"/>
      <c r="AO9" s="166"/>
      <c r="AP9" s="55"/>
      <c r="AQ9" s="61"/>
      <c r="AR9" s="61"/>
      <c r="AS9" s="63"/>
      <c r="AT9" s="63"/>
      <c r="AU9" s="63"/>
      <c r="AV9" s="63"/>
      <c r="AW9" s="63"/>
      <c r="AX9" s="63"/>
      <c r="AY9" s="166"/>
      <c r="AZ9" s="227"/>
      <c r="BA9" s="61"/>
      <c r="BB9" s="61"/>
      <c r="BC9" s="63"/>
      <c r="BD9" s="63"/>
      <c r="BE9" s="63"/>
      <c r="BF9" s="63"/>
      <c r="BG9" s="63"/>
      <c r="BH9" s="63"/>
      <c r="BI9" s="166"/>
      <c r="BJ9" s="55"/>
      <c r="BK9" s="61"/>
      <c r="BL9" s="61"/>
      <c r="BM9" s="63"/>
      <c r="BN9" s="63"/>
      <c r="BO9" s="63"/>
      <c r="BP9" s="63"/>
      <c r="BQ9" s="63"/>
      <c r="BR9" s="63"/>
      <c r="BS9" s="166"/>
      <c r="BT9" s="55"/>
      <c r="BU9" s="61"/>
      <c r="BV9" s="61"/>
      <c r="BW9" s="63"/>
      <c r="BX9" s="63"/>
      <c r="BY9" s="63"/>
      <c r="BZ9" s="63"/>
      <c r="CA9" s="63"/>
      <c r="CB9" s="63"/>
      <c r="CC9" s="166"/>
      <c r="CD9" s="55"/>
      <c r="CE9" s="61"/>
      <c r="CF9" s="61"/>
      <c r="CG9" s="63"/>
      <c r="CH9" s="63"/>
      <c r="CI9" s="63"/>
      <c r="CJ9" s="63"/>
      <c r="CK9" s="63"/>
      <c r="CL9" s="63"/>
      <c r="CM9" s="166"/>
    </row>
    <row r="10" spans="1:91" s="5" customFormat="1" ht="15.95" customHeight="1">
      <c r="A10" s="78" t="s">
        <v>51</v>
      </c>
      <c r="B10" s="90"/>
      <c r="C10" s="61"/>
      <c r="D10" s="61"/>
      <c r="E10" s="63"/>
      <c r="F10" s="63"/>
      <c r="G10" s="63"/>
      <c r="H10" s="63"/>
      <c r="I10" s="63"/>
      <c r="J10" s="63"/>
      <c r="K10" s="166"/>
      <c r="L10" s="157"/>
      <c r="M10" s="61"/>
      <c r="N10" s="61"/>
      <c r="O10" s="63"/>
      <c r="P10" s="63"/>
      <c r="Q10" s="63"/>
      <c r="R10" s="63"/>
      <c r="S10" s="63"/>
      <c r="T10" s="63"/>
      <c r="U10" s="166"/>
      <c r="V10" s="55"/>
      <c r="W10" s="61"/>
      <c r="X10" s="61"/>
      <c r="Y10" s="63"/>
      <c r="Z10" s="63"/>
      <c r="AA10" s="63"/>
      <c r="AB10" s="63"/>
      <c r="AC10" s="63"/>
      <c r="AD10" s="63"/>
      <c r="AE10" s="166"/>
      <c r="AF10" s="55"/>
      <c r="AG10" s="61"/>
      <c r="AH10" s="61"/>
      <c r="AI10" s="63"/>
      <c r="AJ10" s="63"/>
      <c r="AK10" s="63"/>
      <c r="AL10" s="63"/>
      <c r="AM10" s="63"/>
      <c r="AN10" s="63"/>
      <c r="AO10" s="166"/>
      <c r="AP10" s="55"/>
      <c r="AQ10" s="61"/>
      <c r="AR10" s="61"/>
      <c r="AS10" s="63"/>
      <c r="AT10" s="63"/>
      <c r="AU10" s="63"/>
      <c r="AV10" s="63"/>
      <c r="AW10" s="63"/>
      <c r="AX10" s="63"/>
      <c r="AY10" s="166"/>
      <c r="AZ10" s="356"/>
      <c r="BA10" s="66"/>
      <c r="BB10" s="66"/>
      <c r="BC10" s="66"/>
      <c r="BD10" s="66"/>
      <c r="BE10" s="66"/>
      <c r="BF10" s="66"/>
      <c r="BG10" s="66"/>
      <c r="BH10" s="66"/>
      <c r="BI10" s="357"/>
      <c r="BJ10" s="243"/>
      <c r="BK10" s="61"/>
      <c r="BL10" s="61"/>
      <c r="BM10" s="63"/>
      <c r="BN10" s="63"/>
      <c r="BO10" s="63"/>
      <c r="BP10" s="63"/>
      <c r="BQ10" s="63"/>
      <c r="BR10" s="63"/>
      <c r="BS10" s="166"/>
      <c r="BT10" s="243"/>
      <c r="BU10" s="61"/>
      <c r="BV10" s="61"/>
      <c r="BW10" s="63"/>
      <c r="BX10" s="63"/>
      <c r="BY10" s="63"/>
      <c r="BZ10" s="63"/>
      <c r="CA10" s="63"/>
      <c r="CB10" s="63"/>
      <c r="CC10" s="166"/>
      <c r="CD10" s="243"/>
      <c r="CE10" s="61"/>
      <c r="CF10" s="61"/>
      <c r="CG10" s="63"/>
      <c r="CH10" s="63"/>
      <c r="CI10" s="63"/>
      <c r="CJ10" s="63"/>
      <c r="CK10" s="63"/>
      <c r="CL10" s="63"/>
      <c r="CM10" s="166"/>
    </row>
    <row r="11" spans="1:91" s="58" customFormat="1" ht="15.95" customHeight="1">
      <c r="A11" s="143" t="s">
        <v>331</v>
      </c>
      <c r="B11" s="93">
        <v>55</v>
      </c>
      <c r="C11" s="66">
        <f>SUM(E11:I11)</f>
        <v>100470</v>
      </c>
      <c r="D11" s="66">
        <f t="shared" ref="D11:D33" si="0">IFERROR(C11/B11,0)</f>
        <v>1826.7272727272727</v>
      </c>
      <c r="E11" s="69"/>
      <c r="F11" s="69">
        <v>100470</v>
      </c>
      <c r="G11" s="69"/>
      <c r="H11" s="69"/>
      <c r="I11" s="69"/>
      <c r="J11" s="69">
        <v>100470</v>
      </c>
      <c r="K11" s="68">
        <f t="shared" ref="K11:K33" si="1">IF(J11=0,0,(IF(E11&lt;=J11,E11,J11)))</f>
        <v>0</v>
      </c>
      <c r="L11" s="159">
        <v>83</v>
      </c>
      <c r="M11" s="66">
        <f>SUM(O11:S11)</f>
        <v>244701</v>
      </c>
      <c r="N11" s="66">
        <f t="shared" ref="N11:N33" si="2">IFERROR(M11/L11,0)</f>
        <v>2948.2048192771085</v>
      </c>
      <c r="O11" s="69"/>
      <c r="P11" s="69">
        <v>244701</v>
      </c>
      <c r="Q11" s="69"/>
      <c r="R11" s="69"/>
      <c r="S11" s="69"/>
      <c r="T11" s="69">
        <v>244701</v>
      </c>
      <c r="U11" s="68">
        <f t="shared" ref="U11:U33" si="3">IF(T11=0,0,(IF(O11&lt;=T11,O11,T11)))</f>
        <v>0</v>
      </c>
      <c r="V11" s="59">
        <v>88</v>
      </c>
      <c r="W11" s="66">
        <f>SUM(Y11:AC11)</f>
        <v>279245</v>
      </c>
      <c r="X11" s="66">
        <f t="shared" ref="X11:X33" si="4">IFERROR(W11/V11,0)</f>
        <v>3173.2386363636365</v>
      </c>
      <c r="Y11" s="69"/>
      <c r="Z11" s="69">
        <v>279245</v>
      </c>
      <c r="AA11" s="69"/>
      <c r="AB11" s="69"/>
      <c r="AC11" s="69"/>
      <c r="AD11" s="69">
        <v>279245</v>
      </c>
      <c r="AE11" s="68">
        <f t="shared" ref="AE11:AE33" si="5">IF(AD11=0,0,(IF(Y11&lt;=AD11,Y11,AD11)))</f>
        <v>0</v>
      </c>
      <c r="AF11" s="59">
        <v>82</v>
      </c>
      <c r="AG11" s="66">
        <f>SUM(AI11:AM11)</f>
        <v>341509</v>
      </c>
      <c r="AH11" s="66">
        <f t="shared" ref="AH11:AH33" si="6">IFERROR(AG11/AF11,0)</f>
        <v>4164.7439024390242</v>
      </c>
      <c r="AI11" s="69"/>
      <c r="AJ11" s="69">
        <v>341509</v>
      </c>
      <c r="AK11" s="69"/>
      <c r="AL11" s="69"/>
      <c r="AM11" s="69"/>
      <c r="AN11" s="69">
        <v>341509</v>
      </c>
      <c r="AO11" s="68">
        <f t="shared" ref="AO11:AO33" si="7">IF(AN11=0,0,(IF(AI11&lt;=AN11,AI11,AN11)))</f>
        <v>0</v>
      </c>
      <c r="AP11" s="59">
        <v>67</v>
      </c>
      <c r="AQ11" s="66">
        <f>SUM(AS11:AW11)</f>
        <v>218837</v>
      </c>
      <c r="AR11" s="66">
        <f t="shared" ref="AR11:AR12" si="8">IFERROR(AQ11/AP11,0)</f>
        <v>3266.2238805970151</v>
      </c>
      <c r="AS11" s="69"/>
      <c r="AT11" s="69">
        <v>218837</v>
      </c>
      <c r="AU11" s="69"/>
      <c r="AV11" s="69"/>
      <c r="AW11" s="69"/>
      <c r="AX11" s="69">
        <v>218837</v>
      </c>
      <c r="AY11" s="68">
        <f t="shared" ref="AY11:AY33" si="9">IF(AX11=0,0,(IF(AS11&lt;=AX11,AS11,AX11)))</f>
        <v>0</v>
      </c>
      <c r="AZ11" s="356">
        <v>80</v>
      </c>
      <c r="BA11" s="66">
        <f t="shared" ref="BA11:BA26" si="10">SUM(BC11:BG11)</f>
        <v>195000</v>
      </c>
      <c r="BB11" s="66">
        <f t="shared" ref="BB11:BB26" si="11">IFERROR(BA11/AZ11,0)</f>
        <v>2437.5</v>
      </c>
      <c r="BC11" s="66"/>
      <c r="BD11" s="66">
        <v>195000</v>
      </c>
      <c r="BE11" s="66"/>
      <c r="BF11" s="66"/>
      <c r="BG11" s="66"/>
      <c r="BH11" s="66">
        <v>195000</v>
      </c>
      <c r="BI11" s="357">
        <f t="shared" ref="BI11:BI33" si="12">IF(BH11=0,0,(IF(BC11&lt;=BH11,BC11,BH11)))</f>
        <v>0</v>
      </c>
      <c r="BJ11" s="358">
        <v>43</v>
      </c>
      <c r="BK11" s="66">
        <f t="shared" ref="BK11:BK25" si="13">SUM(BM11:BQ11)</f>
        <v>110981</v>
      </c>
      <c r="BL11" s="66">
        <f t="shared" ref="BL11:BL26" si="14">IFERROR(BK11/BJ11,0)</f>
        <v>2580.953488372093</v>
      </c>
      <c r="BM11" s="69"/>
      <c r="BN11" s="69">
        <v>110981</v>
      </c>
      <c r="BO11" s="69"/>
      <c r="BP11" s="69"/>
      <c r="BQ11" s="69"/>
      <c r="BR11" s="69">
        <v>110981</v>
      </c>
      <c r="BS11" s="68">
        <f t="shared" ref="BS11:BS33" si="15">IF(BR11=0,0,(IF(BM11&lt;=BR11,BM11,BR11)))</f>
        <v>0</v>
      </c>
      <c r="BT11" s="358">
        <v>0</v>
      </c>
      <c r="BU11" s="66">
        <f t="shared" ref="BU11" si="16">SUM(BW11:CA11)</f>
        <v>0</v>
      </c>
      <c r="BV11" s="66">
        <f t="shared" ref="BV11" si="17">IFERROR(BU11/BT11,0)</f>
        <v>0</v>
      </c>
      <c r="BW11" s="69"/>
      <c r="BX11" s="69"/>
      <c r="BY11" s="69"/>
      <c r="BZ11" s="69"/>
      <c r="CA11" s="69"/>
      <c r="CB11" s="69"/>
      <c r="CC11" s="68">
        <f t="shared" ref="CC11" si="18">IF(CB11=0,0,(IF(BW11&lt;=CB11,BW11,CB11)))</f>
        <v>0</v>
      </c>
      <c r="CD11" s="244"/>
      <c r="CE11" s="66">
        <f t="shared" ref="CE11" si="19">SUM(CG11:CK11)</f>
        <v>0</v>
      </c>
      <c r="CF11" s="66">
        <f t="shared" ref="CF11" si="20">IFERROR(CE11/CD11,0)</f>
        <v>0</v>
      </c>
      <c r="CG11" s="195"/>
      <c r="CH11" s="195"/>
      <c r="CI11" s="195"/>
      <c r="CJ11" s="195"/>
      <c r="CK11" s="195"/>
      <c r="CL11" s="195"/>
      <c r="CM11" s="403">
        <f t="shared" ref="CM11" si="21">IF(CL11=0,0,(IF(CG11&lt;=CL11,CG11,CL11)))</f>
        <v>0</v>
      </c>
    </row>
    <row r="12" spans="1:91" s="58" customFormat="1" ht="15.95" customHeight="1">
      <c r="A12" s="143" t="s">
        <v>52</v>
      </c>
      <c r="B12" s="93">
        <v>482</v>
      </c>
      <c r="C12" s="66">
        <f t="shared" ref="C12:C33" si="22">SUM(E12:I12)</f>
        <v>2260096</v>
      </c>
      <c r="D12" s="66">
        <f t="shared" si="0"/>
        <v>4688.9958506224066</v>
      </c>
      <c r="E12" s="69"/>
      <c r="F12" s="69"/>
      <c r="G12" s="69"/>
      <c r="H12" s="69">
        <v>2260096</v>
      </c>
      <c r="I12" s="69"/>
      <c r="J12" s="69">
        <v>2050350</v>
      </c>
      <c r="K12" s="68">
        <f t="shared" si="1"/>
        <v>0</v>
      </c>
      <c r="L12" s="159">
        <v>440</v>
      </c>
      <c r="M12" s="66">
        <f t="shared" ref="M12:M33" si="23">SUM(O12:S12)</f>
        <v>2100136</v>
      </c>
      <c r="N12" s="66">
        <f t="shared" si="2"/>
        <v>4773.0363636363636</v>
      </c>
      <c r="O12" s="69"/>
      <c r="P12" s="69"/>
      <c r="Q12" s="69"/>
      <c r="R12" s="69">
        <v>2100136</v>
      </c>
      <c r="S12" s="69"/>
      <c r="T12" s="69">
        <v>1955388</v>
      </c>
      <c r="U12" s="68">
        <f t="shared" si="3"/>
        <v>0</v>
      </c>
      <c r="V12" s="59">
        <v>475</v>
      </c>
      <c r="W12" s="66">
        <f t="shared" ref="W12:W33" si="24">SUM(Y12:AC12)</f>
        <v>2294292</v>
      </c>
      <c r="X12" s="66">
        <f t="shared" si="4"/>
        <v>4830.0884210526319</v>
      </c>
      <c r="Y12" s="69"/>
      <c r="Z12" s="69"/>
      <c r="AA12" s="69"/>
      <c r="AB12" s="69">
        <v>2294292</v>
      </c>
      <c r="AC12" s="69"/>
      <c r="AD12" s="69">
        <v>2108550</v>
      </c>
      <c r="AE12" s="68">
        <f t="shared" si="5"/>
        <v>0</v>
      </c>
      <c r="AF12" s="59">
        <v>460</v>
      </c>
      <c r="AG12" s="66">
        <f t="shared" ref="AG12" si="25">SUM(AI12:AM12)</f>
        <v>2140448</v>
      </c>
      <c r="AH12" s="66">
        <f t="shared" si="6"/>
        <v>4653.1478260869562</v>
      </c>
      <c r="AI12" s="69"/>
      <c r="AJ12" s="69"/>
      <c r="AK12" s="69"/>
      <c r="AL12" s="69">
        <v>2140448</v>
      </c>
      <c r="AM12" s="69"/>
      <c r="AN12" s="69">
        <v>1931500</v>
      </c>
      <c r="AO12" s="68">
        <f t="shared" si="7"/>
        <v>0</v>
      </c>
      <c r="AP12" s="59">
        <v>448</v>
      </c>
      <c r="AQ12" s="66">
        <f t="shared" ref="AQ12" si="26">SUM(AS12:AW12)</f>
        <v>2117628</v>
      </c>
      <c r="AR12" s="66">
        <f t="shared" si="8"/>
        <v>4726.8482142857147</v>
      </c>
      <c r="AS12" s="69"/>
      <c r="AT12" s="69"/>
      <c r="AU12" s="69"/>
      <c r="AV12" s="69">
        <v>2117628</v>
      </c>
      <c r="AW12" s="69"/>
      <c r="AX12" s="69">
        <v>1919454</v>
      </c>
      <c r="AY12" s="68">
        <f t="shared" si="9"/>
        <v>0</v>
      </c>
      <c r="AZ12" s="356">
        <v>488</v>
      </c>
      <c r="BA12" s="66">
        <f t="shared" si="10"/>
        <v>2392102</v>
      </c>
      <c r="BB12" s="66">
        <f t="shared" si="11"/>
        <v>4901.8483606557375</v>
      </c>
      <c r="BC12" s="66"/>
      <c r="BD12" s="66"/>
      <c r="BE12" s="66"/>
      <c r="BF12" s="66">
        <v>2392102</v>
      </c>
      <c r="BG12" s="66"/>
      <c r="BH12" s="66">
        <v>2154757</v>
      </c>
      <c r="BI12" s="357">
        <f t="shared" si="12"/>
        <v>0</v>
      </c>
      <c r="BJ12" s="358">
        <v>470</v>
      </c>
      <c r="BK12" s="66">
        <f t="shared" si="13"/>
        <v>2239130</v>
      </c>
      <c r="BL12" s="66">
        <f t="shared" si="14"/>
        <v>4764.1063829787236</v>
      </c>
      <c r="BM12" s="69"/>
      <c r="BN12" s="69"/>
      <c r="BO12" s="69"/>
      <c r="BP12" s="69">
        <v>2239130</v>
      </c>
      <c r="BQ12" s="69"/>
      <c r="BR12" s="69">
        <v>2097445</v>
      </c>
      <c r="BS12" s="68">
        <f t="shared" si="15"/>
        <v>0</v>
      </c>
      <c r="BT12" s="358">
        <v>423</v>
      </c>
      <c r="BU12" s="66">
        <f t="shared" ref="BU12:BU33" si="27">SUM(BW12:CA12)</f>
        <v>1971319</v>
      </c>
      <c r="BV12" s="66">
        <f t="shared" ref="BV12:BV33" si="28">IFERROR(BU12/BT12,0)</f>
        <v>4660.3286052009453</v>
      </c>
      <c r="BW12" s="69"/>
      <c r="BX12" s="69"/>
      <c r="BY12" s="69"/>
      <c r="BZ12" s="69">
        <v>1971319</v>
      </c>
      <c r="CA12" s="69"/>
      <c r="CB12" s="69">
        <v>1811853</v>
      </c>
      <c r="CC12" s="68">
        <f t="shared" ref="CC12:CC33" si="29">IF(CB12=0,0,(IF(BW12&lt;=CB12,BW12,CB12)))</f>
        <v>0</v>
      </c>
      <c r="CD12" s="244">
        <v>367</v>
      </c>
      <c r="CE12" s="66">
        <f t="shared" ref="CE12:CE33" si="30">SUM(CG12:CK12)</f>
        <v>1669354</v>
      </c>
      <c r="CF12" s="66">
        <f t="shared" ref="CF12:CF33" si="31">IFERROR(CE12/CD12,0)</f>
        <v>4548.6485013623978</v>
      </c>
      <c r="CG12" s="195"/>
      <c r="CH12" s="195"/>
      <c r="CI12" s="195"/>
      <c r="CJ12" s="195">
        <v>1669354</v>
      </c>
      <c r="CK12" s="195"/>
      <c r="CL12" s="195">
        <v>1509083</v>
      </c>
      <c r="CM12" s="403">
        <f t="shared" ref="CM12:CM33" si="32">IF(CL12=0,0,(IF(CG12&lt;=CL12,CG12,CL12)))</f>
        <v>0</v>
      </c>
    </row>
    <row r="13" spans="1:91" s="58" customFormat="1" ht="15.95" customHeight="1">
      <c r="A13" s="143" t="s">
        <v>53</v>
      </c>
      <c r="B13" s="93">
        <v>212</v>
      </c>
      <c r="C13" s="66">
        <f t="shared" si="22"/>
        <v>841600</v>
      </c>
      <c r="D13" s="66">
        <f t="shared" si="0"/>
        <v>3969.8113207547171</v>
      </c>
      <c r="E13" s="69"/>
      <c r="F13" s="69"/>
      <c r="G13" s="69"/>
      <c r="H13" s="69">
        <v>841600</v>
      </c>
      <c r="I13" s="69"/>
      <c r="J13" s="69">
        <v>813635</v>
      </c>
      <c r="K13" s="68">
        <f t="shared" si="1"/>
        <v>0</v>
      </c>
      <c r="L13" s="159">
        <v>228</v>
      </c>
      <c r="M13" s="66">
        <f t="shared" si="23"/>
        <v>846085</v>
      </c>
      <c r="N13" s="66">
        <f t="shared" si="2"/>
        <v>3710.8991228070176</v>
      </c>
      <c r="O13" s="69"/>
      <c r="P13" s="69"/>
      <c r="Q13" s="69"/>
      <c r="R13" s="69">
        <v>846085</v>
      </c>
      <c r="S13" s="69"/>
      <c r="T13" s="69">
        <v>789638</v>
      </c>
      <c r="U13" s="68">
        <f t="shared" si="3"/>
        <v>0</v>
      </c>
      <c r="V13" s="59">
        <v>187</v>
      </c>
      <c r="W13" s="66">
        <f>SUM(Y13:AC13)</f>
        <v>754207</v>
      </c>
      <c r="X13" s="66">
        <f t="shared" si="4"/>
        <v>4033.1925133689838</v>
      </c>
      <c r="Y13" s="69"/>
      <c r="Z13" s="69"/>
      <c r="AA13" s="69"/>
      <c r="AB13" s="69">
        <v>754207</v>
      </c>
      <c r="AC13" s="69"/>
      <c r="AD13" s="69">
        <v>690581</v>
      </c>
      <c r="AE13" s="68">
        <f t="shared" si="5"/>
        <v>0</v>
      </c>
      <c r="AF13" s="59">
        <v>205</v>
      </c>
      <c r="AG13" s="66">
        <f>SUM(AI13:AM13)</f>
        <v>853774</v>
      </c>
      <c r="AH13" s="66">
        <f t="shared" si="6"/>
        <v>4164.7512195121953</v>
      </c>
      <c r="AI13" s="69"/>
      <c r="AJ13" s="69"/>
      <c r="AK13" s="69"/>
      <c r="AL13" s="69">
        <v>853774</v>
      </c>
      <c r="AM13" s="69"/>
      <c r="AN13" s="69">
        <v>784825</v>
      </c>
      <c r="AO13" s="68">
        <f t="shared" si="7"/>
        <v>0</v>
      </c>
      <c r="AP13" s="59">
        <v>200</v>
      </c>
      <c r="AQ13" s="66">
        <f>SUM(AS13:AW13)</f>
        <v>816297</v>
      </c>
      <c r="AR13" s="66">
        <f>IFERROR(AQ13/AP13,0)</f>
        <v>4081.4850000000001</v>
      </c>
      <c r="AS13" s="69"/>
      <c r="AT13" s="69"/>
      <c r="AU13" s="69"/>
      <c r="AV13" s="69">
        <v>816297</v>
      </c>
      <c r="AW13" s="69"/>
      <c r="AX13" s="69">
        <v>759252</v>
      </c>
      <c r="AY13" s="68">
        <f t="shared" si="9"/>
        <v>0</v>
      </c>
      <c r="AZ13" s="356">
        <v>227</v>
      </c>
      <c r="BA13" s="66">
        <f t="shared" si="10"/>
        <v>923923</v>
      </c>
      <c r="BB13" s="66">
        <f t="shared" si="11"/>
        <v>4070.1453744493392</v>
      </c>
      <c r="BC13" s="66"/>
      <c r="BD13" s="66"/>
      <c r="BE13" s="66"/>
      <c r="BF13" s="66">
        <v>923923</v>
      </c>
      <c r="BG13" s="66"/>
      <c r="BH13" s="66">
        <v>852042</v>
      </c>
      <c r="BI13" s="357">
        <f t="shared" si="12"/>
        <v>0</v>
      </c>
      <c r="BJ13" s="358">
        <v>206</v>
      </c>
      <c r="BK13" s="66">
        <f t="shared" si="13"/>
        <v>857981</v>
      </c>
      <c r="BL13" s="66">
        <f t="shared" si="14"/>
        <v>4164.9563106796113</v>
      </c>
      <c r="BM13" s="69"/>
      <c r="BN13" s="69"/>
      <c r="BO13" s="69"/>
      <c r="BP13" s="69">
        <v>857981</v>
      </c>
      <c r="BQ13" s="69"/>
      <c r="BR13" s="69">
        <v>811240</v>
      </c>
      <c r="BS13" s="68">
        <f t="shared" si="15"/>
        <v>0</v>
      </c>
      <c r="BT13" s="358">
        <v>200</v>
      </c>
      <c r="BU13" s="66">
        <f t="shared" si="27"/>
        <v>911169</v>
      </c>
      <c r="BV13" s="66">
        <f t="shared" si="28"/>
        <v>4555.8450000000003</v>
      </c>
      <c r="BW13" s="69"/>
      <c r="BX13" s="69"/>
      <c r="BY13" s="69"/>
      <c r="BZ13" s="69">
        <v>911169</v>
      </c>
      <c r="CA13" s="69"/>
      <c r="CB13" s="69">
        <v>842133</v>
      </c>
      <c r="CC13" s="68">
        <f t="shared" si="29"/>
        <v>0</v>
      </c>
      <c r="CD13" s="244">
        <v>196</v>
      </c>
      <c r="CE13" s="66">
        <f t="shared" si="30"/>
        <v>877163</v>
      </c>
      <c r="CF13" s="66">
        <f t="shared" si="31"/>
        <v>4475.3214285714284</v>
      </c>
      <c r="CG13" s="195"/>
      <c r="CH13" s="195"/>
      <c r="CI13" s="195"/>
      <c r="CJ13" s="195">
        <v>877163</v>
      </c>
      <c r="CK13" s="195"/>
      <c r="CL13" s="195">
        <v>825290</v>
      </c>
      <c r="CM13" s="403">
        <f t="shared" si="32"/>
        <v>0</v>
      </c>
    </row>
    <row r="14" spans="1:91" s="58" customFormat="1" ht="15.95" customHeight="1">
      <c r="A14" s="143" t="s">
        <v>165</v>
      </c>
      <c r="B14" s="93">
        <v>318</v>
      </c>
      <c r="C14" s="66">
        <f t="shared" si="22"/>
        <v>1626864</v>
      </c>
      <c r="D14" s="66">
        <f t="shared" si="0"/>
        <v>5115.9245283018872</v>
      </c>
      <c r="E14" s="69"/>
      <c r="F14" s="69"/>
      <c r="G14" s="69"/>
      <c r="H14" s="69">
        <v>1626864</v>
      </c>
      <c r="I14" s="69"/>
      <c r="J14" s="69">
        <v>1465614</v>
      </c>
      <c r="K14" s="68">
        <f t="shared" si="1"/>
        <v>0</v>
      </c>
      <c r="L14" s="159">
        <v>257</v>
      </c>
      <c r="M14" s="66">
        <f t="shared" si="23"/>
        <v>1369125</v>
      </c>
      <c r="N14" s="66">
        <f t="shared" si="2"/>
        <v>5327.3346303501949</v>
      </c>
      <c r="O14" s="69"/>
      <c r="P14" s="69"/>
      <c r="Q14" s="69"/>
      <c r="R14" s="69">
        <v>1369125</v>
      </c>
      <c r="S14" s="69"/>
      <c r="T14" s="69">
        <v>1144260</v>
      </c>
      <c r="U14" s="68">
        <f t="shared" si="3"/>
        <v>0</v>
      </c>
      <c r="V14" s="59">
        <v>162</v>
      </c>
      <c r="W14" s="66">
        <f>SUM(Y14:AC14)</f>
        <v>826000</v>
      </c>
      <c r="X14" s="66">
        <f t="shared" si="4"/>
        <v>5098.7654320987658</v>
      </c>
      <c r="Y14" s="69"/>
      <c r="Z14" s="69"/>
      <c r="AA14" s="69"/>
      <c r="AB14" s="69">
        <v>826000</v>
      </c>
      <c r="AC14" s="69"/>
      <c r="AD14" s="69">
        <v>626000</v>
      </c>
      <c r="AE14" s="68">
        <f t="shared" si="5"/>
        <v>0</v>
      </c>
      <c r="AF14" s="59">
        <v>211</v>
      </c>
      <c r="AG14" s="66">
        <f>SUM(AI14:AM14)</f>
        <v>1004069</v>
      </c>
      <c r="AH14" s="66">
        <f t="shared" si="6"/>
        <v>4758.6208530805688</v>
      </c>
      <c r="AI14" s="69"/>
      <c r="AJ14" s="69"/>
      <c r="AK14" s="69"/>
      <c r="AL14" s="69">
        <v>1004069</v>
      </c>
      <c r="AM14" s="69"/>
      <c r="AN14" s="69">
        <v>897319</v>
      </c>
      <c r="AO14" s="68">
        <f t="shared" si="7"/>
        <v>0</v>
      </c>
      <c r="AP14" s="59">
        <v>0</v>
      </c>
      <c r="AQ14" s="66">
        <f>SUM(AS14:AW14)</f>
        <v>0</v>
      </c>
      <c r="AR14" s="66">
        <f>IFERROR(AQ14/AP14,0)</f>
        <v>0</v>
      </c>
      <c r="AS14" s="69"/>
      <c r="AT14" s="69"/>
      <c r="AU14" s="69"/>
      <c r="AV14" s="69"/>
      <c r="AW14" s="69"/>
      <c r="AX14" s="69">
        <v>0</v>
      </c>
      <c r="AY14" s="68">
        <f t="shared" si="9"/>
        <v>0</v>
      </c>
      <c r="AZ14" s="356">
        <v>0</v>
      </c>
      <c r="BA14" s="66">
        <f t="shared" si="10"/>
        <v>0</v>
      </c>
      <c r="BB14" s="66">
        <f t="shared" si="11"/>
        <v>0</v>
      </c>
      <c r="BC14" s="66"/>
      <c r="BD14" s="66"/>
      <c r="BE14" s="66"/>
      <c r="BF14" s="66"/>
      <c r="BG14" s="66"/>
      <c r="BH14" s="66">
        <v>0</v>
      </c>
      <c r="BI14" s="357">
        <f t="shared" si="12"/>
        <v>0</v>
      </c>
      <c r="BJ14" s="358">
        <v>0</v>
      </c>
      <c r="BK14" s="66">
        <f t="shared" si="13"/>
        <v>0</v>
      </c>
      <c r="BL14" s="66">
        <f t="shared" si="14"/>
        <v>0</v>
      </c>
      <c r="BM14" s="69"/>
      <c r="BN14" s="69"/>
      <c r="BO14" s="69"/>
      <c r="BP14" s="69">
        <v>0</v>
      </c>
      <c r="BQ14" s="69"/>
      <c r="BR14" s="69"/>
      <c r="BS14" s="68">
        <f t="shared" si="15"/>
        <v>0</v>
      </c>
      <c r="BT14" s="358">
        <v>0</v>
      </c>
      <c r="BU14" s="66">
        <f t="shared" si="27"/>
        <v>0</v>
      </c>
      <c r="BV14" s="66">
        <f t="shared" si="28"/>
        <v>0</v>
      </c>
      <c r="BW14" s="69"/>
      <c r="BX14" s="69"/>
      <c r="BY14" s="69"/>
      <c r="BZ14" s="69"/>
      <c r="CA14" s="69"/>
      <c r="CB14" s="69">
        <v>0</v>
      </c>
      <c r="CC14" s="68">
        <f t="shared" si="29"/>
        <v>0</v>
      </c>
      <c r="CD14" s="244"/>
      <c r="CE14" s="66">
        <f t="shared" si="30"/>
        <v>0</v>
      </c>
      <c r="CF14" s="66">
        <f t="shared" si="31"/>
        <v>0</v>
      </c>
      <c r="CG14" s="195"/>
      <c r="CH14" s="195"/>
      <c r="CI14" s="195"/>
      <c r="CJ14" s="195"/>
      <c r="CK14" s="195"/>
      <c r="CL14" s="195"/>
      <c r="CM14" s="403">
        <f t="shared" si="32"/>
        <v>0</v>
      </c>
    </row>
    <row r="15" spans="1:91" s="58" customFormat="1" ht="15.95" customHeight="1">
      <c r="A15" s="143" t="s">
        <v>54</v>
      </c>
      <c r="B15" s="93">
        <v>15</v>
      </c>
      <c r="C15" s="66">
        <f t="shared" si="22"/>
        <v>43293</v>
      </c>
      <c r="D15" s="66">
        <f t="shared" si="0"/>
        <v>2886.2</v>
      </c>
      <c r="E15" s="69"/>
      <c r="F15" s="69"/>
      <c r="G15" s="69"/>
      <c r="H15" s="69">
        <v>43293</v>
      </c>
      <c r="I15" s="69"/>
      <c r="J15" s="69">
        <v>19293</v>
      </c>
      <c r="K15" s="68">
        <f t="shared" si="1"/>
        <v>0</v>
      </c>
      <c r="L15" s="159">
        <v>13</v>
      </c>
      <c r="M15" s="66">
        <f t="shared" si="23"/>
        <v>48293</v>
      </c>
      <c r="N15" s="66">
        <f t="shared" si="2"/>
        <v>3714.8461538461538</v>
      </c>
      <c r="O15" s="69"/>
      <c r="P15" s="69"/>
      <c r="Q15" s="69"/>
      <c r="R15" s="69">
        <v>48293</v>
      </c>
      <c r="S15" s="69"/>
      <c r="T15" s="69">
        <v>8000</v>
      </c>
      <c r="U15" s="68">
        <f t="shared" si="3"/>
        <v>0</v>
      </c>
      <c r="V15" s="59">
        <v>12</v>
      </c>
      <c r="W15" s="66">
        <f>SUM(Y15:AC15)</f>
        <v>43293</v>
      </c>
      <c r="X15" s="66">
        <f t="shared" si="4"/>
        <v>3607.75</v>
      </c>
      <c r="Y15" s="69"/>
      <c r="Z15" s="69"/>
      <c r="AA15" s="69"/>
      <c r="AB15" s="69">
        <v>43293</v>
      </c>
      <c r="AC15" s="69"/>
      <c r="AD15" s="69">
        <v>3292</v>
      </c>
      <c r="AE15" s="68">
        <f t="shared" si="5"/>
        <v>0</v>
      </c>
      <c r="AF15" s="59">
        <v>58</v>
      </c>
      <c r="AG15" s="66">
        <f>SUM(AI15:AM15)</f>
        <v>92493</v>
      </c>
      <c r="AH15" s="66">
        <f t="shared" si="6"/>
        <v>1594.7068965517242</v>
      </c>
      <c r="AI15" s="69"/>
      <c r="AJ15" s="69"/>
      <c r="AK15" s="69"/>
      <c r="AL15" s="69">
        <v>92493</v>
      </c>
      <c r="AM15" s="69"/>
      <c r="AN15" s="69">
        <v>49293</v>
      </c>
      <c r="AO15" s="68">
        <f t="shared" si="7"/>
        <v>0</v>
      </c>
      <c r="AP15" s="59">
        <v>48</v>
      </c>
      <c r="AQ15" s="66">
        <f>SUM(AS15:AW15)</f>
        <v>73853</v>
      </c>
      <c r="AR15" s="66">
        <f>IFERROR(AQ15/AP15,0)</f>
        <v>1538.6041666666667</v>
      </c>
      <c r="AS15" s="69"/>
      <c r="AT15" s="69"/>
      <c r="AU15" s="69"/>
      <c r="AV15" s="69">
        <v>73853</v>
      </c>
      <c r="AW15" s="69"/>
      <c r="AX15" s="69">
        <v>73853</v>
      </c>
      <c r="AY15" s="68">
        <f t="shared" si="9"/>
        <v>0</v>
      </c>
      <c r="AZ15" s="356">
        <v>29</v>
      </c>
      <c r="BA15" s="66">
        <f t="shared" si="10"/>
        <v>71843</v>
      </c>
      <c r="BB15" s="66">
        <f t="shared" si="11"/>
        <v>2477.344827586207</v>
      </c>
      <c r="BC15" s="66"/>
      <c r="BD15" s="66"/>
      <c r="BE15" s="66"/>
      <c r="BF15" s="66">
        <v>71843</v>
      </c>
      <c r="BG15" s="66"/>
      <c r="BH15" s="66">
        <v>71718</v>
      </c>
      <c r="BI15" s="357">
        <f t="shared" si="12"/>
        <v>0</v>
      </c>
      <c r="BJ15" s="358">
        <v>27</v>
      </c>
      <c r="BK15" s="66">
        <f t="shared" si="13"/>
        <v>58293</v>
      </c>
      <c r="BL15" s="66">
        <f t="shared" si="14"/>
        <v>2159</v>
      </c>
      <c r="BM15" s="69"/>
      <c r="BN15" s="69"/>
      <c r="BO15" s="69"/>
      <c r="BP15" s="69">
        <v>58293</v>
      </c>
      <c r="BQ15" s="69"/>
      <c r="BR15" s="69">
        <v>58293</v>
      </c>
      <c r="BS15" s="68">
        <f t="shared" si="15"/>
        <v>0</v>
      </c>
      <c r="BT15" s="358">
        <v>61</v>
      </c>
      <c r="BU15" s="66">
        <f t="shared" si="27"/>
        <v>114543</v>
      </c>
      <c r="BV15" s="66">
        <f t="shared" si="28"/>
        <v>1877.7540983606557</v>
      </c>
      <c r="BW15" s="69"/>
      <c r="BX15" s="69"/>
      <c r="BY15" s="69"/>
      <c r="BZ15" s="69">
        <v>114543</v>
      </c>
      <c r="CA15" s="69"/>
      <c r="CB15" s="69">
        <v>107943</v>
      </c>
      <c r="CC15" s="68">
        <f t="shared" si="29"/>
        <v>0</v>
      </c>
      <c r="CD15" s="244">
        <v>83</v>
      </c>
      <c r="CE15" s="66">
        <f t="shared" si="30"/>
        <v>161442</v>
      </c>
      <c r="CF15" s="66">
        <f t="shared" si="31"/>
        <v>1945.0843373493976</v>
      </c>
      <c r="CG15" s="195"/>
      <c r="CH15" s="195"/>
      <c r="CI15" s="195"/>
      <c r="CJ15" s="195">
        <v>161442</v>
      </c>
      <c r="CK15" s="195"/>
      <c r="CL15" s="195">
        <v>153111</v>
      </c>
      <c r="CM15" s="403">
        <f t="shared" si="32"/>
        <v>0</v>
      </c>
    </row>
    <row r="16" spans="1:91" s="58" customFormat="1" ht="15.95" customHeight="1">
      <c r="A16" s="143" t="s">
        <v>55</v>
      </c>
      <c r="B16" s="93">
        <v>262</v>
      </c>
      <c r="C16" s="66">
        <f t="shared" si="22"/>
        <v>814345</v>
      </c>
      <c r="D16" s="66">
        <f t="shared" si="0"/>
        <v>3108.1870229007632</v>
      </c>
      <c r="E16" s="69"/>
      <c r="F16" s="69"/>
      <c r="G16" s="69"/>
      <c r="H16" s="69"/>
      <c r="I16" s="69">
        <v>814345</v>
      </c>
      <c r="J16" s="69">
        <v>668596</v>
      </c>
      <c r="K16" s="68">
        <f t="shared" si="1"/>
        <v>0</v>
      </c>
      <c r="L16" s="159">
        <v>260</v>
      </c>
      <c r="M16" s="66">
        <f t="shared" si="23"/>
        <v>851744</v>
      </c>
      <c r="N16" s="66">
        <f t="shared" si="2"/>
        <v>3275.9384615384615</v>
      </c>
      <c r="O16" s="69"/>
      <c r="P16" s="69"/>
      <c r="Q16" s="69"/>
      <c r="R16" s="69"/>
      <c r="S16" s="69">
        <v>851744</v>
      </c>
      <c r="T16" s="69">
        <v>633291</v>
      </c>
      <c r="U16" s="68">
        <f t="shared" si="3"/>
        <v>0</v>
      </c>
      <c r="V16" s="59">
        <v>244</v>
      </c>
      <c r="W16" s="66">
        <f>SUM(Y16:AC16)</f>
        <v>805030</v>
      </c>
      <c r="X16" s="66">
        <f t="shared" si="4"/>
        <v>3299.3032786885246</v>
      </c>
      <c r="Y16" s="69"/>
      <c r="Z16" s="69"/>
      <c r="AA16" s="69"/>
      <c r="AB16" s="69"/>
      <c r="AC16" s="69">
        <v>805030</v>
      </c>
      <c r="AD16" s="69">
        <v>647591</v>
      </c>
      <c r="AE16" s="68">
        <f t="shared" si="5"/>
        <v>0</v>
      </c>
      <c r="AF16" s="59">
        <v>388</v>
      </c>
      <c r="AG16" s="66">
        <f>SUM(AI16:AM16)</f>
        <v>986889</v>
      </c>
      <c r="AH16" s="66">
        <f t="shared" si="6"/>
        <v>2543.5283505154639</v>
      </c>
      <c r="AI16" s="69"/>
      <c r="AJ16" s="69"/>
      <c r="AK16" s="69"/>
      <c r="AL16" s="69"/>
      <c r="AM16" s="69">
        <v>986889</v>
      </c>
      <c r="AN16" s="69">
        <v>803378</v>
      </c>
      <c r="AO16" s="68">
        <f t="shared" si="7"/>
        <v>0</v>
      </c>
      <c r="AP16" s="59">
        <v>365</v>
      </c>
      <c r="AQ16" s="66">
        <f>SUM(AS16:AW16)</f>
        <v>937754</v>
      </c>
      <c r="AR16" s="66">
        <f>IFERROR(AQ16/AP16,0)</f>
        <v>2569.1890410958904</v>
      </c>
      <c r="AS16" s="69"/>
      <c r="AT16" s="69"/>
      <c r="AU16" s="69"/>
      <c r="AV16" s="69"/>
      <c r="AW16" s="69">
        <v>937754</v>
      </c>
      <c r="AX16" s="69">
        <v>815477</v>
      </c>
      <c r="AY16" s="68">
        <f t="shared" si="9"/>
        <v>0</v>
      </c>
      <c r="AZ16" s="356">
        <v>354</v>
      </c>
      <c r="BA16" s="66">
        <f t="shared" si="10"/>
        <v>919420</v>
      </c>
      <c r="BB16" s="66">
        <f t="shared" si="11"/>
        <v>2597.231638418079</v>
      </c>
      <c r="BC16" s="66"/>
      <c r="BD16" s="66"/>
      <c r="BE16" s="66"/>
      <c r="BF16" s="66"/>
      <c r="BG16" s="66">
        <v>919420</v>
      </c>
      <c r="BH16" s="66">
        <v>776471</v>
      </c>
      <c r="BI16" s="357">
        <f t="shared" si="12"/>
        <v>0</v>
      </c>
      <c r="BJ16" s="358">
        <v>402</v>
      </c>
      <c r="BK16" s="66">
        <f t="shared" si="13"/>
        <v>1049470</v>
      </c>
      <c r="BL16" s="66">
        <f t="shared" si="14"/>
        <v>2610.6218905472638</v>
      </c>
      <c r="BM16" s="69"/>
      <c r="BN16" s="69"/>
      <c r="BO16" s="69"/>
      <c r="BP16" s="69"/>
      <c r="BQ16" s="69">
        <v>1049470</v>
      </c>
      <c r="BR16" s="69">
        <v>950000</v>
      </c>
      <c r="BS16" s="68">
        <f t="shared" si="15"/>
        <v>0</v>
      </c>
      <c r="BT16" s="358">
        <v>324</v>
      </c>
      <c r="BU16" s="66">
        <f t="shared" si="27"/>
        <v>939148</v>
      </c>
      <c r="BV16" s="66">
        <f t="shared" si="28"/>
        <v>2898.6049382716051</v>
      </c>
      <c r="BW16" s="69"/>
      <c r="BX16" s="69"/>
      <c r="BY16" s="69"/>
      <c r="BZ16" s="69"/>
      <c r="CA16" s="69">
        <v>939148</v>
      </c>
      <c r="CB16" s="69">
        <v>841038</v>
      </c>
      <c r="CC16" s="68">
        <f t="shared" si="29"/>
        <v>0</v>
      </c>
      <c r="CD16" s="244">
        <v>335</v>
      </c>
      <c r="CE16" s="66">
        <f t="shared" si="30"/>
        <v>1082904</v>
      </c>
      <c r="CF16" s="66">
        <f t="shared" si="31"/>
        <v>3232.5492537313435</v>
      </c>
      <c r="CG16" s="195"/>
      <c r="CH16" s="195"/>
      <c r="CI16" s="195"/>
      <c r="CJ16" s="195"/>
      <c r="CK16" s="195">
        <v>1082904</v>
      </c>
      <c r="CL16" s="195">
        <v>1009503</v>
      </c>
      <c r="CM16" s="403">
        <f t="shared" si="32"/>
        <v>0</v>
      </c>
    </row>
    <row r="17" spans="1:91" s="58" customFormat="1" ht="15.95" customHeight="1">
      <c r="A17" s="143" t="s">
        <v>166</v>
      </c>
      <c r="B17" s="93">
        <v>43</v>
      </c>
      <c r="C17" s="66">
        <f t="shared" si="22"/>
        <v>357531</v>
      </c>
      <c r="D17" s="66">
        <f t="shared" si="0"/>
        <v>8314.6744186046508</v>
      </c>
      <c r="E17" s="69"/>
      <c r="F17" s="69"/>
      <c r="G17" s="69"/>
      <c r="H17" s="69"/>
      <c r="I17" s="69">
        <v>357531</v>
      </c>
      <c r="J17" s="69">
        <v>357531</v>
      </c>
      <c r="K17" s="68">
        <f t="shared" si="1"/>
        <v>0</v>
      </c>
      <c r="L17" s="159">
        <v>59</v>
      </c>
      <c r="M17" s="66">
        <f t="shared" si="23"/>
        <v>450765</v>
      </c>
      <c r="N17" s="66">
        <f t="shared" si="2"/>
        <v>7640.0847457627115</v>
      </c>
      <c r="O17" s="69"/>
      <c r="P17" s="69"/>
      <c r="Q17" s="69">
        <v>450765</v>
      </c>
      <c r="R17" s="69"/>
      <c r="S17" s="69"/>
      <c r="T17" s="69">
        <v>446415</v>
      </c>
      <c r="U17" s="68">
        <f t="shared" si="3"/>
        <v>0</v>
      </c>
      <c r="V17" s="59">
        <v>71</v>
      </c>
      <c r="W17" s="66">
        <f t="shared" si="24"/>
        <v>781250</v>
      </c>
      <c r="X17" s="66">
        <f t="shared" si="4"/>
        <v>11003.521126760563</v>
      </c>
      <c r="Y17" s="69"/>
      <c r="Z17" s="69"/>
      <c r="AA17" s="69"/>
      <c r="AB17" s="69"/>
      <c r="AC17" s="69">
        <v>781250</v>
      </c>
      <c r="AD17" s="69">
        <v>781250</v>
      </c>
      <c r="AE17" s="68">
        <f t="shared" si="5"/>
        <v>0</v>
      </c>
      <c r="AF17" s="59">
        <v>71</v>
      </c>
      <c r="AG17" s="66">
        <f t="shared" ref="AG17:AG23" si="33">SUM(AI17:AM17)</f>
        <v>781250</v>
      </c>
      <c r="AH17" s="66">
        <f t="shared" si="6"/>
        <v>11003.521126760563</v>
      </c>
      <c r="AI17" s="69"/>
      <c r="AJ17" s="69"/>
      <c r="AK17" s="69"/>
      <c r="AL17" s="69"/>
      <c r="AM17" s="69">
        <v>781250</v>
      </c>
      <c r="AN17" s="69">
        <v>781250</v>
      </c>
      <c r="AO17" s="68">
        <f t="shared" si="7"/>
        <v>0</v>
      </c>
      <c r="AP17" s="59">
        <v>78</v>
      </c>
      <c r="AQ17" s="66">
        <f t="shared" ref="AQ17:AQ33" si="34">SUM(AS17:AW17)</f>
        <v>818150</v>
      </c>
      <c r="AR17" s="66">
        <f t="shared" ref="AR17:AR33" si="35">IFERROR(AQ17/AP17,0)</f>
        <v>10489.102564102564</v>
      </c>
      <c r="AS17" s="69"/>
      <c r="AT17" s="69"/>
      <c r="AU17" s="69"/>
      <c r="AV17" s="69"/>
      <c r="AW17" s="69">
        <v>818150</v>
      </c>
      <c r="AX17" s="69">
        <v>818150</v>
      </c>
      <c r="AY17" s="68">
        <f t="shared" si="9"/>
        <v>0</v>
      </c>
      <c r="AZ17" s="356">
        <v>89</v>
      </c>
      <c r="BA17" s="66">
        <f t="shared" si="10"/>
        <v>943523</v>
      </c>
      <c r="BB17" s="66">
        <f t="shared" si="11"/>
        <v>10601.382022471909</v>
      </c>
      <c r="BC17" s="66"/>
      <c r="BD17" s="66"/>
      <c r="BE17" s="66"/>
      <c r="BF17" s="66"/>
      <c r="BG17" s="66">
        <v>943523</v>
      </c>
      <c r="BH17" s="66">
        <v>943523</v>
      </c>
      <c r="BI17" s="357">
        <f t="shared" si="12"/>
        <v>0</v>
      </c>
      <c r="BJ17" s="358">
        <v>73</v>
      </c>
      <c r="BK17" s="66">
        <f t="shared" si="13"/>
        <v>779431</v>
      </c>
      <c r="BL17" s="66">
        <f t="shared" si="14"/>
        <v>10677.13698630137</v>
      </c>
      <c r="BM17" s="69"/>
      <c r="BN17" s="69"/>
      <c r="BO17" s="69"/>
      <c r="BP17" s="69"/>
      <c r="BQ17" s="69">
        <v>779431</v>
      </c>
      <c r="BR17" s="69">
        <v>779431</v>
      </c>
      <c r="BS17" s="68">
        <f t="shared" si="15"/>
        <v>0</v>
      </c>
      <c r="BT17" s="358">
        <v>63</v>
      </c>
      <c r="BU17" s="66">
        <f t="shared" si="27"/>
        <v>692344</v>
      </c>
      <c r="BV17" s="66">
        <f t="shared" si="28"/>
        <v>10989.587301587302</v>
      </c>
      <c r="BW17" s="69"/>
      <c r="BX17" s="69"/>
      <c r="BY17" s="69"/>
      <c r="BZ17" s="69"/>
      <c r="CA17" s="69">
        <v>692344</v>
      </c>
      <c r="CB17" s="69">
        <v>692344</v>
      </c>
      <c r="CC17" s="68">
        <f t="shared" si="29"/>
        <v>0</v>
      </c>
      <c r="CD17" s="244">
        <v>57</v>
      </c>
      <c r="CE17" s="66">
        <f t="shared" si="30"/>
        <v>719800</v>
      </c>
      <c r="CF17" s="66">
        <f t="shared" si="31"/>
        <v>12628.070175438597</v>
      </c>
      <c r="CG17" s="195"/>
      <c r="CH17" s="195"/>
      <c r="CI17" s="195"/>
      <c r="CJ17" s="195"/>
      <c r="CK17" s="195">
        <v>719800</v>
      </c>
      <c r="CL17" s="195">
        <v>719800</v>
      </c>
      <c r="CM17" s="403">
        <f t="shared" si="32"/>
        <v>0</v>
      </c>
    </row>
    <row r="18" spans="1:91" s="58" customFormat="1" ht="15.95" customHeight="1">
      <c r="A18" s="143" t="s">
        <v>167</v>
      </c>
      <c r="B18" s="93">
        <v>58</v>
      </c>
      <c r="C18" s="66">
        <f t="shared" si="22"/>
        <v>1742973</v>
      </c>
      <c r="D18" s="66">
        <f t="shared" si="0"/>
        <v>30051.258620689656</v>
      </c>
      <c r="E18" s="69"/>
      <c r="F18" s="69"/>
      <c r="G18" s="69"/>
      <c r="H18" s="69">
        <v>1742973</v>
      </c>
      <c r="I18" s="69"/>
      <c r="J18" s="69">
        <v>1713473</v>
      </c>
      <c r="K18" s="68">
        <f t="shared" si="1"/>
        <v>0</v>
      </c>
      <c r="L18" s="159">
        <v>76</v>
      </c>
      <c r="M18" s="66">
        <f t="shared" si="23"/>
        <v>813590</v>
      </c>
      <c r="N18" s="66">
        <f t="shared" si="2"/>
        <v>10705.131578947368</v>
      </c>
      <c r="O18" s="69"/>
      <c r="P18" s="69"/>
      <c r="Q18" s="69"/>
      <c r="R18" s="69">
        <v>813590</v>
      </c>
      <c r="S18" s="69"/>
      <c r="T18" s="69">
        <v>721670</v>
      </c>
      <c r="U18" s="68">
        <f t="shared" si="3"/>
        <v>0</v>
      </c>
      <c r="V18" s="59">
        <v>64</v>
      </c>
      <c r="W18" s="66">
        <f t="shared" si="24"/>
        <v>660655</v>
      </c>
      <c r="X18" s="66">
        <f t="shared" si="4"/>
        <v>10322.734375</v>
      </c>
      <c r="Y18" s="69"/>
      <c r="Z18" s="69"/>
      <c r="AA18" s="69"/>
      <c r="AB18" s="69">
        <v>660655</v>
      </c>
      <c r="AC18" s="69"/>
      <c r="AD18" s="69">
        <v>564655</v>
      </c>
      <c r="AE18" s="68">
        <f t="shared" si="5"/>
        <v>0</v>
      </c>
      <c r="AF18" s="59">
        <v>86</v>
      </c>
      <c r="AG18" s="66">
        <f t="shared" si="33"/>
        <v>870250</v>
      </c>
      <c r="AH18" s="66">
        <f t="shared" si="6"/>
        <v>10119.186046511628</v>
      </c>
      <c r="AI18" s="69"/>
      <c r="AJ18" s="69"/>
      <c r="AK18" s="69"/>
      <c r="AL18" s="69">
        <v>870250</v>
      </c>
      <c r="AM18" s="69"/>
      <c r="AN18" s="69">
        <v>748250</v>
      </c>
      <c r="AO18" s="68">
        <f t="shared" si="7"/>
        <v>0</v>
      </c>
      <c r="AP18" s="59">
        <v>95</v>
      </c>
      <c r="AQ18" s="66">
        <f t="shared" si="34"/>
        <v>834002</v>
      </c>
      <c r="AR18" s="66">
        <f t="shared" si="35"/>
        <v>8778.968421052632</v>
      </c>
      <c r="AS18" s="69"/>
      <c r="AT18" s="69"/>
      <c r="AU18" s="69"/>
      <c r="AV18" s="69">
        <v>834002</v>
      </c>
      <c r="AW18" s="69"/>
      <c r="AX18" s="69">
        <v>706002</v>
      </c>
      <c r="AY18" s="68">
        <f t="shared" si="9"/>
        <v>0</v>
      </c>
      <c r="AZ18" s="356">
        <v>100</v>
      </c>
      <c r="BA18" s="66">
        <f t="shared" si="10"/>
        <v>901000</v>
      </c>
      <c r="BB18" s="66">
        <f t="shared" si="11"/>
        <v>9010</v>
      </c>
      <c r="BC18" s="66"/>
      <c r="BD18" s="66"/>
      <c r="BE18" s="66"/>
      <c r="BF18" s="66">
        <v>901000</v>
      </c>
      <c r="BG18" s="66"/>
      <c r="BH18" s="66">
        <v>748000</v>
      </c>
      <c r="BI18" s="357">
        <f t="shared" si="12"/>
        <v>0</v>
      </c>
      <c r="BJ18" s="358">
        <v>125</v>
      </c>
      <c r="BK18" s="66">
        <f t="shared" si="13"/>
        <v>2056750</v>
      </c>
      <c r="BL18" s="66">
        <f t="shared" si="14"/>
        <v>16454</v>
      </c>
      <c r="BM18" s="69"/>
      <c r="BN18" s="69"/>
      <c r="BO18" s="69"/>
      <c r="BP18" s="69">
        <v>2056750</v>
      </c>
      <c r="BQ18" s="69"/>
      <c r="BR18" s="69">
        <v>1643950</v>
      </c>
      <c r="BS18" s="68">
        <f t="shared" si="15"/>
        <v>0</v>
      </c>
      <c r="BT18" s="358">
        <v>114</v>
      </c>
      <c r="BU18" s="66">
        <f t="shared" si="27"/>
        <v>1305739</v>
      </c>
      <c r="BV18" s="66">
        <f t="shared" si="28"/>
        <v>11453.850877192983</v>
      </c>
      <c r="BW18" s="69"/>
      <c r="BX18" s="69"/>
      <c r="BY18" s="69"/>
      <c r="BZ18" s="69">
        <v>1305739</v>
      </c>
      <c r="CA18" s="69"/>
      <c r="CB18" s="69">
        <v>1171589</v>
      </c>
      <c r="CC18" s="68">
        <f t="shared" si="29"/>
        <v>0</v>
      </c>
      <c r="CD18" s="244">
        <v>24</v>
      </c>
      <c r="CE18" s="66">
        <f t="shared" si="30"/>
        <v>564325</v>
      </c>
      <c r="CF18" s="66">
        <f t="shared" si="31"/>
        <v>23513.541666666668</v>
      </c>
      <c r="CG18" s="195"/>
      <c r="CH18" s="195"/>
      <c r="CI18" s="195"/>
      <c r="CJ18" s="195">
        <v>564325</v>
      </c>
      <c r="CK18" s="195"/>
      <c r="CL18" s="195">
        <v>502500</v>
      </c>
      <c r="CM18" s="403">
        <f t="shared" si="32"/>
        <v>0</v>
      </c>
    </row>
    <row r="19" spans="1:91" s="58" customFormat="1" ht="15.95" customHeight="1">
      <c r="A19" s="143" t="s">
        <v>168</v>
      </c>
      <c r="B19" s="93">
        <v>12</v>
      </c>
      <c r="C19" s="66">
        <f t="shared" si="22"/>
        <v>264000</v>
      </c>
      <c r="D19" s="66">
        <f t="shared" si="0"/>
        <v>22000</v>
      </c>
      <c r="E19" s="69"/>
      <c r="F19" s="69"/>
      <c r="G19" s="69"/>
      <c r="H19" s="69">
        <v>264000</v>
      </c>
      <c r="I19" s="69"/>
      <c r="J19" s="69">
        <v>132000</v>
      </c>
      <c r="K19" s="68">
        <f t="shared" si="1"/>
        <v>0</v>
      </c>
      <c r="L19" s="159">
        <v>12</v>
      </c>
      <c r="M19" s="66">
        <f t="shared" si="23"/>
        <v>264000</v>
      </c>
      <c r="N19" s="66">
        <f t="shared" si="2"/>
        <v>22000</v>
      </c>
      <c r="O19" s="69"/>
      <c r="P19" s="69"/>
      <c r="Q19" s="69"/>
      <c r="R19" s="69">
        <v>264000</v>
      </c>
      <c r="S19" s="69"/>
      <c r="T19" s="69">
        <v>132000</v>
      </c>
      <c r="U19" s="68">
        <f t="shared" si="3"/>
        <v>0</v>
      </c>
      <c r="V19" s="59">
        <v>0</v>
      </c>
      <c r="W19" s="66">
        <f t="shared" si="24"/>
        <v>0</v>
      </c>
      <c r="X19" s="66">
        <f t="shared" si="4"/>
        <v>0</v>
      </c>
      <c r="Y19" s="69"/>
      <c r="Z19" s="69"/>
      <c r="AA19" s="69"/>
      <c r="AB19" s="69">
        <v>0</v>
      </c>
      <c r="AC19" s="69"/>
      <c r="AD19" s="69">
        <v>0</v>
      </c>
      <c r="AE19" s="68">
        <f t="shared" si="5"/>
        <v>0</v>
      </c>
      <c r="AF19" s="59">
        <v>0</v>
      </c>
      <c r="AG19" s="66">
        <f t="shared" si="33"/>
        <v>0</v>
      </c>
      <c r="AH19" s="66">
        <f t="shared" si="6"/>
        <v>0</v>
      </c>
      <c r="AI19" s="69"/>
      <c r="AJ19" s="69"/>
      <c r="AK19" s="69"/>
      <c r="AL19" s="69"/>
      <c r="AM19" s="69"/>
      <c r="AN19" s="69"/>
      <c r="AO19" s="68">
        <f t="shared" si="7"/>
        <v>0</v>
      </c>
      <c r="AP19" s="59">
        <v>0</v>
      </c>
      <c r="AQ19" s="66">
        <f t="shared" si="34"/>
        <v>0</v>
      </c>
      <c r="AR19" s="66">
        <f t="shared" si="35"/>
        <v>0</v>
      </c>
      <c r="AS19" s="69"/>
      <c r="AT19" s="69"/>
      <c r="AU19" s="69"/>
      <c r="AV19" s="69"/>
      <c r="AW19" s="69"/>
      <c r="AX19" s="69">
        <v>0</v>
      </c>
      <c r="AY19" s="68">
        <f t="shared" si="9"/>
        <v>0</v>
      </c>
      <c r="AZ19" s="356">
        <v>0</v>
      </c>
      <c r="BA19" s="66">
        <f t="shared" si="10"/>
        <v>0</v>
      </c>
      <c r="BB19" s="66">
        <f t="shared" si="11"/>
        <v>0</v>
      </c>
      <c r="BC19" s="66"/>
      <c r="BD19" s="66"/>
      <c r="BE19" s="66"/>
      <c r="BF19" s="66"/>
      <c r="BG19" s="66"/>
      <c r="BH19" s="66">
        <v>0</v>
      </c>
      <c r="BI19" s="357">
        <f t="shared" si="12"/>
        <v>0</v>
      </c>
      <c r="BJ19" s="358">
        <v>0</v>
      </c>
      <c r="BK19" s="66">
        <f t="shared" si="13"/>
        <v>0</v>
      </c>
      <c r="BL19" s="66">
        <f t="shared" si="14"/>
        <v>0</v>
      </c>
      <c r="BM19" s="69"/>
      <c r="BN19" s="69"/>
      <c r="BO19" s="69"/>
      <c r="BP19" s="69"/>
      <c r="BQ19" s="69"/>
      <c r="BR19" s="69">
        <v>0</v>
      </c>
      <c r="BS19" s="68">
        <f t="shared" si="15"/>
        <v>0</v>
      </c>
      <c r="BT19" s="358">
        <v>0</v>
      </c>
      <c r="BU19" s="66">
        <f t="shared" si="27"/>
        <v>0</v>
      </c>
      <c r="BV19" s="66">
        <f t="shared" si="28"/>
        <v>0</v>
      </c>
      <c r="BW19" s="69"/>
      <c r="BX19" s="69"/>
      <c r="BY19" s="69"/>
      <c r="BZ19" s="69"/>
      <c r="CA19" s="69"/>
      <c r="CB19" s="69">
        <v>0</v>
      </c>
      <c r="CC19" s="68">
        <f t="shared" si="29"/>
        <v>0</v>
      </c>
      <c r="CD19" s="244"/>
      <c r="CE19" s="66">
        <f t="shared" si="30"/>
        <v>0</v>
      </c>
      <c r="CF19" s="66">
        <f t="shared" si="31"/>
        <v>0</v>
      </c>
      <c r="CG19" s="195"/>
      <c r="CH19" s="195"/>
      <c r="CI19" s="195"/>
      <c r="CJ19" s="195"/>
      <c r="CK19" s="195"/>
      <c r="CL19" s="195">
        <v>0</v>
      </c>
      <c r="CM19" s="403">
        <f t="shared" si="32"/>
        <v>0</v>
      </c>
    </row>
    <row r="20" spans="1:91" s="58" customFormat="1" ht="15.95" customHeight="1">
      <c r="A20" s="143" t="s">
        <v>56</v>
      </c>
      <c r="B20" s="93">
        <v>66</v>
      </c>
      <c r="C20" s="66">
        <f t="shared" si="22"/>
        <v>156008</v>
      </c>
      <c r="D20" s="66">
        <f t="shared" si="0"/>
        <v>2363.757575757576</v>
      </c>
      <c r="E20" s="69"/>
      <c r="F20" s="69"/>
      <c r="G20" s="69">
        <v>156008</v>
      </c>
      <c r="H20" s="69"/>
      <c r="I20" s="69"/>
      <c r="J20" s="69">
        <v>156008</v>
      </c>
      <c r="K20" s="68">
        <f t="shared" si="1"/>
        <v>0</v>
      </c>
      <c r="L20" s="159">
        <v>95</v>
      </c>
      <c r="M20" s="66">
        <f t="shared" si="23"/>
        <v>216800</v>
      </c>
      <c r="N20" s="66">
        <f t="shared" si="2"/>
        <v>2282.1052631578946</v>
      </c>
      <c r="O20" s="69"/>
      <c r="P20" s="69"/>
      <c r="Q20" s="69">
        <v>216800</v>
      </c>
      <c r="R20" s="69"/>
      <c r="S20" s="69"/>
      <c r="T20" s="69">
        <v>216800</v>
      </c>
      <c r="U20" s="68">
        <f t="shared" si="3"/>
        <v>0</v>
      </c>
      <c r="V20" s="59">
        <v>70</v>
      </c>
      <c r="W20" s="66">
        <f t="shared" si="24"/>
        <v>211039</v>
      </c>
      <c r="X20" s="66">
        <f t="shared" si="4"/>
        <v>3014.8428571428572</v>
      </c>
      <c r="Y20" s="69"/>
      <c r="Z20" s="69"/>
      <c r="AA20" s="69">
        <v>211039</v>
      </c>
      <c r="AB20" s="69"/>
      <c r="AC20" s="69"/>
      <c r="AD20" s="69">
        <v>211039</v>
      </c>
      <c r="AE20" s="68">
        <f t="shared" si="5"/>
        <v>0</v>
      </c>
      <c r="AF20" s="59">
        <v>77</v>
      </c>
      <c r="AG20" s="66">
        <f t="shared" si="33"/>
        <v>228653</v>
      </c>
      <c r="AH20" s="66">
        <f t="shared" si="6"/>
        <v>2969.5194805194806</v>
      </c>
      <c r="AI20" s="69"/>
      <c r="AJ20" s="69"/>
      <c r="AK20" s="69">
        <v>228653</v>
      </c>
      <c r="AL20" s="69"/>
      <c r="AM20" s="69"/>
      <c r="AN20" s="69">
        <v>228653</v>
      </c>
      <c r="AO20" s="68">
        <f t="shared" si="7"/>
        <v>0</v>
      </c>
      <c r="AP20" s="59">
        <v>65</v>
      </c>
      <c r="AQ20" s="66">
        <f t="shared" si="34"/>
        <v>201801</v>
      </c>
      <c r="AR20" s="66">
        <f t="shared" si="35"/>
        <v>3104.6307692307691</v>
      </c>
      <c r="AS20" s="69"/>
      <c r="AT20" s="69"/>
      <c r="AU20" s="69">
        <v>201801</v>
      </c>
      <c r="AV20" s="69"/>
      <c r="AW20" s="69"/>
      <c r="AX20" s="69">
        <v>201801</v>
      </c>
      <c r="AY20" s="68">
        <f t="shared" si="9"/>
        <v>0</v>
      </c>
      <c r="AZ20" s="356">
        <v>65</v>
      </c>
      <c r="BA20" s="66">
        <f t="shared" si="10"/>
        <v>219276</v>
      </c>
      <c r="BB20" s="66">
        <f t="shared" si="11"/>
        <v>3373.476923076923</v>
      </c>
      <c r="BC20" s="66"/>
      <c r="BD20" s="66"/>
      <c r="BE20" s="66">
        <v>219276</v>
      </c>
      <c r="BF20" s="66"/>
      <c r="BG20" s="66"/>
      <c r="BH20" s="66">
        <v>219276</v>
      </c>
      <c r="BI20" s="357">
        <f t="shared" si="12"/>
        <v>0</v>
      </c>
      <c r="BJ20" s="358">
        <v>69</v>
      </c>
      <c r="BK20" s="66">
        <f t="shared" si="13"/>
        <v>261111</v>
      </c>
      <c r="BL20" s="66">
        <f t="shared" si="14"/>
        <v>3784.217391304348</v>
      </c>
      <c r="BM20" s="69"/>
      <c r="BN20" s="69"/>
      <c r="BO20" s="69">
        <v>261111</v>
      </c>
      <c r="BP20" s="69"/>
      <c r="BQ20" s="69"/>
      <c r="BR20" s="69">
        <v>261111</v>
      </c>
      <c r="BS20" s="68">
        <f t="shared" si="15"/>
        <v>0</v>
      </c>
      <c r="BT20" s="358">
        <v>90</v>
      </c>
      <c r="BU20" s="66">
        <f t="shared" si="27"/>
        <v>312285</v>
      </c>
      <c r="BV20" s="66">
        <f t="shared" si="28"/>
        <v>3469.8333333333335</v>
      </c>
      <c r="BW20" s="69"/>
      <c r="BX20" s="69"/>
      <c r="BY20" s="69">
        <v>312285</v>
      </c>
      <c r="BZ20" s="69"/>
      <c r="CA20" s="69"/>
      <c r="CB20" s="69">
        <v>312285</v>
      </c>
      <c r="CC20" s="68">
        <f t="shared" si="29"/>
        <v>0</v>
      </c>
      <c r="CD20" s="244">
        <v>99</v>
      </c>
      <c r="CE20" s="66">
        <f t="shared" si="30"/>
        <v>291128</v>
      </c>
      <c r="CF20" s="66">
        <f t="shared" si="31"/>
        <v>2940.6868686868688</v>
      </c>
      <c r="CG20" s="195"/>
      <c r="CH20" s="195"/>
      <c r="CI20" s="195">
        <v>291128</v>
      </c>
      <c r="CJ20" s="195"/>
      <c r="CK20" s="195"/>
      <c r="CL20" s="195">
        <v>291128</v>
      </c>
      <c r="CM20" s="403">
        <f t="shared" si="32"/>
        <v>0</v>
      </c>
    </row>
    <row r="21" spans="1:91" s="58" customFormat="1" ht="15.95" customHeight="1">
      <c r="A21" s="143" t="s">
        <v>169</v>
      </c>
      <c r="B21" s="93">
        <v>88</v>
      </c>
      <c r="C21" s="66">
        <f t="shared" si="22"/>
        <v>1173678</v>
      </c>
      <c r="D21" s="66">
        <f t="shared" si="0"/>
        <v>13337.25</v>
      </c>
      <c r="E21" s="69">
        <v>1173678</v>
      </c>
      <c r="F21" s="69"/>
      <c r="G21" s="69"/>
      <c r="H21" s="69"/>
      <c r="I21" s="69"/>
      <c r="J21" s="69">
        <v>979060</v>
      </c>
      <c r="K21" s="68">
        <f t="shared" si="1"/>
        <v>979060</v>
      </c>
      <c r="L21" s="159">
        <v>67</v>
      </c>
      <c r="M21" s="66">
        <f t="shared" si="23"/>
        <v>945879</v>
      </c>
      <c r="N21" s="66">
        <f t="shared" si="2"/>
        <v>14117.597014925374</v>
      </c>
      <c r="O21" s="69">
        <v>945879</v>
      </c>
      <c r="P21" s="69"/>
      <c r="Q21" s="69"/>
      <c r="R21" s="69"/>
      <c r="S21" s="69"/>
      <c r="T21" s="69">
        <v>926999</v>
      </c>
      <c r="U21" s="68">
        <f t="shared" si="3"/>
        <v>926999</v>
      </c>
      <c r="V21" s="59">
        <v>61</v>
      </c>
      <c r="W21" s="66">
        <f t="shared" si="24"/>
        <v>777619</v>
      </c>
      <c r="X21" s="66">
        <f t="shared" si="4"/>
        <v>12747.852459016394</v>
      </c>
      <c r="Y21" s="69">
        <v>777619</v>
      </c>
      <c r="Z21" s="69"/>
      <c r="AA21" s="69"/>
      <c r="AB21" s="69"/>
      <c r="AC21" s="69"/>
      <c r="AD21" s="69">
        <v>758509</v>
      </c>
      <c r="AE21" s="68">
        <f t="shared" si="5"/>
        <v>758509</v>
      </c>
      <c r="AF21" s="59">
        <v>0</v>
      </c>
      <c r="AG21" s="66">
        <f t="shared" si="33"/>
        <v>0</v>
      </c>
      <c r="AH21" s="66">
        <f t="shared" si="6"/>
        <v>0</v>
      </c>
      <c r="AI21" s="69"/>
      <c r="AJ21" s="69"/>
      <c r="AK21" s="69"/>
      <c r="AL21" s="69"/>
      <c r="AM21" s="69"/>
      <c r="AN21" s="69"/>
      <c r="AO21" s="68">
        <f t="shared" si="7"/>
        <v>0</v>
      </c>
      <c r="AP21" s="59">
        <v>0</v>
      </c>
      <c r="AQ21" s="66">
        <f t="shared" si="34"/>
        <v>0</v>
      </c>
      <c r="AR21" s="66">
        <f t="shared" si="35"/>
        <v>0</v>
      </c>
      <c r="AS21" s="69"/>
      <c r="AT21" s="69"/>
      <c r="AU21" s="69"/>
      <c r="AV21" s="69"/>
      <c r="AW21" s="69"/>
      <c r="AX21" s="69">
        <v>0</v>
      </c>
      <c r="AY21" s="68">
        <f t="shared" si="9"/>
        <v>0</v>
      </c>
      <c r="AZ21" s="356"/>
      <c r="BA21" s="66">
        <f t="shared" si="10"/>
        <v>0</v>
      </c>
      <c r="BB21" s="66">
        <f t="shared" si="11"/>
        <v>0</v>
      </c>
      <c r="BC21" s="66"/>
      <c r="BD21" s="66"/>
      <c r="BE21" s="66"/>
      <c r="BF21" s="66"/>
      <c r="BG21" s="66"/>
      <c r="BH21" s="66"/>
      <c r="BI21" s="357">
        <f t="shared" si="12"/>
        <v>0</v>
      </c>
      <c r="BJ21" s="358"/>
      <c r="BK21" s="66">
        <f t="shared" si="13"/>
        <v>0</v>
      </c>
      <c r="BL21" s="66">
        <f t="shared" si="14"/>
        <v>0</v>
      </c>
      <c r="BM21" s="69"/>
      <c r="BN21" s="69"/>
      <c r="BO21" s="69"/>
      <c r="BP21" s="69"/>
      <c r="BQ21" s="69"/>
      <c r="BR21" s="69"/>
      <c r="BS21" s="68">
        <v>0</v>
      </c>
      <c r="BT21" s="358">
        <v>0</v>
      </c>
      <c r="BU21" s="66">
        <f t="shared" si="27"/>
        <v>0</v>
      </c>
      <c r="BV21" s="66">
        <f t="shared" si="28"/>
        <v>0</v>
      </c>
      <c r="BW21" s="69"/>
      <c r="BX21" s="69"/>
      <c r="BY21" s="69"/>
      <c r="BZ21" s="69"/>
      <c r="CA21" s="69"/>
      <c r="CB21" s="69">
        <v>0</v>
      </c>
      <c r="CC21" s="68">
        <f t="shared" si="29"/>
        <v>0</v>
      </c>
      <c r="CD21" s="244"/>
      <c r="CE21" s="66">
        <f t="shared" si="30"/>
        <v>0</v>
      </c>
      <c r="CF21" s="66">
        <f t="shared" si="31"/>
        <v>0</v>
      </c>
      <c r="CG21" s="195"/>
      <c r="CH21" s="195"/>
      <c r="CI21" s="195"/>
      <c r="CJ21" s="195"/>
      <c r="CK21" s="195"/>
      <c r="CL21" s="195"/>
      <c r="CM21" s="403">
        <f t="shared" si="32"/>
        <v>0</v>
      </c>
    </row>
    <row r="22" spans="1:91" s="58" customFormat="1" ht="15.95" customHeight="1">
      <c r="A22" s="143" t="s">
        <v>170</v>
      </c>
      <c r="B22" s="93">
        <v>77</v>
      </c>
      <c r="C22" s="66">
        <f t="shared" si="22"/>
        <v>135422</v>
      </c>
      <c r="D22" s="66">
        <f t="shared" si="0"/>
        <v>1758.7272727272727</v>
      </c>
      <c r="E22" s="69"/>
      <c r="F22" s="69">
        <v>135422</v>
      </c>
      <c r="G22" s="69"/>
      <c r="H22" s="69"/>
      <c r="I22" s="69"/>
      <c r="J22" s="69">
        <v>132201</v>
      </c>
      <c r="K22" s="68">
        <f t="shared" si="1"/>
        <v>0</v>
      </c>
      <c r="L22" s="159">
        <v>59</v>
      </c>
      <c r="M22" s="66">
        <f t="shared" si="23"/>
        <v>69202</v>
      </c>
      <c r="N22" s="66">
        <f t="shared" si="2"/>
        <v>1172.9152542372881</v>
      </c>
      <c r="O22" s="69"/>
      <c r="P22" s="69">
        <v>69202</v>
      </c>
      <c r="Q22" s="69"/>
      <c r="R22" s="69"/>
      <c r="S22" s="69"/>
      <c r="T22" s="69">
        <v>59346</v>
      </c>
      <c r="U22" s="68">
        <f t="shared" si="3"/>
        <v>0</v>
      </c>
      <c r="V22" s="59">
        <v>112</v>
      </c>
      <c r="W22" s="66">
        <f t="shared" si="24"/>
        <v>391599</v>
      </c>
      <c r="X22" s="66">
        <f t="shared" si="4"/>
        <v>3496.4196428571427</v>
      </c>
      <c r="Y22" s="69"/>
      <c r="Z22" s="69">
        <v>391599</v>
      </c>
      <c r="AA22" s="69"/>
      <c r="AB22" s="69"/>
      <c r="AC22" s="69"/>
      <c r="AD22" s="69">
        <v>311259</v>
      </c>
      <c r="AE22" s="68">
        <f t="shared" si="5"/>
        <v>0</v>
      </c>
      <c r="AF22" s="59">
        <v>48</v>
      </c>
      <c r="AG22" s="66">
        <f t="shared" si="33"/>
        <v>127843</v>
      </c>
      <c r="AH22" s="66">
        <f t="shared" si="6"/>
        <v>2663.3958333333335</v>
      </c>
      <c r="AI22" s="69"/>
      <c r="AJ22" s="69">
        <v>127843</v>
      </c>
      <c r="AK22" s="69"/>
      <c r="AL22" s="69"/>
      <c r="AM22" s="69"/>
      <c r="AN22" s="69">
        <v>96924</v>
      </c>
      <c r="AO22" s="68">
        <f t="shared" si="7"/>
        <v>0</v>
      </c>
      <c r="AP22" s="59">
        <v>6</v>
      </c>
      <c r="AQ22" s="66">
        <f t="shared" si="34"/>
        <v>13148</v>
      </c>
      <c r="AR22" s="66">
        <f t="shared" si="35"/>
        <v>2191.3333333333335</v>
      </c>
      <c r="AS22" s="69"/>
      <c r="AT22" s="69">
        <v>13148</v>
      </c>
      <c r="AU22" s="69"/>
      <c r="AV22" s="69"/>
      <c r="AW22" s="69"/>
      <c r="AX22" s="69">
        <v>10148</v>
      </c>
      <c r="AY22" s="68">
        <f t="shared" si="9"/>
        <v>0</v>
      </c>
      <c r="AZ22" s="356">
        <v>24</v>
      </c>
      <c r="BA22" s="66">
        <f t="shared" si="10"/>
        <v>35865</v>
      </c>
      <c r="BB22" s="66">
        <f t="shared" si="11"/>
        <v>1494.375</v>
      </c>
      <c r="BC22" s="66"/>
      <c r="BD22" s="66">
        <v>35865</v>
      </c>
      <c r="BE22" s="66"/>
      <c r="BF22" s="66"/>
      <c r="BG22" s="66"/>
      <c r="BH22" s="66">
        <v>23485</v>
      </c>
      <c r="BI22" s="357">
        <f t="shared" si="12"/>
        <v>0</v>
      </c>
      <c r="BJ22" s="358"/>
      <c r="BK22" s="66">
        <f t="shared" si="13"/>
        <v>0</v>
      </c>
      <c r="BL22" s="66">
        <f t="shared" si="14"/>
        <v>0</v>
      </c>
      <c r="BM22" s="69"/>
      <c r="BN22" s="69"/>
      <c r="BO22" s="69"/>
      <c r="BP22" s="69"/>
      <c r="BQ22" s="69"/>
      <c r="BR22" s="69"/>
      <c r="BS22" s="68">
        <f t="shared" si="15"/>
        <v>0</v>
      </c>
      <c r="BT22" s="358">
        <v>0</v>
      </c>
      <c r="BU22" s="66">
        <f t="shared" si="27"/>
        <v>0</v>
      </c>
      <c r="BV22" s="66">
        <f t="shared" si="28"/>
        <v>0</v>
      </c>
      <c r="BW22" s="69"/>
      <c r="BX22" s="69"/>
      <c r="BY22" s="69"/>
      <c r="BZ22" s="69"/>
      <c r="CA22" s="69"/>
      <c r="CB22" s="69">
        <v>0</v>
      </c>
      <c r="CC22" s="68">
        <f t="shared" si="29"/>
        <v>0</v>
      </c>
      <c r="CD22" s="244"/>
      <c r="CE22" s="66">
        <f t="shared" si="30"/>
        <v>0</v>
      </c>
      <c r="CF22" s="66">
        <f t="shared" si="31"/>
        <v>0</v>
      </c>
      <c r="CG22" s="195"/>
      <c r="CH22" s="195"/>
      <c r="CI22" s="195"/>
      <c r="CJ22" s="195"/>
      <c r="CK22" s="195"/>
      <c r="CL22" s="195"/>
      <c r="CM22" s="403">
        <f t="shared" si="32"/>
        <v>0</v>
      </c>
    </row>
    <row r="23" spans="1:91" s="58" customFormat="1" ht="15.95" customHeight="1">
      <c r="A23" s="143" t="s">
        <v>171</v>
      </c>
      <c r="B23" s="93">
        <v>43</v>
      </c>
      <c r="C23" s="66">
        <f t="shared" si="22"/>
        <v>96240</v>
      </c>
      <c r="D23" s="66">
        <f t="shared" si="0"/>
        <v>2238.1395348837209</v>
      </c>
      <c r="E23" s="69"/>
      <c r="F23" s="69">
        <v>96240</v>
      </c>
      <c r="G23" s="69"/>
      <c r="H23" s="69"/>
      <c r="I23" s="69"/>
      <c r="J23" s="69">
        <v>96240</v>
      </c>
      <c r="K23" s="68">
        <f t="shared" si="1"/>
        <v>0</v>
      </c>
      <c r="L23" s="159">
        <v>18</v>
      </c>
      <c r="M23" s="66">
        <f t="shared" si="23"/>
        <v>34976</v>
      </c>
      <c r="N23" s="66">
        <f t="shared" si="2"/>
        <v>1943.1111111111111</v>
      </c>
      <c r="O23" s="69"/>
      <c r="P23" s="69">
        <v>34976</v>
      </c>
      <c r="Q23" s="69"/>
      <c r="R23" s="69"/>
      <c r="S23" s="69"/>
      <c r="T23" s="69">
        <v>30976</v>
      </c>
      <c r="U23" s="68">
        <f t="shared" si="3"/>
        <v>0</v>
      </c>
      <c r="V23" s="59">
        <v>31</v>
      </c>
      <c r="W23" s="66">
        <f t="shared" si="24"/>
        <v>61445</v>
      </c>
      <c r="X23" s="66">
        <f t="shared" si="4"/>
        <v>1982.0967741935483</v>
      </c>
      <c r="Y23" s="69"/>
      <c r="Z23" s="69">
        <v>61445</v>
      </c>
      <c r="AA23" s="69"/>
      <c r="AB23" s="69"/>
      <c r="AC23" s="69"/>
      <c r="AD23" s="69">
        <v>46445</v>
      </c>
      <c r="AE23" s="68">
        <f t="shared" si="5"/>
        <v>0</v>
      </c>
      <c r="AF23" s="59">
        <v>0</v>
      </c>
      <c r="AG23" s="66">
        <f t="shared" si="33"/>
        <v>0</v>
      </c>
      <c r="AH23" s="66">
        <f t="shared" si="6"/>
        <v>0</v>
      </c>
      <c r="AI23" s="69"/>
      <c r="AJ23" s="69">
        <v>0</v>
      </c>
      <c r="AK23" s="69"/>
      <c r="AL23" s="69"/>
      <c r="AM23" s="69"/>
      <c r="AN23" s="69">
        <v>0</v>
      </c>
      <c r="AO23" s="68">
        <f t="shared" si="7"/>
        <v>0</v>
      </c>
      <c r="AP23" s="59">
        <v>0</v>
      </c>
      <c r="AQ23" s="66">
        <f t="shared" si="34"/>
        <v>0</v>
      </c>
      <c r="AR23" s="66">
        <f t="shared" si="35"/>
        <v>0</v>
      </c>
      <c r="AS23" s="69"/>
      <c r="AT23" s="69"/>
      <c r="AU23" s="69"/>
      <c r="AV23" s="69"/>
      <c r="AW23" s="69"/>
      <c r="AX23" s="69">
        <v>0</v>
      </c>
      <c r="AY23" s="68">
        <f t="shared" si="9"/>
        <v>0</v>
      </c>
      <c r="AZ23" s="356">
        <v>0</v>
      </c>
      <c r="BA23" s="66">
        <f t="shared" si="10"/>
        <v>0</v>
      </c>
      <c r="BB23" s="66">
        <f t="shared" si="11"/>
        <v>0</v>
      </c>
      <c r="BC23" s="66"/>
      <c r="BD23" s="66"/>
      <c r="BE23" s="66"/>
      <c r="BF23" s="66"/>
      <c r="BG23" s="66"/>
      <c r="BH23" s="66">
        <v>0</v>
      </c>
      <c r="BI23" s="357">
        <f t="shared" si="12"/>
        <v>0</v>
      </c>
      <c r="BJ23" s="358">
        <v>0</v>
      </c>
      <c r="BK23" s="66">
        <f t="shared" si="13"/>
        <v>0</v>
      </c>
      <c r="BL23" s="66">
        <f t="shared" si="14"/>
        <v>0</v>
      </c>
      <c r="BM23" s="69"/>
      <c r="BN23" s="69"/>
      <c r="BO23" s="69"/>
      <c r="BP23" s="69"/>
      <c r="BQ23" s="69"/>
      <c r="BR23" s="69"/>
      <c r="BS23" s="68">
        <f t="shared" si="15"/>
        <v>0</v>
      </c>
      <c r="BT23" s="358">
        <v>0</v>
      </c>
      <c r="BU23" s="66">
        <f t="shared" si="27"/>
        <v>0</v>
      </c>
      <c r="BV23" s="66">
        <f t="shared" si="28"/>
        <v>0</v>
      </c>
      <c r="BW23" s="69"/>
      <c r="BX23" s="69"/>
      <c r="BY23" s="69"/>
      <c r="BZ23" s="69"/>
      <c r="CA23" s="69"/>
      <c r="CB23" s="69">
        <v>0</v>
      </c>
      <c r="CC23" s="68">
        <f t="shared" si="29"/>
        <v>0</v>
      </c>
      <c r="CD23" s="244"/>
      <c r="CE23" s="66">
        <f t="shared" si="30"/>
        <v>0</v>
      </c>
      <c r="CF23" s="66">
        <f t="shared" si="31"/>
        <v>0</v>
      </c>
      <c r="CG23" s="195"/>
      <c r="CH23" s="195"/>
      <c r="CI23" s="195"/>
      <c r="CJ23" s="195"/>
      <c r="CK23" s="195"/>
      <c r="CL23" s="195"/>
      <c r="CM23" s="403">
        <f t="shared" si="32"/>
        <v>0</v>
      </c>
    </row>
    <row r="24" spans="1:91" s="58" customFormat="1" ht="15.95" customHeight="1">
      <c r="A24" s="143" t="s">
        <v>267</v>
      </c>
      <c r="B24" s="93">
        <v>43</v>
      </c>
      <c r="C24" s="66">
        <f t="shared" si="22"/>
        <v>96240</v>
      </c>
      <c r="D24" s="66">
        <f t="shared" si="0"/>
        <v>2238.1395348837209</v>
      </c>
      <c r="E24" s="69"/>
      <c r="F24" s="69">
        <v>96240</v>
      </c>
      <c r="G24" s="69"/>
      <c r="H24" s="69"/>
      <c r="I24" s="69"/>
      <c r="J24" s="69">
        <v>96240</v>
      </c>
      <c r="K24" s="68">
        <f t="shared" si="1"/>
        <v>0</v>
      </c>
      <c r="L24" s="159">
        <v>18</v>
      </c>
      <c r="M24" s="66">
        <f t="shared" si="23"/>
        <v>34976</v>
      </c>
      <c r="N24" s="66">
        <f t="shared" si="2"/>
        <v>1943.1111111111111</v>
      </c>
      <c r="O24" s="69"/>
      <c r="P24" s="69">
        <v>34976</v>
      </c>
      <c r="Q24" s="69"/>
      <c r="R24" s="69"/>
      <c r="S24" s="69"/>
      <c r="T24" s="69">
        <v>30976</v>
      </c>
      <c r="U24" s="68">
        <f t="shared" si="3"/>
        <v>0</v>
      </c>
      <c r="V24" s="59">
        <v>0</v>
      </c>
      <c r="W24" s="66">
        <v>0</v>
      </c>
      <c r="X24" s="66">
        <f t="shared" si="4"/>
        <v>0</v>
      </c>
      <c r="Y24" s="69"/>
      <c r="Z24" s="69">
        <v>0</v>
      </c>
      <c r="AA24" s="69"/>
      <c r="AB24" s="69"/>
      <c r="AC24" s="69"/>
      <c r="AD24" s="69">
        <v>0</v>
      </c>
      <c r="AE24" s="68">
        <f t="shared" si="5"/>
        <v>0</v>
      </c>
      <c r="AF24" s="59">
        <v>34</v>
      </c>
      <c r="AG24" s="66">
        <v>0</v>
      </c>
      <c r="AH24" s="66">
        <f t="shared" si="6"/>
        <v>0</v>
      </c>
      <c r="AI24" s="69"/>
      <c r="AJ24" s="69">
        <v>0</v>
      </c>
      <c r="AK24" s="69"/>
      <c r="AL24" s="69"/>
      <c r="AM24" s="69">
        <v>207500</v>
      </c>
      <c r="AN24" s="69">
        <v>184500</v>
      </c>
      <c r="AO24" s="68">
        <f t="shared" si="7"/>
        <v>0</v>
      </c>
      <c r="AP24" s="59">
        <v>20</v>
      </c>
      <c r="AQ24" s="66">
        <f t="shared" si="34"/>
        <v>150600</v>
      </c>
      <c r="AR24" s="66">
        <f t="shared" si="35"/>
        <v>7530</v>
      </c>
      <c r="AS24" s="69"/>
      <c r="AT24" s="69"/>
      <c r="AU24" s="69"/>
      <c r="AV24" s="69"/>
      <c r="AW24" s="69">
        <v>150600</v>
      </c>
      <c r="AX24" s="69">
        <v>144600</v>
      </c>
      <c r="AY24" s="68">
        <f t="shared" si="9"/>
        <v>0</v>
      </c>
      <c r="AZ24" s="356">
        <v>29</v>
      </c>
      <c r="BA24" s="66">
        <f t="shared" si="10"/>
        <v>196850</v>
      </c>
      <c r="BB24" s="66">
        <f t="shared" si="11"/>
        <v>6787.9310344827591</v>
      </c>
      <c r="BC24" s="66"/>
      <c r="BD24" s="66"/>
      <c r="BE24" s="66"/>
      <c r="BF24" s="66"/>
      <c r="BG24" s="66">
        <v>196850</v>
      </c>
      <c r="BH24" s="66">
        <v>176850</v>
      </c>
      <c r="BI24" s="357">
        <f t="shared" si="12"/>
        <v>0</v>
      </c>
      <c r="BJ24" s="358">
        <v>18</v>
      </c>
      <c r="BK24" s="66">
        <f t="shared" si="13"/>
        <v>117900</v>
      </c>
      <c r="BL24" s="66">
        <f t="shared" si="14"/>
        <v>6550</v>
      </c>
      <c r="BM24" s="69"/>
      <c r="BN24" s="69"/>
      <c r="BO24" s="69"/>
      <c r="BP24" s="69"/>
      <c r="BQ24" s="69">
        <v>117900</v>
      </c>
      <c r="BR24" s="69">
        <v>117900</v>
      </c>
      <c r="BS24" s="68">
        <f t="shared" si="15"/>
        <v>0</v>
      </c>
      <c r="BT24" s="358">
        <v>44</v>
      </c>
      <c r="BU24" s="66">
        <f t="shared" si="27"/>
        <v>311019</v>
      </c>
      <c r="BV24" s="66">
        <f t="shared" si="28"/>
        <v>7068.613636363636</v>
      </c>
      <c r="BW24" s="69"/>
      <c r="BX24" s="69"/>
      <c r="BY24" s="69"/>
      <c r="BZ24" s="69"/>
      <c r="CA24" s="69">
        <v>311019</v>
      </c>
      <c r="CB24" s="69">
        <v>282019</v>
      </c>
      <c r="CC24" s="68">
        <f t="shared" si="29"/>
        <v>0</v>
      </c>
      <c r="CD24" s="244">
        <v>30</v>
      </c>
      <c r="CE24" s="66">
        <f t="shared" si="30"/>
        <v>287713</v>
      </c>
      <c r="CF24" s="66">
        <f t="shared" si="31"/>
        <v>9590.4333333333325</v>
      </c>
      <c r="CG24" s="195"/>
      <c r="CH24" s="195"/>
      <c r="CI24" s="195"/>
      <c r="CJ24" s="195"/>
      <c r="CK24" s="195">
        <v>287713</v>
      </c>
      <c r="CL24" s="195">
        <v>271713</v>
      </c>
      <c r="CM24" s="403">
        <f t="shared" si="32"/>
        <v>0</v>
      </c>
    </row>
    <row r="25" spans="1:91" s="58" customFormat="1" ht="15.95" customHeight="1">
      <c r="A25" s="143" t="s">
        <v>268</v>
      </c>
      <c r="B25" s="93">
        <v>43</v>
      </c>
      <c r="C25" s="66">
        <f t="shared" si="22"/>
        <v>96240</v>
      </c>
      <c r="D25" s="66">
        <f t="shared" si="0"/>
        <v>2238.1395348837209</v>
      </c>
      <c r="E25" s="69"/>
      <c r="F25" s="69">
        <v>96240</v>
      </c>
      <c r="G25" s="69"/>
      <c r="H25" s="69"/>
      <c r="I25" s="69"/>
      <c r="J25" s="69">
        <v>96240</v>
      </c>
      <c r="K25" s="68">
        <f t="shared" si="1"/>
        <v>0</v>
      </c>
      <c r="L25" s="159">
        <v>18</v>
      </c>
      <c r="M25" s="66">
        <f t="shared" si="23"/>
        <v>34976</v>
      </c>
      <c r="N25" s="66">
        <f t="shared" si="2"/>
        <v>1943.1111111111111</v>
      </c>
      <c r="O25" s="69"/>
      <c r="P25" s="69">
        <v>34976</v>
      </c>
      <c r="Q25" s="69"/>
      <c r="R25" s="69"/>
      <c r="S25" s="69"/>
      <c r="T25" s="69">
        <v>30976</v>
      </c>
      <c r="U25" s="68">
        <f t="shared" si="3"/>
        <v>0</v>
      </c>
      <c r="V25" s="59">
        <v>0</v>
      </c>
      <c r="W25" s="66">
        <v>0</v>
      </c>
      <c r="X25" s="66">
        <f t="shared" si="4"/>
        <v>0</v>
      </c>
      <c r="Y25" s="69"/>
      <c r="Z25" s="69">
        <v>0</v>
      </c>
      <c r="AA25" s="69"/>
      <c r="AB25" s="69"/>
      <c r="AC25" s="69"/>
      <c r="AD25" s="69">
        <v>0</v>
      </c>
      <c r="AE25" s="68">
        <f t="shared" si="5"/>
        <v>0</v>
      </c>
      <c r="AF25" s="59">
        <v>6</v>
      </c>
      <c r="AG25" s="66">
        <v>0</v>
      </c>
      <c r="AH25" s="66">
        <f t="shared" si="6"/>
        <v>0</v>
      </c>
      <c r="AI25" s="69"/>
      <c r="AJ25" s="69">
        <v>20500</v>
      </c>
      <c r="AK25" s="69"/>
      <c r="AL25" s="69"/>
      <c r="AM25" s="69"/>
      <c r="AN25" s="69">
        <v>11000</v>
      </c>
      <c r="AO25" s="68">
        <f t="shared" si="7"/>
        <v>0</v>
      </c>
      <c r="AP25" s="59">
        <v>0</v>
      </c>
      <c r="AQ25" s="66">
        <f t="shared" si="34"/>
        <v>0</v>
      </c>
      <c r="AR25" s="66">
        <f t="shared" si="35"/>
        <v>0</v>
      </c>
      <c r="AS25" s="69"/>
      <c r="AT25" s="69"/>
      <c r="AU25" s="69"/>
      <c r="AV25" s="69"/>
      <c r="AW25" s="69"/>
      <c r="AX25" s="69">
        <v>0</v>
      </c>
      <c r="AY25" s="68">
        <f t="shared" si="9"/>
        <v>0</v>
      </c>
      <c r="AZ25" s="356"/>
      <c r="BA25" s="66">
        <f t="shared" si="10"/>
        <v>0</v>
      </c>
      <c r="BB25" s="66">
        <f t="shared" si="11"/>
        <v>0</v>
      </c>
      <c r="BC25" s="66"/>
      <c r="BD25" s="66">
        <v>0</v>
      </c>
      <c r="BE25" s="66"/>
      <c r="BF25" s="66"/>
      <c r="BG25" s="66"/>
      <c r="BH25" s="66">
        <v>0</v>
      </c>
      <c r="BI25" s="357">
        <f t="shared" si="12"/>
        <v>0</v>
      </c>
      <c r="BJ25" s="358">
        <v>0</v>
      </c>
      <c r="BK25" s="66">
        <f t="shared" si="13"/>
        <v>0</v>
      </c>
      <c r="BL25" s="66">
        <f t="shared" si="14"/>
        <v>0</v>
      </c>
      <c r="BM25" s="69"/>
      <c r="BN25" s="69"/>
      <c r="BO25" s="69"/>
      <c r="BP25" s="69"/>
      <c r="BQ25" s="69"/>
      <c r="BR25" s="69"/>
      <c r="BS25" s="68">
        <f t="shared" si="15"/>
        <v>0</v>
      </c>
      <c r="BT25" s="358">
        <v>0</v>
      </c>
      <c r="BU25" s="66">
        <f t="shared" si="27"/>
        <v>0</v>
      </c>
      <c r="BV25" s="66">
        <f t="shared" si="28"/>
        <v>0</v>
      </c>
      <c r="BW25" s="69"/>
      <c r="BX25" s="69"/>
      <c r="BY25" s="69"/>
      <c r="BZ25" s="69"/>
      <c r="CA25" s="69"/>
      <c r="CB25" s="69">
        <v>0</v>
      </c>
      <c r="CC25" s="68">
        <f t="shared" si="29"/>
        <v>0</v>
      </c>
      <c r="CD25" s="244"/>
      <c r="CE25" s="66">
        <f t="shared" si="30"/>
        <v>0</v>
      </c>
      <c r="CF25" s="66">
        <f t="shared" si="31"/>
        <v>0</v>
      </c>
      <c r="CG25" s="195"/>
      <c r="CH25" s="195"/>
      <c r="CI25" s="195"/>
      <c r="CJ25" s="195"/>
      <c r="CK25" s="195"/>
      <c r="CL25" s="195"/>
      <c r="CM25" s="403">
        <f t="shared" si="32"/>
        <v>0</v>
      </c>
    </row>
    <row r="26" spans="1:91" s="58" customFormat="1" ht="15.95" customHeight="1">
      <c r="A26" s="143" t="s">
        <v>317</v>
      </c>
      <c r="B26" s="359"/>
      <c r="C26" s="360">
        <f t="shared" ref="C26" si="36">SUM(E26:I26)</f>
        <v>0</v>
      </c>
      <c r="D26" s="360">
        <f t="shared" si="0"/>
        <v>0</v>
      </c>
      <c r="E26" s="361"/>
      <c r="F26" s="361"/>
      <c r="G26" s="361"/>
      <c r="H26" s="361"/>
      <c r="I26" s="361"/>
      <c r="J26" s="361"/>
      <c r="K26" s="360">
        <f t="shared" si="1"/>
        <v>0</v>
      </c>
      <c r="L26" s="359"/>
      <c r="M26" s="360">
        <f t="shared" si="23"/>
        <v>0</v>
      </c>
      <c r="N26" s="360">
        <f t="shared" si="2"/>
        <v>0</v>
      </c>
      <c r="O26" s="361"/>
      <c r="P26" s="361"/>
      <c r="Q26" s="361"/>
      <c r="R26" s="361"/>
      <c r="S26" s="361"/>
      <c r="T26" s="361"/>
      <c r="U26" s="360">
        <f t="shared" si="3"/>
        <v>0</v>
      </c>
      <c r="V26" s="359"/>
      <c r="W26" s="360">
        <f t="shared" ref="W26" si="37">SUM(Y26:AC26)</f>
        <v>0</v>
      </c>
      <c r="X26" s="360">
        <f t="shared" si="4"/>
        <v>0</v>
      </c>
      <c r="Y26" s="361"/>
      <c r="Z26" s="361"/>
      <c r="AA26" s="361"/>
      <c r="AB26" s="361"/>
      <c r="AC26" s="361"/>
      <c r="AD26" s="361"/>
      <c r="AE26" s="360">
        <f t="shared" si="5"/>
        <v>0</v>
      </c>
      <c r="AF26" s="359"/>
      <c r="AG26" s="360">
        <f t="shared" ref="AG26" si="38">SUM(AI26:AM26)</f>
        <v>0</v>
      </c>
      <c r="AH26" s="360">
        <f t="shared" si="6"/>
        <v>0</v>
      </c>
      <c r="AI26" s="361"/>
      <c r="AJ26" s="361"/>
      <c r="AK26" s="361"/>
      <c r="AL26" s="361"/>
      <c r="AM26" s="361"/>
      <c r="AN26" s="361"/>
      <c r="AO26" s="360">
        <f t="shared" si="7"/>
        <v>0</v>
      </c>
      <c r="AP26" s="359"/>
      <c r="AQ26" s="360">
        <f t="shared" si="34"/>
        <v>0</v>
      </c>
      <c r="AR26" s="360">
        <f t="shared" si="35"/>
        <v>0</v>
      </c>
      <c r="AS26" s="361"/>
      <c r="AT26" s="361"/>
      <c r="AU26" s="361"/>
      <c r="AV26" s="361"/>
      <c r="AW26" s="361"/>
      <c r="AX26" s="361"/>
      <c r="AY26" s="362">
        <f t="shared" si="9"/>
        <v>0</v>
      </c>
      <c r="AZ26" s="363">
        <v>0</v>
      </c>
      <c r="BA26" s="66">
        <f t="shared" si="10"/>
        <v>0</v>
      </c>
      <c r="BB26" s="66">
        <f t="shared" si="11"/>
        <v>0</v>
      </c>
      <c r="BC26" s="66"/>
      <c r="BD26" s="66"/>
      <c r="BE26" s="66"/>
      <c r="BF26" s="66"/>
      <c r="BG26" s="66"/>
      <c r="BH26" s="66"/>
      <c r="BI26" s="357">
        <f t="shared" si="12"/>
        <v>0</v>
      </c>
      <c r="BJ26" s="358">
        <v>78</v>
      </c>
      <c r="BK26" s="66">
        <v>426474</v>
      </c>
      <c r="BL26" s="66">
        <f t="shared" si="14"/>
        <v>5467.6153846153848</v>
      </c>
      <c r="BM26" s="69"/>
      <c r="BN26" s="69"/>
      <c r="BO26" s="69">
        <f>BK26</f>
        <v>426474</v>
      </c>
      <c r="BP26" s="69"/>
      <c r="BQ26" s="69"/>
      <c r="BR26" s="69">
        <f>BK26</f>
        <v>426474</v>
      </c>
      <c r="BS26" s="68">
        <f t="shared" si="15"/>
        <v>0</v>
      </c>
      <c r="BT26" s="358">
        <v>100</v>
      </c>
      <c r="BU26" s="66">
        <f t="shared" si="27"/>
        <v>443571</v>
      </c>
      <c r="BV26" s="66">
        <f t="shared" si="28"/>
        <v>4435.71</v>
      </c>
      <c r="BW26" s="69"/>
      <c r="BX26" s="69"/>
      <c r="BY26" s="69">
        <v>443571</v>
      </c>
      <c r="BZ26" s="69"/>
      <c r="CA26" s="69"/>
      <c r="CB26" s="69">
        <v>443571</v>
      </c>
      <c r="CC26" s="68">
        <f t="shared" si="29"/>
        <v>0</v>
      </c>
      <c r="CD26" s="244">
        <v>90</v>
      </c>
      <c r="CE26" s="66">
        <f t="shared" si="30"/>
        <v>400745</v>
      </c>
      <c r="CF26" s="66">
        <f t="shared" si="31"/>
        <v>4452.7222222222226</v>
      </c>
      <c r="CG26" s="195"/>
      <c r="CH26" s="195"/>
      <c r="CI26" s="195">
        <v>400745</v>
      </c>
      <c r="CJ26" s="195"/>
      <c r="CK26" s="195"/>
      <c r="CL26" s="195">
        <v>400745</v>
      </c>
      <c r="CM26" s="403">
        <f t="shared" si="32"/>
        <v>0</v>
      </c>
    </row>
    <row r="27" spans="1:91" s="58" customFormat="1" ht="15.95" customHeight="1">
      <c r="A27" s="367"/>
      <c r="B27" s="93"/>
      <c r="C27" s="66">
        <f t="shared" ref="C27" si="39">SUM(E27:I27)</f>
        <v>0</v>
      </c>
      <c r="D27" s="66">
        <f t="shared" ref="D27:D30" si="40">IFERROR(C27/B27,0)</f>
        <v>0</v>
      </c>
      <c r="E27" s="69"/>
      <c r="F27" s="69"/>
      <c r="G27" s="69"/>
      <c r="H27" s="69"/>
      <c r="I27" s="69"/>
      <c r="J27" s="69"/>
      <c r="K27" s="68">
        <f t="shared" ref="K27:K30" si="41">IF(J27=0,0,(IF(E27&lt;=J27,E27,J27)))</f>
        <v>0</v>
      </c>
      <c r="L27" s="159"/>
      <c r="M27" s="66">
        <f t="shared" ref="M27:M30" si="42">SUM(O27:S27)</f>
        <v>0</v>
      </c>
      <c r="N27" s="66">
        <f t="shared" ref="N27:N30" si="43">IFERROR(M27/L27,0)</f>
        <v>0</v>
      </c>
      <c r="O27" s="69"/>
      <c r="P27" s="69"/>
      <c r="Q27" s="69"/>
      <c r="R27" s="69"/>
      <c r="S27" s="69"/>
      <c r="T27" s="69"/>
      <c r="U27" s="68">
        <f t="shared" ref="U27:U30" si="44">IF(T27=0,0,(IF(O27&lt;=T27,O27,T27)))</f>
        <v>0</v>
      </c>
      <c r="V27" s="59"/>
      <c r="W27" s="66">
        <f t="shared" ref="W27" si="45">SUM(Y27:AC27)</f>
        <v>0</v>
      </c>
      <c r="X27" s="66">
        <f t="shared" ref="X27:X30" si="46">IFERROR(W27/V27,0)</f>
        <v>0</v>
      </c>
      <c r="Y27" s="69"/>
      <c r="Z27" s="69"/>
      <c r="AA27" s="69"/>
      <c r="AB27" s="69"/>
      <c r="AC27" s="69"/>
      <c r="AD27" s="69"/>
      <c r="AE27" s="68">
        <f t="shared" ref="AE27:AE30" si="47">IF(AD27=0,0,(IF(Y27&lt;=AD27,Y27,AD27)))</f>
        <v>0</v>
      </c>
      <c r="AF27" s="59"/>
      <c r="AG27" s="66">
        <f t="shared" ref="AG27:AG30" si="48">SUM(AI27:AM27)</f>
        <v>0</v>
      </c>
      <c r="AH27" s="66">
        <f t="shared" ref="AH27:AH30" si="49">IFERROR(AG27/AF27,0)</f>
        <v>0</v>
      </c>
      <c r="AI27" s="69"/>
      <c r="AJ27" s="69"/>
      <c r="AK27" s="69"/>
      <c r="AL27" s="69"/>
      <c r="AM27" s="69"/>
      <c r="AN27" s="69"/>
      <c r="AO27" s="68">
        <f t="shared" ref="AO27:AO30" si="50">IF(AN27=0,0,(IF(AI27&lt;=AN27,AI27,AN27)))</f>
        <v>0</v>
      </c>
      <c r="AP27" s="59"/>
      <c r="AQ27" s="66">
        <f t="shared" ref="AQ27:AQ30" si="51">SUM(AS27:AW27)</f>
        <v>0</v>
      </c>
      <c r="AR27" s="66">
        <f t="shared" ref="AR27:AR30" si="52">IFERROR(AQ27/AP27,0)</f>
        <v>0</v>
      </c>
      <c r="AS27" s="69"/>
      <c r="AT27" s="69"/>
      <c r="AU27" s="69"/>
      <c r="AV27" s="69"/>
      <c r="AW27" s="69"/>
      <c r="AX27" s="69"/>
      <c r="AY27" s="68">
        <f t="shared" ref="AY27:AY30" si="53">IF(AX27=0,0,(IF(AS27&lt;=AX27,AS27,AX27)))</f>
        <v>0</v>
      </c>
      <c r="AZ27" s="356"/>
      <c r="BA27" s="66">
        <f t="shared" ref="BA27:BA30" si="54">SUM(BC27:BG27)</f>
        <v>0</v>
      </c>
      <c r="BB27" s="66">
        <f t="shared" ref="BB27:BB33" si="55">IFERROR(BA27/AZ27,0)</f>
        <v>0</v>
      </c>
      <c r="BC27" s="66"/>
      <c r="BD27" s="66"/>
      <c r="BE27" s="66"/>
      <c r="BF27" s="66"/>
      <c r="BG27" s="66"/>
      <c r="BH27" s="66"/>
      <c r="BI27" s="357">
        <f t="shared" si="12"/>
        <v>0</v>
      </c>
      <c r="BJ27" s="358"/>
      <c r="BK27" s="66"/>
      <c r="BL27" s="66"/>
      <c r="BM27" s="69"/>
      <c r="BN27" s="69"/>
      <c r="BO27" s="69"/>
      <c r="BP27" s="69"/>
      <c r="BQ27" s="69"/>
      <c r="BR27" s="69"/>
      <c r="BS27" s="68">
        <f t="shared" si="15"/>
        <v>0</v>
      </c>
      <c r="BT27" s="358"/>
      <c r="BU27" s="66">
        <f t="shared" si="27"/>
        <v>0</v>
      </c>
      <c r="BV27" s="66">
        <f t="shared" si="28"/>
        <v>0</v>
      </c>
      <c r="BW27" s="69"/>
      <c r="BX27" s="69"/>
      <c r="BY27" s="69"/>
      <c r="BZ27" s="69"/>
      <c r="CA27" s="69"/>
      <c r="CB27" s="69"/>
      <c r="CC27" s="68">
        <f t="shared" si="29"/>
        <v>0</v>
      </c>
      <c r="CD27" s="244"/>
      <c r="CE27" s="66">
        <f t="shared" si="30"/>
        <v>0</v>
      </c>
      <c r="CF27" s="66">
        <f t="shared" si="31"/>
        <v>0</v>
      </c>
      <c r="CG27" s="195"/>
      <c r="CH27" s="195"/>
      <c r="CI27" s="195"/>
      <c r="CJ27" s="195"/>
      <c r="CK27" s="195"/>
      <c r="CL27" s="195"/>
      <c r="CM27" s="403">
        <f t="shared" si="32"/>
        <v>0</v>
      </c>
    </row>
    <row r="28" spans="1:91" s="58" customFormat="1" ht="15.95" customHeight="1">
      <c r="A28" s="367"/>
      <c r="B28" s="93"/>
      <c r="C28" s="66"/>
      <c r="D28" s="66"/>
      <c r="E28" s="69"/>
      <c r="F28" s="69"/>
      <c r="G28" s="69"/>
      <c r="H28" s="69"/>
      <c r="I28" s="69"/>
      <c r="J28" s="69"/>
      <c r="K28" s="68"/>
      <c r="L28" s="159"/>
      <c r="M28" s="66"/>
      <c r="N28" s="66"/>
      <c r="O28" s="69"/>
      <c r="P28" s="69"/>
      <c r="Q28" s="69"/>
      <c r="R28" s="69"/>
      <c r="S28" s="69"/>
      <c r="T28" s="69"/>
      <c r="U28" s="68"/>
      <c r="V28" s="59"/>
      <c r="W28" s="66"/>
      <c r="X28" s="66"/>
      <c r="Y28" s="69"/>
      <c r="Z28" s="69"/>
      <c r="AA28" s="69"/>
      <c r="AB28" s="69"/>
      <c r="AC28" s="69"/>
      <c r="AD28" s="69"/>
      <c r="AE28" s="68"/>
      <c r="AF28" s="59"/>
      <c r="AG28" s="66"/>
      <c r="AH28" s="66"/>
      <c r="AI28" s="69"/>
      <c r="AJ28" s="69"/>
      <c r="AK28" s="69"/>
      <c r="AL28" s="69"/>
      <c r="AM28" s="69"/>
      <c r="AN28" s="69"/>
      <c r="AO28" s="68"/>
      <c r="AP28" s="59"/>
      <c r="AQ28" s="66"/>
      <c r="AR28" s="66"/>
      <c r="AS28" s="69"/>
      <c r="AT28" s="69"/>
      <c r="AU28" s="69"/>
      <c r="AV28" s="69"/>
      <c r="AW28" s="69"/>
      <c r="AX28" s="69"/>
      <c r="AY28" s="68"/>
      <c r="AZ28" s="356"/>
      <c r="BA28" s="66"/>
      <c r="BB28" s="66"/>
      <c r="BC28" s="66"/>
      <c r="BD28" s="66"/>
      <c r="BE28" s="66"/>
      <c r="BF28" s="66"/>
      <c r="BG28" s="66"/>
      <c r="BH28" s="66"/>
      <c r="BI28" s="357"/>
      <c r="BJ28" s="358"/>
      <c r="BK28" s="66"/>
      <c r="BL28" s="66"/>
      <c r="BM28" s="69"/>
      <c r="BN28" s="69"/>
      <c r="BO28" s="69"/>
      <c r="BP28" s="69"/>
      <c r="BQ28" s="69"/>
      <c r="BR28" s="69"/>
      <c r="BS28" s="68"/>
      <c r="BT28" s="358"/>
      <c r="BU28" s="66"/>
      <c r="BV28" s="66"/>
      <c r="BW28" s="69"/>
      <c r="BX28" s="69"/>
      <c r="BY28" s="69"/>
      <c r="BZ28" s="69"/>
      <c r="CA28" s="69"/>
      <c r="CB28" s="69"/>
      <c r="CC28" s="68"/>
      <c r="CD28" s="244"/>
      <c r="CE28" s="66">
        <f t="shared" si="30"/>
        <v>0</v>
      </c>
      <c r="CF28" s="66">
        <f t="shared" si="31"/>
        <v>0</v>
      </c>
      <c r="CG28" s="195"/>
      <c r="CH28" s="195"/>
      <c r="CI28" s="195"/>
      <c r="CJ28" s="195"/>
      <c r="CK28" s="195"/>
      <c r="CL28" s="195"/>
      <c r="CM28" s="403">
        <f t="shared" si="32"/>
        <v>0</v>
      </c>
    </row>
    <row r="29" spans="1:91" s="58" customFormat="1" ht="15.95" customHeight="1">
      <c r="A29" s="367"/>
      <c r="B29" s="93"/>
      <c r="C29" s="66"/>
      <c r="D29" s="66"/>
      <c r="E29" s="69"/>
      <c r="F29" s="69"/>
      <c r="G29" s="69"/>
      <c r="H29" s="69"/>
      <c r="I29" s="69"/>
      <c r="J29" s="69"/>
      <c r="K29" s="68"/>
      <c r="L29" s="159"/>
      <c r="M29" s="66"/>
      <c r="N29" s="66"/>
      <c r="O29" s="69"/>
      <c r="P29" s="69"/>
      <c r="Q29" s="69"/>
      <c r="R29" s="69"/>
      <c r="S29" s="69"/>
      <c r="T29" s="69"/>
      <c r="U29" s="68"/>
      <c r="V29" s="59"/>
      <c r="W29" s="66"/>
      <c r="X29" s="66"/>
      <c r="Y29" s="69"/>
      <c r="Z29" s="69"/>
      <c r="AA29" s="69"/>
      <c r="AB29" s="69"/>
      <c r="AC29" s="69"/>
      <c r="AD29" s="69"/>
      <c r="AE29" s="68"/>
      <c r="AF29" s="59"/>
      <c r="AG29" s="66"/>
      <c r="AH29" s="66"/>
      <c r="AI29" s="69"/>
      <c r="AJ29" s="69"/>
      <c r="AK29" s="69"/>
      <c r="AL29" s="69"/>
      <c r="AM29" s="69"/>
      <c r="AN29" s="69"/>
      <c r="AO29" s="68"/>
      <c r="AP29" s="59"/>
      <c r="AQ29" s="66"/>
      <c r="AR29" s="66"/>
      <c r="AS29" s="69"/>
      <c r="AT29" s="69"/>
      <c r="AU29" s="69"/>
      <c r="AV29" s="69"/>
      <c r="AW29" s="69"/>
      <c r="AX29" s="69"/>
      <c r="AY29" s="68"/>
      <c r="AZ29" s="356"/>
      <c r="BA29" s="66"/>
      <c r="BB29" s="66"/>
      <c r="BC29" s="66"/>
      <c r="BD29" s="66"/>
      <c r="BE29" s="66"/>
      <c r="BF29" s="66"/>
      <c r="BG29" s="66"/>
      <c r="BH29" s="66"/>
      <c r="BI29" s="357"/>
      <c r="BJ29" s="358"/>
      <c r="BK29" s="66"/>
      <c r="BL29" s="66"/>
      <c r="BM29" s="69"/>
      <c r="BN29" s="69"/>
      <c r="BO29" s="69"/>
      <c r="BP29" s="69"/>
      <c r="BQ29" s="69"/>
      <c r="BR29" s="69"/>
      <c r="BS29" s="68"/>
      <c r="BT29" s="358"/>
      <c r="BU29" s="66"/>
      <c r="BV29" s="66"/>
      <c r="BW29" s="69"/>
      <c r="BX29" s="69"/>
      <c r="BY29" s="69"/>
      <c r="BZ29" s="69"/>
      <c r="CA29" s="69"/>
      <c r="CB29" s="69"/>
      <c r="CC29" s="68"/>
      <c r="CD29" s="244"/>
      <c r="CE29" s="66">
        <f t="shared" si="30"/>
        <v>0</v>
      </c>
      <c r="CF29" s="66">
        <f t="shared" si="31"/>
        <v>0</v>
      </c>
      <c r="CG29" s="195"/>
      <c r="CH29" s="195"/>
      <c r="CI29" s="195"/>
      <c r="CJ29" s="195"/>
      <c r="CK29" s="195"/>
      <c r="CL29" s="195"/>
      <c r="CM29" s="403">
        <f t="shared" si="32"/>
        <v>0</v>
      </c>
    </row>
    <row r="30" spans="1:91" s="58" customFormat="1" ht="15.95" customHeight="1">
      <c r="A30" s="367"/>
      <c r="B30" s="93"/>
      <c r="C30" s="66">
        <f t="shared" ref="C30" si="56">SUM(E30:I30)</f>
        <v>0</v>
      </c>
      <c r="D30" s="66">
        <f t="shared" si="40"/>
        <v>0</v>
      </c>
      <c r="E30" s="69"/>
      <c r="F30" s="69"/>
      <c r="G30" s="69"/>
      <c r="H30" s="69"/>
      <c r="I30" s="69"/>
      <c r="J30" s="69"/>
      <c r="K30" s="68">
        <f t="shared" si="41"/>
        <v>0</v>
      </c>
      <c r="L30" s="159"/>
      <c r="M30" s="66">
        <f t="shared" si="42"/>
        <v>0</v>
      </c>
      <c r="N30" s="66">
        <f t="shared" si="43"/>
        <v>0</v>
      </c>
      <c r="O30" s="69"/>
      <c r="P30" s="69"/>
      <c r="Q30" s="69"/>
      <c r="R30" s="69"/>
      <c r="S30" s="69"/>
      <c r="T30" s="69"/>
      <c r="U30" s="68">
        <f t="shared" si="44"/>
        <v>0</v>
      </c>
      <c r="V30" s="59"/>
      <c r="W30" s="66">
        <f t="shared" ref="W30" si="57">SUM(Y30:AC30)</f>
        <v>0</v>
      </c>
      <c r="X30" s="66">
        <f t="shared" si="46"/>
        <v>0</v>
      </c>
      <c r="Y30" s="69"/>
      <c r="Z30" s="69"/>
      <c r="AA30" s="69"/>
      <c r="AB30" s="69"/>
      <c r="AC30" s="69"/>
      <c r="AD30" s="69"/>
      <c r="AE30" s="68">
        <f t="shared" si="47"/>
        <v>0</v>
      </c>
      <c r="AF30" s="59"/>
      <c r="AG30" s="66">
        <f t="shared" si="48"/>
        <v>0</v>
      </c>
      <c r="AH30" s="66">
        <f t="shared" si="49"/>
        <v>0</v>
      </c>
      <c r="AI30" s="69"/>
      <c r="AJ30" s="69"/>
      <c r="AK30" s="69"/>
      <c r="AL30" s="69"/>
      <c r="AM30" s="69"/>
      <c r="AN30" s="69"/>
      <c r="AO30" s="68">
        <f t="shared" si="50"/>
        <v>0</v>
      </c>
      <c r="AP30" s="59"/>
      <c r="AQ30" s="66">
        <f t="shared" si="51"/>
        <v>0</v>
      </c>
      <c r="AR30" s="66">
        <f t="shared" si="52"/>
        <v>0</v>
      </c>
      <c r="AS30" s="69"/>
      <c r="AT30" s="69"/>
      <c r="AU30" s="69"/>
      <c r="AV30" s="69"/>
      <c r="AW30" s="69"/>
      <c r="AX30" s="69"/>
      <c r="AY30" s="68">
        <f t="shared" si="53"/>
        <v>0</v>
      </c>
      <c r="AZ30" s="356"/>
      <c r="BA30" s="66">
        <f t="shared" si="54"/>
        <v>0</v>
      </c>
      <c r="BB30" s="66">
        <f t="shared" si="55"/>
        <v>0</v>
      </c>
      <c r="BC30" s="66"/>
      <c r="BD30" s="66"/>
      <c r="BE30" s="66"/>
      <c r="BF30" s="66"/>
      <c r="BG30" s="66"/>
      <c r="BH30" s="66"/>
      <c r="BI30" s="357">
        <f t="shared" si="12"/>
        <v>0</v>
      </c>
      <c r="BJ30" s="358"/>
      <c r="BK30" s="66"/>
      <c r="BL30" s="66"/>
      <c r="BM30" s="69"/>
      <c r="BN30" s="69"/>
      <c r="BO30" s="69"/>
      <c r="BP30" s="69"/>
      <c r="BQ30" s="69"/>
      <c r="BR30" s="69"/>
      <c r="BS30" s="68">
        <f t="shared" si="15"/>
        <v>0</v>
      </c>
      <c r="BT30" s="358"/>
      <c r="BU30" s="66">
        <f t="shared" si="27"/>
        <v>0</v>
      </c>
      <c r="BV30" s="66">
        <f t="shared" si="28"/>
        <v>0</v>
      </c>
      <c r="BW30" s="69"/>
      <c r="BX30" s="69"/>
      <c r="BY30" s="69"/>
      <c r="BZ30" s="69"/>
      <c r="CA30" s="69"/>
      <c r="CB30" s="69"/>
      <c r="CC30" s="68">
        <f t="shared" si="29"/>
        <v>0</v>
      </c>
      <c r="CD30" s="244"/>
      <c r="CE30" s="66">
        <f t="shared" si="30"/>
        <v>0</v>
      </c>
      <c r="CF30" s="66">
        <f t="shared" si="31"/>
        <v>0</v>
      </c>
      <c r="CG30" s="195"/>
      <c r="CH30" s="195"/>
      <c r="CI30" s="195"/>
      <c r="CJ30" s="195"/>
      <c r="CK30" s="195"/>
      <c r="CL30" s="195"/>
      <c r="CM30" s="403">
        <f t="shared" si="32"/>
        <v>0</v>
      </c>
    </row>
    <row r="31" spans="1:91" s="58" customFormat="1" ht="15.95" customHeight="1">
      <c r="A31" s="367"/>
      <c r="B31" s="93"/>
      <c r="C31" s="66">
        <f t="shared" si="22"/>
        <v>0</v>
      </c>
      <c r="D31" s="66">
        <f t="shared" si="0"/>
        <v>0</v>
      </c>
      <c r="E31" s="69"/>
      <c r="F31" s="69"/>
      <c r="G31" s="69"/>
      <c r="H31" s="69"/>
      <c r="I31" s="69"/>
      <c r="J31" s="69"/>
      <c r="K31" s="68">
        <f t="shared" si="1"/>
        <v>0</v>
      </c>
      <c r="L31" s="159"/>
      <c r="M31" s="66">
        <f t="shared" si="23"/>
        <v>0</v>
      </c>
      <c r="N31" s="66">
        <f t="shared" si="2"/>
        <v>0</v>
      </c>
      <c r="O31" s="69"/>
      <c r="P31" s="69"/>
      <c r="Q31" s="69"/>
      <c r="R31" s="69"/>
      <c r="S31" s="69"/>
      <c r="T31" s="69"/>
      <c r="U31" s="68">
        <f t="shared" si="3"/>
        <v>0</v>
      </c>
      <c r="V31" s="59"/>
      <c r="W31" s="66">
        <f t="shared" ref="W31:W32" si="58">SUM(Y31:AC31)</f>
        <v>0</v>
      </c>
      <c r="X31" s="66">
        <f t="shared" si="4"/>
        <v>0</v>
      </c>
      <c r="Y31" s="69"/>
      <c r="Z31" s="69"/>
      <c r="AA31" s="69"/>
      <c r="AB31" s="69"/>
      <c r="AC31" s="69"/>
      <c r="AD31" s="69"/>
      <c r="AE31" s="68">
        <f t="shared" si="5"/>
        <v>0</v>
      </c>
      <c r="AF31" s="59"/>
      <c r="AG31" s="66">
        <f t="shared" ref="AG31:AG33" si="59">SUM(AI31:AM31)</f>
        <v>0</v>
      </c>
      <c r="AH31" s="66">
        <f t="shared" si="6"/>
        <v>0</v>
      </c>
      <c r="AI31" s="69"/>
      <c r="AJ31" s="69"/>
      <c r="AK31" s="69"/>
      <c r="AL31" s="69"/>
      <c r="AM31" s="69"/>
      <c r="AN31" s="69"/>
      <c r="AO31" s="68">
        <f t="shared" si="7"/>
        <v>0</v>
      </c>
      <c r="AP31" s="59"/>
      <c r="AQ31" s="66">
        <f t="shared" si="34"/>
        <v>0</v>
      </c>
      <c r="AR31" s="66">
        <f t="shared" si="35"/>
        <v>0</v>
      </c>
      <c r="AS31" s="69"/>
      <c r="AT31" s="69"/>
      <c r="AU31" s="69"/>
      <c r="AV31" s="69"/>
      <c r="AW31" s="69"/>
      <c r="AX31" s="69"/>
      <c r="AY31" s="68">
        <f t="shared" si="9"/>
        <v>0</v>
      </c>
      <c r="AZ31" s="356"/>
      <c r="BA31" s="66">
        <f t="shared" ref="BA31:BA33" si="60">SUM(BC31:BG31)</f>
        <v>0</v>
      </c>
      <c r="BB31" s="66">
        <f t="shared" si="55"/>
        <v>0</v>
      </c>
      <c r="BC31" s="66"/>
      <c r="BD31" s="66"/>
      <c r="BE31" s="66"/>
      <c r="BF31" s="66"/>
      <c r="BG31" s="66"/>
      <c r="BH31" s="66"/>
      <c r="BI31" s="357">
        <f t="shared" si="12"/>
        <v>0</v>
      </c>
      <c r="BJ31" s="358"/>
      <c r="BK31" s="66"/>
      <c r="BL31" s="66"/>
      <c r="BM31" s="69"/>
      <c r="BN31" s="69"/>
      <c r="BO31" s="69"/>
      <c r="BP31" s="69"/>
      <c r="BQ31" s="69"/>
      <c r="BR31" s="69"/>
      <c r="BS31" s="68">
        <f t="shared" si="15"/>
        <v>0</v>
      </c>
      <c r="BT31" s="358"/>
      <c r="BU31" s="66">
        <f t="shared" si="27"/>
        <v>0</v>
      </c>
      <c r="BV31" s="66">
        <f t="shared" si="28"/>
        <v>0</v>
      </c>
      <c r="BW31" s="69"/>
      <c r="BX31" s="69"/>
      <c r="BY31" s="69"/>
      <c r="BZ31" s="69"/>
      <c r="CA31" s="69"/>
      <c r="CB31" s="69"/>
      <c r="CC31" s="68">
        <f t="shared" si="29"/>
        <v>0</v>
      </c>
      <c r="CD31" s="244"/>
      <c r="CE31" s="66">
        <f t="shared" si="30"/>
        <v>0</v>
      </c>
      <c r="CF31" s="66">
        <f t="shared" si="31"/>
        <v>0</v>
      </c>
      <c r="CG31" s="195"/>
      <c r="CH31" s="195"/>
      <c r="CI31" s="195"/>
      <c r="CJ31" s="195"/>
      <c r="CK31" s="195"/>
      <c r="CL31" s="195"/>
      <c r="CM31" s="403">
        <f t="shared" si="32"/>
        <v>0</v>
      </c>
    </row>
    <row r="32" spans="1:91" s="58" customFormat="1" ht="15.95" customHeight="1">
      <c r="A32" s="367"/>
      <c r="B32" s="93"/>
      <c r="C32" s="66">
        <f t="shared" ref="C32" si="61">SUM(E32:I32)</f>
        <v>0</v>
      </c>
      <c r="D32" s="66">
        <f t="shared" si="0"/>
        <v>0</v>
      </c>
      <c r="E32" s="69"/>
      <c r="F32" s="69"/>
      <c r="G32" s="69"/>
      <c r="H32" s="69"/>
      <c r="I32" s="69"/>
      <c r="J32" s="69"/>
      <c r="K32" s="68">
        <f t="shared" si="1"/>
        <v>0</v>
      </c>
      <c r="L32" s="159"/>
      <c r="M32" s="66">
        <f t="shared" si="23"/>
        <v>0</v>
      </c>
      <c r="N32" s="66">
        <f t="shared" si="2"/>
        <v>0</v>
      </c>
      <c r="O32" s="69"/>
      <c r="P32" s="69"/>
      <c r="Q32" s="69"/>
      <c r="R32" s="69"/>
      <c r="S32" s="69"/>
      <c r="T32" s="69"/>
      <c r="U32" s="68">
        <f t="shared" si="3"/>
        <v>0</v>
      </c>
      <c r="V32" s="59"/>
      <c r="W32" s="66">
        <f t="shared" si="58"/>
        <v>0</v>
      </c>
      <c r="X32" s="66">
        <f t="shared" si="4"/>
        <v>0</v>
      </c>
      <c r="Y32" s="69"/>
      <c r="Z32" s="69"/>
      <c r="AA32" s="69"/>
      <c r="AB32" s="69"/>
      <c r="AC32" s="69"/>
      <c r="AD32" s="69"/>
      <c r="AE32" s="68">
        <f t="shared" si="5"/>
        <v>0</v>
      </c>
      <c r="AF32" s="59"/>
      <c r="AG32" s="66">
        <f t="shared" si="59"/>
        <v>0</v>
      </c>
      <c r="AH32" s="66">
        <f t="shared" si="6"/>
        <v>0</v>
      </c>
      <c r="AI32" s="69"/>
      <c r="AJ32" s="69"/>
      <c r="AK32" s="69"/>
      <c r="AL32" s="69"/>
      <c r="AM32" s="69"/>
      <c r="AN32" s="69"/>
      <c r="AO32" s="68">
        <f t="shared" si="7"/>
        <v>0</v>
      </c>
      <c r="AP32" s="59"/>
      <c r="AQ32" s="66">
        <f t="shared" si="34"/>
        <v>0</v>
      </c>
      <c r="AR32" s="66">
        <f t="shared" si="35"/>
        <v>0</v>
      </c>
      <c r="AS32" s="69"/>
      <c r="AT32" s="69"/>
      <c r="AU32" s="69"/>
      <c r="AV32" s="69"/>
      <c r="AW32" s="69"/>
      <c r="AX32" s="69"/>
      <c r="AY32" s="68">
        <f t="shared" si="9"/>
        <v>0</v>
      </c>
      <c r="AZ32" s="356"/>
      <c r="BA32" s="66">
        <f t="shared" si="60"/>
        <v>0</v>
      </c>
      <c r="BB32" s="66">
        <f t="shared" si="55"/>
        <v>0</v>
      </c>
      <c r="BC32" s="66"/>
      <c r="BD32" s="66"/>
      <c r="BE32" s="66"/>
      <c r="BF32" s="66"/>
      <c r="BG32" s="66"/>
      <c r="BH32" s="66"/>
      <c r="BI32" s="357">
        <f t="shared" si="12"/>
        <v>0</v>
      </c>
      <c r="BJ32" s="358"/>
      <c r="BK32" s="66"/>
      <c r="BL32" s="66"/>
      <c r="BM32" s="69"/>
      <c r="BN32" s="69"/>
      <c r="BO32" s="69"/>
      <c r="BP32" s="69"/>
      <c r="BQ32" s="69"/>
      <c r="BR32" s="69"/>
      <c r="BS32" s="68">
        <f t="shared" si="15"/>
        <v>0</v>
      </c>
      <c r="BT32" s="358"/>
      <c r="BU32" s="66">
        <f t="shared" si="27"/>
        <v>0</v>
      </c>
      <c r="BV32" s="66">
        <f t="shared" si="28"/>
        <v>0</v>
      </c>
      <c r="BW32" s="69"/>
      <c r="BX32" s="69"/>
      <c r="BY32" s="69"/>
      <c r="BZ32" s="69"/>
      <c r="CA32" s="69"/>
      <c r="CB32" s="69"/>
      <c r="CC32" s="68">
        <f t="shared" si="29"/>
        <v>0</v>
      </c>
      <c r="CD32" s="244"/>
      <c r="CE32" s="66">
        <f t="shared" si="30"/>
        <v>0</v>
      </c>
      <c r="CF32" s="66">
        <f t="shared" si="31"/>
        <v>0</v>
      </c>
      <c r="CG32" s="195"/>
      <c r="CH32" s="195"/>
      <c r="CI32" s="195"/>
      <c r="CJ32" s="195"/>
      <c r="CK32" s="195"/>
      <c r="CL32" s="195"/>
      <c r="CM32" s="403">
        <f t="shared" si="32"/>
        <v>0</v>
      </c>
    </row>
    <row r="33" spans="1:91" s="58" customFormat="1" ht="15.95" customHeight="1">
      <c r="A33" s="367"/>
      <c r="B33" s="93"/>
      <c r="C33" s="66">
        <f t="shared" si="22"/>
        <v>0</v>
      </c>
      <c r="D33" s="66">
        <f t="shared" si="0"/>
        <v>0</v>
      </c>
      <c r="E33" s="69"/>
      <c r="F33" s="69"/>
      <c r="G33" s="69"/>
      <c r="H33" s="69"/>
      <c r="I33" s="69"/>
      <c r="J33" s="69"/>
      <c r="K33" s="68">
        <f t="shared" si="1"/>
        <v>0</v>
      </c>
      <c r="L33" s="159"/>
      <c r="M33" s="66">
        <f t="shared" si="23"/>
        <v>0</v>
      </c>
      <c r="N33" s="66">
        <f t="shared" si="2"/>
        <v>0</v>
      </c>
      <c r="O33" s="69"/>
      <c r="P33" s="69"/>
      <c r="Q33" s="69"/>
      <c r="R33" s="69"/>
      <c r="S33" s="69"/>
      <c r="T33" s="69"/>
      <c r="U33" s="68">
        <f t="shared" si="3"/>
        <v>0</v>
      </c>
      <c r="V33" s="59"/>
      <c r="W33" s="66">
        <f t="shared" si="24"/>
        <v>0</v>
      </c>
      <c r="X33" s="66">
        <f t="shared" si="4"/>
        <v>0</v>
      </c>
      <c r="Y33" s="69"/>
      <c r="Z33" s="69"/>
      <c r="AA33" s="69"/>
      <c r="AB33" s="69"/>
      <c r="AC33" s="69"/>
      <c r="AD33" s="69"/>
      <c r="AE33" s="68">
        <f t="shared" si="5"/>
        <v>0</v>
      </c>
      <c r="AF33" s="59"/>
      <c r="AG33" s="66">
        <f t="shared" si="59"/>
        <v>0</v>
      </c>
      <c r="AH33" s="66">
        <f t="shared" si="6"/>
        <v>0</v>
      </c>
      <c r="AI33" s="69"/>
      <c r="AJ33" s="69"/>
      <c r="AK33" s="69"/>
      <c r="AL33" s="69"/>
      <c r="AM33" s="69"/>
      <c r="AN33" s="69"/>
      <c r="AO33" s="68">
        <f t="shared" si="7"/>
        <v>0</v>
      </c>
      <c r="AP33" s="59"/>
      <c r="AQ33" s="66">
        <f t="shared" si="34"/>
        <v>0</v>
      </c>
      <c r="AR33" s="66">
        <f t="shared" si="35"/>
        <v>0</v>
      </c>
      <c r="AS33" s="69"/>
      <c r="AT33" s="69"/>
      <c r="AU33" s="69"/>
      <c r="AV33" s="69"/>
      <c r="AW33" s="69"/>
      <c r="AX33" s="69"/>
      <c r="AY33" s="68">
        <f t="shared" si="9"/>
        <v>0</v>
      </c>
      <c r="AZ33" s="356"/>
      <c r="BA33" s="66">
        <f t="shared" si="60"/>
        <v>0</v>
      </c>
      <c r="BB33" s="66">
        <f t="shared" si="55"/>
        <v>0</v>
      </c>
      <c r="BC33" s="66"/>
      <c r="BD33" s="66"/>
      <c r="BE33" s="66"/>
      <c r="BF33" s="66"/>
      <c r="BG33" s="66"/>
      <c r="BH33" s="66"/>
      <c r="BI33" s="357">
        <f t="shared" si="12"/>
        <v>0</v>
      </c>
      <c r="BJ33" s="358"/>
      <c r="BK33" s="66"/>
      <c r="BL33" s="66"/>
      <c r="BM33" s="69"/>
      <c r="BN33" s="69"/>
      <c r="BO33" s="69"/>
      <c r="BP33" s="69"/>
      <c r="BQ33" s="69"/>
      <c r="BR33" s="69"/>
      <c r="BS33" s="68">
        <f t="shared" si="15"/>
        <v>0</v>
      </c>
      <c r="BT33" s="358"/>
      <c r="BU33" s="66">
        <f t="shared" si="27"/>
        <v>0</v>
      </c>
      <c r="BV33" s="66">
        <f t="shared" si="28"/>
        <v>0</v>
      </c>
      <c r="BW33" s="69"/>
      <c r="BX33" s="69"/>
      <c r="BY33" s="69"/>
      <c r="BZ33" s="69"/>
      <c r="CA33" s="69"/>
      <c r="CB33" s="69"/>
      <c r="CC33" s="68">
        <f t="shared" si="29"/>
        <v>0</v>
      </c>
      <c r="CD33" s="244"/>
      <c r="CE33" s="66">
        <f t="shared" si="30"/>
        <v>0</v>
      </c>
      <c r="CF33" s="66">
        <f t="shared" si="31"/>
        <v>0</v>
      </c>
      <c r="CG33" s="195"/>
      <c r="CH33" s="195"/>
      <c r="CI33" s="195"/>
      <c r="CJ33" s="195"/>
      <c r="CK33" s="195"/>
      <c r="CL33" s="195"/>
      <c r="CM33" s="403">
        <f t="shared" si="32"/>
        <v>0</v>
      </c>
    </row>
    <row r="34" spans="1:91" s="5" customFormat="1" ht="15.95" customHeight="1">
      <c r="A34" s="79" t="s">
        <v>164</v>
      </c>
      <c r="B34" s="90"/>
      <c r="C34" s="61"/>
      <c r="D34" s="61"/>
      <c r="E34" s="63"/>
      <c r="F34" s="63"/>
      <c r="G34" s="63"/>
      <c r="H34" s="63"/>
      <c r="I34" s="63"/>
      <c r="J34" s="63"/>
      <c r="K34" s="166"/>
      <c r="L34" s="157"/>
      <c r="M34" s="61"/>
      <c r="N34" s="61"/>
      <c r="O34" s="63"/>
      <c r="P34" s="63"/>
      <c r="Q34" s="63"/>
      <c r="R34" s="63"/>
      <c r="S34" s="63"/>
      <c r="T34" s="63"/>
      <c r="U34" s="166"/>
      <c r="V34" s="55"/>
      <c r="W34" s="61"/>
      <c r="X34" s="61"/>
      <c r="Y34" s="63"/>
      <c r="Z34" s="63"/>
      <c r="AA34" s="63"/>
      <c r="AB34" s="63"/>
      <c r="AC34" s="63"/>
      <c r="AD34" s="63"/>
      <c r="AE34" s="166"/>
      <c r="AF34" s="55"/>
      <c r="AG34" s="61"/>
      <c r="AH34" s="61"/>
      <c r="AI34" s="63"/>
      <c r="AJ34" s="63"/>
      <c r="AK34" s="63"/>
      <c r="AL34" s="63"/>
      <c r="AM34" s="63"/>
      <c r="AN34" s="63"/>
      <c r="AO34" s="166"/>
      <c r="AP34" s="55"/>
      <c r="AQ34" s="61"/>
      <c r="AR34" s="61"/>
      <c r="AS34" s="63"/>
      <c r="AT34" s="63"/>
      <c r="AU34" s="63"/>
      <c r="AV34" s="63"/>
      <c r="AW34" s="63"/>
      <c r="AX34" s="63"/>
      <c r="AY34" s="166"/>
      <c r="AZ34" s="356"/>
      <c r="BA34" s="66"/>
      <c r="BB34" s="66"/>
      <c r="BC34" s="66"/>
      <c r="BD34" s="66"/>
      <c r="BE34" s="66"/>
      <c r="BF34" s="66"/>
      <c r="BG34" s="66"/>
      <c r="BH34" s="66"/>
      <c r="BI34" s="357"/>
      <c r="BJ34" s="243"/>
      <c r="BK34" s="66"/>
      <c r="BL34" s="66"/>
      <c r="BM34" s="63"/>
      <c r="BN34" s="63"/>
      <c r="BO34" s="63"/>
      <c r="BP34" s="63"/>
      <c r="BQ34" s="63"/>
      <c r="BR34" s="63"/>
      <c r="BS34" s="166"/>
      <c r="BT34" s="243"/>
      <c r="BU34" s="66"/>
      <c r="BV34" s="66"/>
      <c r="BW34" s="63"/>
      <c r="BX34" s="63"/>
      <c r="BY34" s="63"/>
      <c r="BZ34" s="63"/>
      <c r="CA34" s="63"/>
      <c r="CB34" s="63"/>
      <c r="CC34" s="166"/>
      <c r="CD34" s="243"/>
      <c r="CE34" s="66"/>
      <c r="CF34" s="66"/>
      <c r="CG34" s="63"/>
      <c r="CH34" s="63"/>
      <c r="CI34" s="63"/>
      <c r="CJ34" s="63"/>
      <c r="CK34" s="63"/>
      <c r="CL34" s="63"/>
      <c r="CM34" s="166"/>
    </row>
    <row r="35" spans="1:91" s="58" customFormat="1" ht="15.95" customHeight="1">
      <c r="A35" s="80" t="s">
        <v>57</v>
      </c>
      <c r="B35" s="92">
        <f>SUM(B$10:B34)</f>
        <v>1817</v>
      </c>
      <c r="C35" s="66">
        <f>SUM(C$10:C34)</f>
        <v>9805000</v>
      </c>
      <c r="D35" s="66">
        <f>IFERROR(C35/B35,0)</f>
        <v>5396.257567418822</v>
      </c>
      <c r="E35" s="67">
        <f>SUM(E$10:E34)</f>
        <v>1173678</v>
      </c>
      <c r="F35" s="67">
        <f>SUM(F$10:F34)</f>
        <v>524612</v>
      </c>
      <c r="G35" s="67">
        <f>SUM(G$10:G34)</f>
        <v>156008</v>
      </c>
      <c r="H35" s="67">
        <f>SUM(H$10:H34)</f>
        <v>6778826</v>
      </c>
      <c r="I35" s="67">
        <f>SUM(I$10:I34)</f>
        <v>1171876</v>
      </c>
      <c r="J35" s="67">
        <f>SUM(J$10:J34)</f>
        <v>8876951</v>
      </c>
      <c r="K35" s="68">
        <f>SUM(K$10:K34)</f>
        <v>979060</v>
      </c>
      <c r="L35" s="160">
        <f>SUM(L$10:L34)</f>
        <v>1703</v>
      </c>
      <c r="M35" s="66">
        <f>SUM(M$10:M34)</f>
        <v>8325248</v>
      </c>
      <c r="N35" s="66">
        <f>IFERROR(M35/L35,0)</f>
        <v>4888.5778038755134</v>
      </c>
      <c r="O35" s="67">
        <f>SUM(O$10:O34)</f>
        <v>945879</v>
      </c>
      <c r="P35" s="67">
        <f>SUM(P$10:P34)</f>
        <v>418831</v>
      </c>
      <c r="Q35" s="67">
        <f>SUM(Q$10:Q34)</f>
        <v>667565</v>
      </c>
      <c r="R35" s="67">
        <f>SUM(R$10:R34)</f>
        <v>5441229</v>
      </c>
      <c r="S35" s="67">
        <f>SUM(S$10:S34)</f>
        <v>851744</v>
      </c>
      <c r="T35" s="67">
        <f>SUM(T$10:T34)</f>
        <v>7371436</v>
      </c>
      <c r="U35" s="68">
        <f>SUM(U$10:U34)</f>
        <v>926999</v>
      </c>
      <c r="V35" s="50">
        <f>SUM(V$10:V34)</f>
        <v>1577</v>
      </c>
      <c r="W35" s="66">
        <f>SUM(W$10:W34)</f>
        <v>7885674</v>
      </c>
      <c r="X35" s="66">
        <f>IFERROR(W35/V35,0)</f>
        <v>5000.4273937856688</v>
      </c>
      <c r="Y35" s="67">
        <f>SUM(Y$10:Y34)</f>
        <v>777619</v>
      </c>
      <c r="Z35" s="67">
        <f>SUM(Z$10:Z34)</f>
        <v>732289</v>
      </c>
      <c r="AA35" s="67">
        <f>SUM(AA$10:AA34)</f>
        <v>211039</v>
      </c>
      <c r="AB35" s="67">
        <f>SUM(AB$10:AB34)</f>
        <v>4578447</v>
      </c>
      <c r="AC35" s="67">
        <f>SUM(AC$10:AC34)</f>
        <v>1586280</v>
      </c>
      <c r="AD35" s="67">
        <f>SUM(AD$10:AD34)</f>
        <v>7028416</v>
      </c>
      <c r="AE35" s="68">
        <f>SUM(AE$10:AE34)</f>
        <v>758509</v>
      </c>
      <c r="AF35" s="50">
        <f>SUM(AF$10:AF34)</f>
        <v>1726</v>
      </c>
      <c r="AG35" s="66">
        <f>SUM(AG$10:AG34)</f>
        <v>7427178</v>
      </c>
      <c r="AH35" s="66">
        <f>IFERROR(AG35/AF35,0)</f>
        <v>4303.1158748551561</v>
      </c>
      <c r="AI35" s="67">
        <f>SUM(AI$10:AI34)</f>
        <v>0</v>
      </c>
      <c r="AJ35" s="67">
        <f>SUM(AJ$10:AJ34)</f>
        <v>489852</v>
      </c>
      <c r="AK35" s="67">
        <f>SUM(AK$10:AK34)</f>
        <v>228653</v>
      </c>
      <c r="AL35" s="67">
        <f>SUM(AL$10:AL34)</f>
        <v>4961034</v>
      </c>
      <c r="AM35" s="67">
        <f>SUM(AM$10:AM34)</f>
        <v>1975639</v>
      </c>
      <c r="AN35" s="67">
        <f>SUM(AN$10:AN34)</f>
        <v>6858401</v>
      </c>
      <c r="AO35" s="68">
        <f>SUM(AO$10:AO34)</f>
        <v>0</v>
      </c>
      <c r="AP35" s="50">
        <f>SUM(AP$10:AP34)</f>
        <v>1392</v>
      </c>
      <c r="AQ35" s="66">
        <f>SUM(AQ$10:AQ34)</f>
        <v>6182070</v>
      </c>
      <c r="AR35" s="66">
        <f>IFERROR(AQ35/AP35,0)</f>
        <v>4441.1422413793107</v>
      </c>
      <c r="AS35" s="67">
        <f>SUM(AS$10:AS34)</f>
        <v>0</v>
      </c>
      <c r="AT35" s="67">
        <f>SUM(AT$10:AT34)</f>
        <v>231985</v>
      </c>
      <c r="AU35" s="67">
        <f>SUM(AU$10:AU34)</f>
        <v>201801</v>
      </c>
      <c r="AV35" s="67">
        <f>SUM(AV$10:AV34)</f>
        <v>3841780</v>
      </c>
      <c r="AW35" s="67">
        <f>SUM(AW$10:AW34)</f>
        <v>1906504</v>
      </c>
      <c r="AX35" s="67">
        <f>SUM(AX$10:AX34)</f>
        <v>5667574</v>
      </c>
      <c r="AY35" s="68">
        <f>SUM(AY$10:AY34)</f>
        <v>0</v>
      </c>
      <c r="AZ35" s="356">
        <f>SUM(AZ$10:AZ34)</f>
        <v>1485</v>
      </c>
      <c r="BA35" s="66">
        <f>SUM(BA$10:BA34)</f>
        <v>6798802</v>
      </c>
      <c r="BB35" s="66">
        <f>IFERROR(BA35/AZ35,0)</f>
        <v>4578.3178451178455</v>
      </c>
      <c r="BC35" s="66">
        <f>SUM(BC$10:BC34)</f>
        <v>0</v>
      </c>
      <c r="BD35" s="66">
        <f>SUM(BD$10:BD34)</f>
        <v>230865</v>
      </c>
      <c r="BE35" s="66">
        <f>SUM(BE$10:BE34)</f>
        <v>219276</v>
      </c>
      <c r="BF35" s="66">
        <f>SUM(BF$10:BF34)</f>
        <v>4288868</v>
      </c>
      <c r="BG35" s="66">
        <f>SUM(BG$10:BG34)</f>
        <v>2059793</v>
      </c>
      <c r="BH35" s="66">
        <f>SUM(BH$10:BH34)</f>
        <v>6161122</v>
      </c>
      <c r="BI35" s="357">
        <f>SUM(BI$10:BI34)</f>
        <v>0</v>
      </c>
      <c r="BJ35" s="364">
        <f>SUM(BJ$10:BJ34)</f>
        <v>1511</v>
      </c>
      <c r="BK35" s="66">
        <f>SUM(BK$10:BK34)</f>
        <v>7957521</v>
      </c>
      <c r="BL35" s="66">
        <f>IFERROR(BK35/BJ35,0)</f>
        <v>5266.3937789543352</v>
      </c>
      <c r="BM35" s="67">
        <f>SUM(BM$10:BM34)</f>
        <v>0</v>
      </c>
      <c r="BN35" s="67">
        <f>SUM(BN$10:BN34)</f>
        <v>110981</v>
      </c>
      <c r="BO35" s="67">
        <f>SUM(BO$10:BO34)</f>
        <v>687585</v>
      </c>
      <c r="BP35" s="67">
        <f>SUM(BP$10:BP34)</f>
        <v>5212154</v>
      </c>
      <c r="BQ35" s="67">
        <f>SUM(BQ$10:BQ34)</f>
        <v>1946801</v>
      </c>
      <c r="BR35" s="67">
        <f>SUM(BR$10:BR34)</f>
        <v>7256825</v>
      </c>
      <c r="BS35" s="68">
        <f>SUM(BS$10:BS34)</f>
        <v>0</v>
      </c>
      <c r="BT35" s="364">
        <f>SUM(BT$10:BT34)</f>
        <v>1419</v>
      </c>
      <c r="BU35" s="66">
        <f>SUM(BU$10:BU34)</f>
        <v>7001137</v>
      </c>
      <c r="BV35" s="66">
        <f>IFERROR(BU35/BT35,0)</f>
        <v>4933.8527131782948</v>
      </c>
      <c r="BW35" s="67">
        <f>SUM(BW$10:BW34)</f>
        <v>0</v>
      </c>
      <c r="BX35" s="67">
        <f>SUM(BX$10:BX34)</f>
        <v>0</v>
      </c>
      <c r="BY35" s="67">
        <f>SUM(BY$10:BY34)</f>
        <v>755856</v>
      </c>
      <c r="BZ35" s="67">
        <f>SUM(BZ$10:BZ34)</f>
        <v>4302770</v>
      </c>
      <c r="CA35" s="67">
        <f>SUM(CA$10:CA34)</f>
        <v>1942511</v>
      </c>
      <c r="CB35" s="67">
        <f>SUM(CB$10:CB34)</f>
        <v>6504775</v>
      </c>
      <c r="CC35" s="68">
        <f>SUM(CC$10:CC34)</f>
        <v>0</v>
      </c>
      <c r="CD35" s="364">
        <f>SUM(CD$10:CD34)</f>
        <v>1281</v>
      </c>
      <c r="CE35" s="66">
        <f>SUM(CE$10:CE34)</f>
        <v>6054574</v>
      </c>
      <c r="CF35" s="66">
        <f>IFERROR(CE35/CD35,0)</f>
        <v>4726.4434035909444</v>
      </c>
      <c r="CG35" s="67">
        <f>SUM(CG$10:CG34)</f>
        <v>0</v>
      </c>
      <c r="CH35" s="67">
        <f>SUM(CH$10:CH34)</f>
        <v>0</v>
      </c>
      <c r="CI35" s="67">
        <f>SUM(CI$10:CI34)</f>
        <v>691873</v>
      </c>
      <c r="CJ35" s="67">
        <f>SUM(CJ$10:CJ34)</f>
        <v>3272284</v>
      </c>
      <c r="CK35" s="67">
        <f>SUM(CK$10:CK34)</f>
        <v>2090417</v>
      </c>
      <c r="CL35" s="67">
        <f>SUM(CL$10:CL34)</f>
        <v>5682873</v>
      </c>
      <c r="CM35" s="68">
        <f>SUM(CM$10:CM34)</f>
        <v>0</v>
      </c>
    </row>
    <row r="36" spans="1:91" s="5" customFormat="1" ht="15.95" customHeight="1">
      <c r="A36" s="77"/>
      <c r="B36" s="90"/>
      <c r="C36" s="61"/>
      <c r="D36" s="61"/>
      <c r="E36" s="63"/>
      <c r="F36" s="63"/>
      <c r="G36" s="63"/>
      <c r="H36" s="63"/>
      <c r="I36" s="63"/>
      <c r="J36" s="63"/>
      <c r="K36" s="166"/>
      <c r="L36" s="157"/>
      <c r="M36" s="61"/>
      <c r="N36" s="61"/>
      <c r="O36" s="63"/>
      <c r="P36" s="63"/>
      <c r="Q36" s="63"/>
      <c r="R36" s="63"/>
      <c r="S36" s="63"/>
      <c r="T36" s="63"/>
      <c r="U36" s="166"/>
      <c r="V36" s="55"/>
      <c r="W36" s="61"/>
      <c r="X36" s="61"/>
      <c r="Y36" s="63"/>
      <c r="Z36" s="63"/>
      <c r="AA36" s="63"/>
      <c r="AB36" s="63"/>
      <c r="AC36" s="63"/>
      <c r="AD36" s="63"/>
      <c r="AE36" s="166"/>
      <c r="AF36" s="55"/>
      <c r="AG36" s="61"/>
      <c r="AH36" s="61"/>
      <c r="AI36" s="63"/>
      <c r="AJ36" s="63"/>
      <c r="AK36" s="63"/>
      <c r="AL36" s="63"/>
      <c r="AM36" s="63"/>
      <c r="AN36" s="63"/>
      <c r="AO36" s="166"/>
      <c r="AP36" s="55"/>
      <c r="AQ36" s="61"/>
      <c r="AR36" s="61"/>
      <c r="AS36" s="63"/>
      <c r="AT36" s="63"/>
      <c r="AU36" s="63"/>
      <c r="AV36" s="63"/>
      <c r="AW36" s="63"/>
      <c r="AX36" s="63"/>
      <c r="AY36" s="166"/>
      <c r="AZ36" s="356"/>
      <c r="BA36" s="66"/>
      <c r="BB36" s="66"/>
      <c r="BC36" s="66"/>
      <c r="BD36" s="66"/>
      <c r="BE36" s="66"/>
      <c r="BF36" s="66"/>
      <c r="BG36" s="66"/>
      <c r="BH36" s="66"/>
      <c r="BI36" s="357"/>
      <c r="BJ36" s="243"/>
      <c r="BK36" s="66"/>
      <c r="BL36" s="66"/>
      <c r="BM36" s="63"/>
      <c r="BN36" s="63"/>
      <c r="BO36" s="63"/>
      <c r="BP36" s="63"/>
      <c r="BQ36" s="63"/>
      <c r="BR36" s="63"/>
      <c r="BS36" s="166"/>
      <c r="BT36" s="243"/>
      <c r="BU36" s="66"/>
      <c r="BV36" s="66"/>
      <c r="BW36" s="63"/>
      <c r="BX36" s="63"/>
      <c r="BY36" s="63"/>
      <c r="BZ36" s="63"/>
      <c r="CA36" s="63"/>
      <c r="CB36" s="63"/>
      <c r="CC36" s="166"/>
      <c r="CD36" s="243"/>
      <c r="CE36" s="66"/>
      <c r="CF36" s="66"/>
      <c r="CG36" s="63"/>
      <c r="CH36" s="63"/>
      <c r="CI36" s="63"/>
      <c r="CJ36" s="63"/>
      <c r="CK36" s="63"/>
      <c r="CL36" s="63"/>
      <c r="CM36" s="166"/>
    </row>
    <row r="37" spans="1:91" s="5" customFormat="1" ht="15.95" customHeight="1">
      <c r="A37" s="78" t="s">
        <v>58</v>
      </c>
      <c r="B37" s="90"/>
      <c r="C37" s="61"/>
      <c r="D37" s="61"/>
      <c r="E37" s="63"/>
      <c r="F37" s="63"/>
      <c r="G37" s="63"/>
      <c r="H37" s="63"/>
      <c r="I37" s="63"/>
      <c r="J37" s="63"/>
      <c r="K37" s="166"/>
      <c r="L37" s="157"/>
      <c r="M37" s="61"/>
      <c r="N37" s="61"/>
      <c r="O37" s="63"/>
      <c r="P37" s="63"/>
      <c r="Q37" s="63"/>
      <c r="R37" s="63"/>
      <c r="S37" s="63"/>
      <c r="T37" s="63"/>
      <c r="U37" s="166"/>
      <c r="V37" s="55"/>
      <c r="W37" s="61"/>
      <c r="X37" s="61"/>
      <c r="Y37" s="63"/>
      <c r="Z37" s="63"/>
      <c r="AA37" s="63"/>
      <c r="AB37" s="63"/>
      <c r="AC37" s="63"/>
      <c r="AD37" s="63"/>
      <c r="AE37" s="166"/>
      <c r="AF37" s="55"/>
      <c r="AG37" s="61"/>
      <c r="AH37" s="61"/>
      <c r="AI37" s="63"/>
      <c r="AJ37" s="63"/>
      <c r="AK37" s="63"/>
      <c r="AL37" s="63"/>
      <c r="AM37" s="63"/>
      <c r="AN37" s="63"/>
      <c r="AO37" s="166"/>
      <c r="AP37" s="55"/>
      <c r="AQ37" s="61"/>
      <c r="AR37" s="61"/>
      <c r="AS37" s="63"/>
      <c r="AT37" s="63"/>
      <c r="AU37" s="63"/>
      <c r="AV37" s="63"/>
      <c r="AW37" s="63"/>
      <c r="AX37" s="63"/>
      <c r="AY37" s="166"/>
      <c r="AZ37" s="356"/>
      <c r="BA37" s="66"/>
      <c r="BB37" s="66"/>
      <c r="BC37" s="66"/>
      <c r="BD37" s="66"/>
      <c r="BE37" s="66"/>
      <c r="BF37" s="66"/>
      <c r="BG37" s="66"/>
      <c r="BH37" s="66"/>
      <c r="BI37" s="357"/>
      <c r="BJ37" s="243"/>
      <c r="BK37" s="66"/>
      <c r="BL37" s="66"/>
      <c r="BM37" s="63"/>
      <c r="BN37" s="63"/>
      <c r="BO37" s="63"/>
      <c r="BP37" s="63"/>
      <c r="BQ37" s="63"/>
      <c r="BR37" s="63"/>
      <c r="BS37" s="166"/>
      <c r="BT37" s="243"/>
      <c r="BU37" s="66"/>
      <c r="BV37" s="66"/>
      <c r="BW37" s="63"/>
      <c r="BX37" s="63"/>
      <c r="BY37" s="63"/>
      <c r="BZ37" s="63"/>
      <c r="CA37" s="63"/>
      <c r="CB37" s="63"/>
      <c r="CC37" s="166"/>
      <c r="CD37" s="243"/>
      <c r="CE37" s="66"/>
      <c r="CF37" s="66"/>
      <c r="CG37" s="63"/>
      <c r="CH37" s="63"/>
      <c r="CI37" s="63"/>
      <c r="CJ37" s="63"/>
      <c r="CK37" s="63"/>
      <c r="CL37" s="63"/>
      <c r="CM37" s="166"/>
    </row>
    <row r="38" spans="1:91" s="58" customFormat="1" ht="15.95" customHeight="1">
      <c r="A38" s="143" t="s">
        <v>172</v>
      </c>
      <c r="B38" s="93"/>
      <c r="C38" s="66">
        <f t="shared" ref="C38:C53" si="62">SUM(E38:I38)</f>
        <v>0</v>
      </c>
      <c r="D38" s="66">
        <f t="shared" ref="D38:D53" si="63">IFERROR(C38/B38,0)</f>
        <v>0</v>
      </c>
      <c r="E38" s="69"/>
      <c r="F38" s="69"/>
      <c r="G38" s="69"/>
      <c r="H38" s="69"/>
      <c r="I38" s="69"/>
      <c r="J38" s="69"/>
      <c r="K38" s="68">
        <f t="shared" ref="K38:K53" si="64">IF(J38=0,0,(IF(E38&lt;=J38,E38,J38)))</f>
        <v>0</v>
      </c>
      <c r="L38" s="159"/>
      <c r="M38" s="66">
        <f t="shared" ref="M38:M53" si="65">SUM(O38:S38)</f>
        <v>0</v>
      </c>
      <c r="N38" s="66">
        <f t="shared" ref="N38:N53" si="66">IFERROR(M38/L38,0)</f>
        <v>0</v>
      </c>
      <c r="O38" s="69"/>
      <c r="P38" s="69"/>
      <c r="Q38" s="69"/>
      <c r="R38" s="69"/>
      <c r="S38" s="69"/>
      <c r="T38" s="69"/>
      <c r="U38" s="68">
        <f t="shared" ref="U38:U53" si="67">IF(T38=0,0,(IF(O38&lt;=T38,O38,T38)))</f>
        <v>0</v>
      </c>
      <c r="V38" s="59">
        <v>0</v>
      </c>
      <c r="W38" s="66">
        <f t="shared" ref="W38:W53" si="68">SUM(Y38:AC38)</f>
        <v>0</v>
      </c>
      <c r="X38" s="66">
        <f t="shared" ref="X38:X53" si="69">IFERROR(W38/V38,0)</f>
        <v>0</v>
      </c>
      <c r="Y38" s="69"/>
      <c r="Z38" s="69"/>
      <c r="AA38" s="69"/>
      <c r="AB38" s="69">
        <v>0</v>
      </c>
      <c r="AC38" s="69"/>
      <c r="AD38" s="69">
        <v>0</v>
      </c>
      <c r="AE38" s="68">
        <f t="shared" ref="AE38:AE53" si="70">IF(AD38=0,0,(IF(Y38&lt;=AD38,Y38,AD38)))</f>
        <v>0</v>
      </c>
      <c r="AF38" s="59">
        <v>0</v>
      </c>
      <c r="AG38" s="66">
        <f t="shared" ref="AG38:AG46" si="71">SUM(AI38:AM38)</f>
        <v>0</v>
      </c>
      <c r="AH38" s="66">
        <f t="shared" ref="AH38:AH46" si="72">IFERROR(AG38/AF38,0)</f>
        <v>0</v>
      </c>
      <c r="AI38" s="69"/>
      <c r="AJ38" s="69"/>
      <c r="AK38" s="69"/>
      <c r="AL38" s="69"/>
      <c r="AM38" s="69"/>
      <c r="AN38" s="69"/>
      <c r="AO38" s="68">
        <f t="shared" ref="AO38:AO53" si="73">IF(AN38=0,0,(IF(AI38&lt;=AN38,AI38,AN38)))</f>
        <v>0</v>
      </c>
      <c r="AP38" s="59">
        <v>0</v>
      </c>
      <c r="AQ38" s="66">
        <f t="shared" ref="AQ38:AQ46" si="74">SUM(AS38:AW38)</f>
        <v>0</v>
      </c>
      <c r="AR38" s="66">
        <f t="shared" ref="AR38:AR46" si="75">IFERROR(AQ38/AP38,0)</f>
        <v>0</v>
      </c>
      <c r="AS38" s="69"/>
      <c r="AT38" s="69"/>
      <c r="AU38" s="69"/>
      <c r="AV38" s="69"/>
      <c r="AW38" s="69"/>
      <c r="AX38" s="69">
        <v>0</v>
      </c>
      <c r="AY38" s="68">
        <f t="shared" ref="AY38:AY53" si="76">IF(AX38=0,0,(IF(AS38&lt;=AX38,AS38,AX38)))</f>
        <v>0</v>
      </c>
      <c r="AZ38" s="356">
        <v>0</v>
      </c>
      <c r="BA38" s="66">
        <f t="shared" ref="BA38:BA49" si="77">SUM(BC38:BG38)</f>
        <v>0</v>
      </c>
      <c r="BB38" s="66">
        <f t="shared" ref="BB38:BB49" si="78">IFERROR(BA38/AZ38,0)</f>
        <v>0</v>
      </c>
      <c r="BC38" s="66"/>
      <c r="BD38" s="66"/>
      <c r="BE38" s="66"/>
      <c r="BF38" s="66">
        <v>0</v>
      </c>
      <c r="BG38" s="66"/>
      <c r="BH38" s="66">
        <v>0</v>
      </c>
      <c r="BI38" s="357">
        <f t="shared" ref="BI38:BI53" si="79">IF(BH38=0,0,(IF(BC38&lt;=BH38,BC38,BH38)))</f>
        <v>0</v>
      </c>
      <c r="BJ38" s="358">
        <v>0</v>
      </c>
      <c r="BK38" s="66">
        <f t="shared" ref="BK38:BK48" si="80">SUM(BM38:BQ38)</f>
        <v>0</v>
      </c>
      <c r="BL38" s="66">
        <f t="shared" ref="BL38:BL48" si="81">IFERROR(BK38/BJ38,0)</f>
        <v>0</v>
      </c>
      <c r="BM38" s="69"/>
      <c r="BN38" s="69"/>
      <c r="BO38" s="69"/>
      <c r="BP38" s="69"/>
      <c r="BQ38" s="69"/>
      <c r="BR38" s="69"/>
      <c r="BS38" s="68">
        <f t="shared" ref="BS38:BS53" si="82">IF(BR38=0,0,(IF(BM38&lt;=BR38,BM38,BR38)))</f>
        <v>0</v>
      </c>
      <c r="BT38" s="358">
        <v>0</v>
      </c>
      <c r="BU38" s="66">
        <f t="shared" ref="BU38:BU53" si="83">SUM(BW38:CA38)</f>
        <v>0</v>
      </c>
      <c r="BV38" s="66">
        <f t="shared" ref="BV38:BV53" si="84">IFERROR(BU38/BT38,0)</f>
        <v>0</v>
      </c>
      <c r="BW38" s="69"/>
      <c r="BX38" s="69"/>
      <c r="BY38" s="69"/>
      <c r="BZ38" s="69"/>
      <c r="CA38" s="69"/>
      <c r="CB38" s="69"/>
      <c r="CC38" s="68">
        <f t="shared" ref="CC38:CC47" si="85">IF(CB38=0,0,(IF(BW38&lt;=CB38,BW38,CB38)))</f>
        <v>0</v>
      </c>
      <c r="CD38" s="244">
        <v>5</v>
      </c>
      <c r="CE38" s="66">
        <f t="shared" ref="CE38:CE53" si="86">SUM(CG38:CK38)</f>
        <v>19365</v>
      </c>
      <c r="CF38" s="66">
        <f t="shared" ref="CF38:CF53" si="87">IFERROR(CE38/CD38,0)</f>
        <v>3873</v>
      </c>
      <c r="CG38" s="195"/>
      <c r="CH38" s="195"/>
      <c r="CI38" s="195"/>
      <c r="CJ38" s="195">
        <v>19365</v>
      </c>
      <c r="CK38" s="195"/>
      <c r="CL38" s="195">
        <v>10860</v>
      </c>
      <c r="CM38" s="403">
        <f t="shared" ref="CM38:CM53" si="88">IF(CL38=0,0,(IF(CG38&lt;=CL38,CG38,CL38)))</f>
        <v>0</v>
      </c>
    </row>
    <row r="39" spans="1:91" s="58" customFormat="1" ht="15.95" customHeight="1">
      <c r="A39" s="143" t="s">
        <v>59</v>
      </c>
      <c r="B39" s="93">
        <v>462</v>
      </c>
      <c r="C39" s="66">
        <f t="shared" si="62"/>
        <v>1193996</v>
      </c>
      <c r="D39" s="66">
        <f t="shared" si="63"/>
        <v>2584.4069264069262</v>
      </c>
      <c r="E39" s="69"/>
      <c r="F39" s="69"/>
      <c r="G39" s="69"/>
      <c r="H39" s="69"/>
      <c r="I39" s="69">
        <v>1193996</v>
      </c>
      <c r="J39" s="69">
        <v>950458</v>
      </c>
      <c r="K39" s="68">
        <f t="shared" si="64"/>
        <v>0</v>
      </c>
      <c r="L39" s="159">
        <v>488</v>
      </c>
      <c r="M39" s="66">
        <f t="shared" si="65"/>
        <v>1283914</v>
      </c>
      <c r="N39" s="66">
        <f t="shared" si="66"/>
        <v>2630.9713114754099</v>
      </c>
      <c r="O39" s="69"/>
      <c r="P39" s="69"/>
      <c r="Q39" s="69"/>
      <c r="R39" s="69"/>
      <c r="S39" s="69">
        <v>1283914</v>
      </c>
      <c r="T39" s="69">
        <v>1008971</v>
      </c>
      <c r="U39" s="68">
        <f t="shared" si="67"/>
        <v>0</v>
      </c>
      <c r="V39" s="59">
        <v>494</v>
      </c>
      <c r="W39" s="66">
        <f t="shared" si="68"/>
        <v>1468087</v>
      </c>
      <c r="X39" s="66">
        <f t="shared" si="69"/>
        <v>2971.8360323886641</v>
      </c>
      <c r="Y39" s="69"/>
      <c r="Z39" s="69"/>
      <c r="AA39" s="69"/>
      <c r="AB39" s="69"/>
      <c r="AC39" s="69">
        <v>1468087</v>
      </c>
      <c r="AD39" s="69">
        <v>1203736</v>
      </c>
      <c r="AE39" s="68">
        <f t="shared" si="70"/>
        <v>0</v>
      </c>
      <c r="AF39" s="59">
        <v>435</v>
      </c>
      <c r="AG39" s="66">
        <f t="shared" si="71"/>
        <v>1367177</v>
      </c>
      <c r="AH39" s="66">
        <f t="shared" si="72"/>
        <v>3142.9356321839082</v>
      </c>
      <c r="AI39" s="69"/>
      <c r="AJ39" s="69"/>
      <c r="AK39" s="69"/>
      <c r="AL39" s="69"/>
      <c r="AM39" s="69">
        <v>1367177</v>
      </c>
      <c r="AN39" s="69">
        <v>976437</v>
      </c>
      <c r="AO39" s="68">
        <f t="shared" si="73"/>
        <v>0</v>
      </c>
      <c r="AP39" s="59">
        <v>486</v>
      </c>
      <c r="AQ39" s="66">
        <f t="shared" si="74"/>
        <v>1527058</v>
      </c>
      <c r="AR39" s="66">
        <f t="shared" si="75"/>
        <v>3142.0946502057614</v>
      </c>
      <c r="AS39" s="69"/>
      <c r="AT39" s="69"/>
      <c r="AU39" s="69"/>
      <c r="AV39" s="69"/>
      <c r="AW39" s="69">
        <v>1527058</v>
      </c>
      <c r="AX39" s="69">
        <v>1086694</v>
      </c>
      <c r="AY39" s="68">
        <f t="shared" si="76"/>
        <v>0</v>
      </c>
      <c r="AZ39" s="356">
        <v>591</v>
      </c>
      <c r="BA39" s="66">
        <f t="shared" si="77"/>
        <v>1826703</v>
      </c>
      <c r="BB39" s="66">
        <f t="shared" si="78"/>
        <v>3090.8680203045687</v>
      </c>
      <c r="BC39" s="66"/>
      <c r="BD39" s="66"/>
      <c r="BE39" s="66"/>
      <c r="BF39" s="66"/>
      <c r="BG39" s="66">
        <v>1826703</v>
      </c>
      <c r="BH39" s="66">
        <v>1311386</v>
      </c>
      <c r="BI39" s="357">
        <f t="shared" si="79"/>
        <v>0</v>
      </c>
      <c r="BJ39" s="358">
        <v>589</v>
      </c>
      <c r="BK39" s="66">
        <f t="shared" si="80"/>
        <v>1911070</v>
      </c>
      <c r="BL39" s="66">
        <f t="shared" si="81"/>
        <v>3244.6010186757217</v>
      </c>
      <c r="BM39" s="69"/>
      <c r="BN39" s="69"/>
      <c r="BO39" s="69"/>
      <c r="BP39" s="69"/>
      <c r="BQ39" s="69">
        <v>1911070</v>
      </c>
      <c r="BR39" s="69">
        <v>1470932</v>
      </c>
      <c r="BS39" s="68">
        <f t="shared" si="82"/>
        <v>0</v>
      </c>
      <c r="BT39" s="358">
        <v>586</v>
      </c>
      <c r="BU39" s="66">
        <f t="shared" si="83"/>
        <v>2338856</v>
      </c>
      <c r="BV39" s="66">
        <f t="shared" si="84"/>
        <v>3991.2218430034131</v>
      </c>
      <c r="BW39" s="69"/>
      <c r="BX39" s="69"/>
      <c r="BY39" s="69"/>
      <c r="BZ39" s="69"/>
      <c r="CA39" s="69">
        <v>2338856</v>
      </c>
      <c r="CB39" s="69">
        <v>1795306</v>
      </c>
      <c r="CC39" s="68">
        <f t="shared" si="85"/>
        <v>0</v>
      </c>
      <c r="CD39" s="244">
        <v>686</v>
      </c>
      <c r="CE39" s="66">
        <f t="shared" si="86"/>
        <v>2779317</v>
      </c>
      <c r="CF39" s="66">
        <f t="shared" si="87"/>
        <v>4051.4825072886297</v>
      </c>
      <c r="CG39" s="195"/>
      <c r="CH39" s="195"/>
      <c r="CI39" s="195"/>
      <c r="CJ39" s="195"/>
      <c r="CK39" s="195">
        <v>2779317</v>
      </c>
      <c r="CL39" s="195">
        <v>2203596</v>
      </c>
      <c r="CM39" s="403">
        <f t="shared" si="88"/>
        <v>0</v>
      </c>
    </row>
    <row r="40" spans="1:91" s="58" customFormat="1" ht="15.95" customHeight="1">
      <c r="A40" s="143" t="s">
        <v>173</v>
      </c>
      <c r="B40" s="93">
        <v>13</v>
      </c>
      <c r="C40" s="66">
        <f t="shared" si="62"/>
        <v>719360</v>
      </c>
      <c r="D40" s="66">
        <f t="shared" si="63"/>
        <v>55335.384615384617</v>
      </c>
      <c r="E40" s="69">
        <v>719360</v>
      </c>
      <c r="F40" s="69"/>
      <c r="G40" s="69"/>
      <c r="H40" s="69"/>
      <c r="I40" s="69"/>
      <c r="J40" s="69">
        <v>361529</v>
      </c>
      <c r="K40" s="68">
        <f t="shared" si="64"/>
        <v>361529</v>
      </c>
      <c r="L40" s="159">
        <v>20</v>
      </c>
      <c r="M40" s="66">
        <f t="shared" si="65"/>
        <v>995148</v>
      </c>
      <c r="N40" s="66">
        <f t="shared" si="66"/>
        <v>49757.4</v>
      </c>
      <c r="O40" s="69">
        <v>995148</v>
      </c>
      <c r="P40" s="69"/>
      <c r="Q40" s="69"/>
      <c r="R40" s="69"/>
      <c r="S40" s="69"/>
      <c r="T40" s="69">
        <v>126302</v>
      </c>
      <c r="U40" s="68">
        <f t="shared" si="67"/>
        <v>126302</v>
      </c>
      <c r="V40" s="59">
        <v>19</v>
      </c>
      <c r="W40" s="66">
        <f t="shared" si="68"/>
        <v>1398102</v>
      </c>
      <c r="X40" s="66">
        <f t="shared" si="69"/>
        <v>73584.31578947368</v>
      </c>
      <c r="Y40" s="69">
        <v>1398102</v>
      </c>
      <c r="Z40" s="69"/>
      <c r="AA40" s="69"/>
      <c r="AB40" s="69"/>
      <c r="AC40" s="69"/>
      <c r="AD40" s="69">
        <v>32185</v>
      </c>
      <c r="AE40" s="68">
        <f t="shared" si="70"/>
        <v>32185</v>
      </c>
      <c r="AF40" s="59">
        <v>27</v>
      </c>
      <c r="AG40" s="66">
        <f t="shared" si="71"/>
        <v>2096366</v>
      </c>
      <c r="AH40" s="66">
        <f t="shared" si="72"/>
        <v>77643.185185185182</v>
      </c>
      <c r="AI40" s="69">
        <v>2096366</v>
      </c>
      <c r="AJ40" s="69"/>
      <c r="AK40" s="69"/>
      <c r="AL40" s="69"/>
      <c r="AM40" s="69"/>
      <c r="AN40" s="69">
        <v>136962</v>
      </c>
      <c r="AO40" s="68">
        <f t="shared" si="73"/>
        <v>136962</v>
      </c>
      <c r="AP40" s="59">
        <v>19</v>
      </c>
      <c r="AQ40" s="66">
        <f t="shared" si="74"/>
        <v>1819525</v>
      </c>
      <c r="AR40" s="66">
        <f t="shared" si="75"/>
        <v>95764.473684210519</v>
      </c>
      <c r="AS40" s="69">
        <v>1819525</v>
      </c>
      <c r="AT40" s="69"/>
      <c r="AU40" s="69"/>
      <c r="AV40" s="69"/>
      <c r="AW40" s="69"/>
      <c r="AX40" s="69">
        <v>238155</v>
      </c>
      <c r="AY40" s="68">
        <f t="shared" si="76"/>
        <v>238155</v>
      </c>
      <c r="AZ40" s="356">
        <v>31</v>
      </c>
      <c r="BA40" s="66">
        <f t="shared" si="77"/>
        <v>1694033</v>
      </c>
      <c r="BB40" s="66">
        <f t="shared" si="78"/>
        <v>54646.225806451614</v>
      </c>
      <c r="BC40" s="66">
        <v>1146983</v>
      </c>
      <c r="BD40" s="66">
        <v>547050</v>
      </c>
      <c r="BE40" s="66"/>
      <c r="BF40" s="66"/>
      <c r="BG40" s="66"/>
      <c r="BH40" s="66">
        <v>411496</v>
      </c>
      <c r="BI40" s="357">
        <f t="shared" si="79"/>
        <v>411496</v>
      </c>
      <c r="BJ40" s="358">
        <v>26</v>
      </c>
      <c r="BK40" s="66">
        <f t="shared" si="80"/>
        <v>1135653</v>
      </c>
      <c r="BL40" s="66">
        <f t="shared" si="81"/>
        <v>43678.961538461539</v>
      </c>
      <c r="BM40" s="69">
        <v>771608</v>
      </c>
      <c r="BN40" s="69">
        <v>364045</v>
      </c>
      <c r="BO40" s="69"/>
      <c r="BP40" s="69"/>
      <c r="BQ40" s="69"/>
      <c r="BR40" s="69">
        <v>391976</v>
      </c>
      <c r="BS40" s="68">
        <v>232941</v>
      </c>
      <c r="BT40" s="358">
        <v>25</v>
      </c>
      <c r="BU40" s="66">
        <f t="shared" si="83"/>
        <v>1383128</v>
      </c>
      <c r="BV40" s="66">
        <f t="shared" si="84"/>
        <v>55325.120000000003</v>
      </c>
      <c r="BW40" s="69">
        <v>895187</v>
      </c>
      <c r="BX40" s="69"/>
      <c r="BY40" s="69"/>
      <c r="BZ40" s="69"/>
      <c r="CA40" s="69">
        <v>487941</v>
      </c>
      <c r="CB40" s="69">
        <v>355986</v>
      </c>
      <c r="CC40" s="68">
        <v>205628</v>
      </c>
      <c r="CD40" s="244">
        <v>26</v>
      </c>
      <c r="CE40" s="66">
        <f t="shared" si="86"/>
        <v>1805978</v>
      </c>
      <c r="CF40" s="66">
        <f t="shared" si="87"/>
        <v>69460.692307692312</v>
      </c>
      <c r="CG40" s="195"/>
      <c r="CH40" s="195"/>
      <c r="CI40" s="195"/>
      <c r="CJ40" s="195"/>
      <c r="CK40" s="195">
        <v>1805978</v>
      </c>
      <c r="CL40" s="195">
        <v>239502</v>
      </c>
      <c r="CM40" s="403">
        <f t="shared" si="88"/>
        <v>0</v>
      </c>
    </row>
    <row r="41" spans="1:91" s="58" customFormat="1" ht="15.95" customHeight="1">
      <c r="A41" s="143" t="s">
        <v>174</v>
      </c>
      <c r="B41" s="93">
        <v>68</v>
      </c>
      <c r="C41" s="66">
        <f t="shared" si="62"/>
        <v>118922</v>
      </c>
      <c r="D41" s="66">
        <f t="shared" si="63"/>
        <v>1748.8529411764705</v>
      </c>
      <c r="E41" s="69"/>
      <c r="F41" s="69">
        <v>118922</v>
      </c>
      <c r="G41" s="69"/>
      <c r="H41" s="69"/>
      <c r="I41" s="69"/>
      <c r="J41" s="69">
        <v>107319</v>
      </c>
      <c r="K41" s="68">
        <f t="shared" si="64"/>
        <v>0</v>
      </c>
      <c r="L41" s="159">
        <v>93</v>
      </c>
      <c r="M41" s="66">
        <f t="shared" si="65"/>
        <v>265016</v>
      </c>
      <c r="N41" s="66">
        <f t="shared" si="66"/>
        <v>2849.6344086021504</v>
      </c>
      <c r="O41" s="69"/>
      <c r="P41" s="69">
        <v>265016</v>
      </c>
      <c r="Q41" s="69"/>
      <c r="R41" s="69"/>
      <c r="S41" s="69"/>
      <c r="T41" s="69">
        <v>255230</v>
      </c>
      <c r="U41" s="68">
        <f t="shared" si="67"/>
        <v>0</v>
      </c>
      <c r="V41" s="59">
        <v>90</v>
      </c>
      <c r="W41" s="66">
        <f t="shared" si="68"/>
        <v>267950</v>
      </c>
      <c r="X41" s="66">
        <f t="shared" si="69"/>
        <v>2977.2222222222222</v>
      </c>
      <c r="Y41" s="69"/>
      <c r="Z41" s="69">
        <v>267950</v>
      </c>
      <c r="AA41" s="69"/>
      <c r="AB41" s="69"/>
      <c r="AC41" s="69"/>
      <c r="AD41" s="69">
        <v>219808</v>
      </c>
      <c r="AE41" s="68">
        <f t="shared" si="70"/>
        <v>0</v>
      </c>
      <c r="AF41" s="59">
        <v>35</v>
      </c>
      <c r="AG41" s="66">
        <f t="shared" si="71"/>
        <v>45677</v>
      </c>
      <c r="AH41" s="66">
        <f t="shared" si="72"/>
        <v>1305.0571428571429</v>
      </c>
      <c r="AI41" s="69"/>
      <c r="AJ41" s="69"/>
      <c r="AK41" s="69"/>
      <c r="AL41" s="69"/>
      <c r="AM41" s="69">
        <v>45677</v>
      </c>
      <c r="AN41" s="69">
        <v>29669</v>
      </c>
      <c r="AO41" s="68">
        <f t="shared" si="73"/>
        <v>0</v>
      </c>
      <c r="AP41" s="59">
        <v>55</v>
      </c>
      <c r="AQ41" s="66">
        <f t="shared" si="74"/>
        <v>68609</v>
      </c>
      <c r="AR41" s="66">
        <f t="shared" si="75"/>
        <v>1247.4363636363637</v>
      </c>
      <c r="AS41" s="69"/>
      <c r="AT41" s="69"/>
      <c r="AU41" s="69"/>
      <c r="AV41" s="69"/>
      <c r="AW41" s="69">
        <v>68609</v>
      </c>
      <c r="AX41" s="69">
        <v>36761</v>
      </c>
      <c r="AY41" s="68">
        <f t="shared" si="76"/>
        <v>0</v>
      </c>
      <c r="AZ41" s="356">
        <v>41</v>
      </c>
      <c r="BA41" s="66">
        <f t="shared" si="77"/>
        <v>35524</v>
      </c>
      <c r="BB41" s="66">
        <f t="shared" si="78"/>
        <v>866.43902439024396</v>
      </c>
      <c r="BC41" s="66"/>
      <c r="BD41" s="66"/>
      <c r="BE41" s="66"/>
      <c r="BF41" s="66"/>
      <c r="BG41" s="66">
        <v>35524</v>
      </c>
      <c r="BH41" s="66">
        <v>21087</v>
      </c>
      <c r="BI41" s="357">
        <f t="shared" si="79"/>
        <v>0</v>
      </c>
      <c r="BJ41" s="358">
        <v>23</v>
      </c>
      <c r="BK41" s="66">
        <f t="shared" si="80"/>
        <v>64845</v>
      </c>
      <c r="BL41" s="66">
        <f t="shared" si="81"/>
        <v>2819.3478260869565</v>
      </c>
      <c r="BM41" s="69"/>
      <c r="BN41" s="69"/>
      <c r="BO41" s="69"/>
      <c r="BP41" s="69"/>
      <c r="BQ41" s="69">
        <v>64845</v>
      </c>
      <c r="BR41" s="69">
        <v>59581</v>
      </c>
      <c r="BS41" s="68">
        <f t="shared" si="82"/>
        <v>0</v>
      </c>
      <c r="BT41" s="358">
        <v>22</v>
      </c>
      <c r="BU41" s="66">
        <f t="shared" si="83"/>
        <v>66649</v>
      </c>
      <c r="BV41" s="66">
        <f t="shared" si="84"/>
        <v>3029.5</v>
      </c>
      <c r="BW41" s="69"/>
      <c r="BX41" s="69"/>
      <c r="BY41" s="69"/>
      <c r="BZ41" s="69"/>
      <c r="CA41" s="69">
        <v>66649</v>
      </c>
      <c r="CB41" s="69">
        <v>55036</v>
      </c>
      <c r="CC41" s="68">
        <f t="shared" si="85"/>
        <v>0</v>
      </c>
      <c r="CD41" s="244">
        <v>22</v>
      </c>
      <c r="CE41" s="66">
        <f t="shared" si="86"/>
        <v>54266</v>
      </c>
      <c r="CF41" s="66">
        <f t="shared" si="87"/>
        <v>2466.6363636363635</v>
      </c>
      <c r="CG41" s="195"/>
      <c r="CH41" s="195"/>
      <c r="CI41" s="195"/>
      <c r="CJ41" s="195"/>
      <c r="CK41" s="195">
        <v>54266</v>
      </c>
      <c r="CL41" s="195">
        <v>43968</v>
      </c>
      <c r="CM41" s="403">
        <f t="shared" si="88"/>
        <v>0</v>
      </c>
    </row>
    <row r="42" spans="1:91" s="58" customFormat="1" ht="15.95" customHeight="1">
      <c r="A42" s="143" t="s">
        <v>175</v>
      </c>
      <c r="B42" s="93">
        <v>314</v>
      </c>
      <c r="C42" s="66">
        <f t="shared" si="62"/>
        <v>5704252</v>
      </c>
      <c r="D42" s="66">
        <f t="shared" si="63"/>
        <v>18166.407643312101</v>
      </c>
      <c r="E42" s="69">
        <v>5704252</v>
      </c>
      <c r="F42" s="69"/>
      <c r="G42" s="69"/>
      <c r="H42" s="69"/>
      <c r="I42" s="69"/>
      <c r="J42" s="69">
        <v>0</v>
      </c>
      <c r="K42" s="68">
        <f t="shared" si="64"/>
        <v>0</v>
      </c>
      <c r="L42" s="159">
        <v>325</v>
      </c>
      <c r="M42" s="66">
        <f t="shared" si="65"/>
        <v>5392088</v>
      </c>
      <c r="N42" s="66">
        <f t="shared" si="66"/>
        <v>16591.04</v>
      </c>
      <c r="O42" s="69">
        <v>5392088</v>
      </c>
      <c r="P42" s="69"/>
      <c r="Q42" s="69"/>
      <c r="R42" s="69"/>
      <c r="S42" s="69"/>
      <c r="T42" s="69">
        <v>0</v>
      </c>
      <c r="U42" s="68">
        <f t="shared" si="67"/>
        <v>0</v>
      </c>
      <c r="V42" s="59">
        <v>314</v>
      </c>
      <c r="W42" s="66">
        <f t="shared" si="68"/>
        <v>5659832</v>
      </c>
      <c r="X42" s="66">
        <f t="shared" si="69"/>
        <v>18024.942675159236</v>
      </c>
      <c r="Y42" s="69">
        <v>5659832</v>
      </c>
      <c r="Z42" s="69"/>
      <c r="AA42" s="69"/>
      <c r="AB42" s="69"/>
      <c r="AC42" s="69"/>
      <c r="AD42" s="69">
        <v>0</v>
      </c>
      <c r="AE42" s="68">
        <f t="shared" si="70"/>
        <v>0</v>
      </c>
      <c r="AF42" s="59">
        <v>315</v>
      </c>
      <c r="AG42" s="66">
        <f t="shared" si="71"/>
        <v>4444065</v>
      </c>
      <c r="AH42" s="66">
        <f t="shared" si="72"/>
        <v>14108.142857142857</v>
      </c>
      <c r="AI42" s="69">
        <v>4444065</v>
      </c>
      <c r="AJ42" s="69"/>
      <c r="AK42" s="69"/>
      <c r="AL42" s="69"/>
      <c r="AM42" s="69"/>
      <c r="AN42" s="69">
        <v>0</v>
      </c>
      <c r="AO42" s="68">
        <f t="shared" si="73"/>
        <v>0</v>
      </c>
      <c r="AP42" s="59">
        <v>303</v>
      </c>
      <c r="AQ42" s="66">
        <f t="shared" si="74"/>
        <v>4167641</v>
      </c>
      <c r="AR42" s="66">
        <f t="shared" si="75"/>
        <v>13754.590759075907</v>
      </c>
      <c r="AS42" s="69">
        <v>4167641</v>
      </c>
      <c r="AT42" s="69"/>
      <c r="AU42" s="69"/>
      <c r="AV42" s="69"/>
      <c r="AW42" s="69"/>
      <c r="AX42" s="69">
        <v>0</v>
      </c>
      <c r="AY42" s="68">
        <f t="shared" si="76"/>
        <v>0</v>
      </c>
      <c r="AZ42" s="356">
        <v>359</v>
      </c>
      <c r="BA42" s="66">
        <f t="shared" si="77"/>
        <v>4401891</v>
      </c>
      <c r="BB42" s="66">
        <f t="shared" si="78"/>
        <v>12261.534818941504</v>
      </c>
      <c r="BC42" s="66">
        <v>4401891</v>
      </c>
      <c r="BD42" s="66"/>
      <c r="BE42" s="66"/>
      <c r="BF42" s="66"/>
      <c r="BG42" s="66"/>
      <c r="BH42" s="66">
        <v>0</v>
      </c>
      <c r="BI42" s="357">
        <f t="shared" si="79"/>
        <v>0</v>
      </c>
      <c r="BJ42" s="358">
        <v>373</v>
      </c>
      <c r="BK42" s="66">
        <f t="shared" si="80"/>
        <v>4123560</v>
      </c>
      <c r="BL42" s="66">
        <f t="shared" si="81"/>
        <v>11055.120643431635</v>
      </c>
      <c r="BM42" s="69">
        <v>4123560</v>
      </c>
      <c r="BN42" s="69"/>
      <c r="BO42" s="69"/>
      <c r="BP42" s="69"/>
      <c r="BQ42" s="69"/>
      <c r="BR42" s="69">
        <v>0</v>
      </c>
      <c r="BS42" s="68">
        <f t="shared" si="82"/>
        <v>0</v>
      </c>
      <c r="BT42" s="358">
        <v>318</v>
      </c>
      <c r="BU42" s="66">
        <f t="shared" si="83"/>
        <v>3316466</v>
      </c>
      <c r="BV42" s="66">
        <f t="shared" si="84"/>
        <v>10429.138364779874</v>
      </c>
      <c r="BW42" s="69">
        <v>3316466</v>
      </c>
      <c r="BX42" s="69"/>
      <c r="BY42" s="69"/>
      <c r="BZ42" s="69"/>
      <c r="CA42" s="69"/>
      <c r="CB42" s="69">
        <v>0</v>
      </c>
      <c r="CC42" s="68">
        <f t="shared" si="85"/>
        <v>0</v>
      </c>
      <c r="CD42" s="244">
        <v>248</v>
      </c>
      <c r="CE42" s="66">
        <f t="shared" si="86"/>
        <v>2231049</v>
      </c>
      <c r="CF42" s="66">
        <f t="shared" si="87"/>
        <v>8996.1653225806458</v>
      </c>
      <c r="CG42" s="195">
        <v>2231049</v>
      </c>
      <c r="CH42" s="195"/>
      <c r="CI42" s="195"/>
      <c r="CJ42" s="195"/>
      <c r="CK42" s="195"/>
      <c r="CL42" s="195">
        <v>0</v>
      </c>
      <c r="CM42" s="403">
        <f t="shared" si="88"/>
        <v>0</v>
      </c>
    </row>
    <row r="43" spans="1:91" s="58" customFormat="1" ht="15.95" customHeight="1">
      <c r="A43" s="143" t="s">
        <v>176</v>
      </c>
      <c r="B43" s="93">
        <v>10</v>
      </c>
      <c r="C43" s="66">
        <f t="shared" si="62"/>
        <v>433563</v>
      </c>
      <c r="D43" s="66">
        <f t="shared" si="63"/>
        <v>43356.3</v>
      </c>
      <c r="E43" s="69"/>
      <c r="F43" s="69">
        <v>433563</v>
      </c>
      <c r="G43" s="69"/>
      <c r="H43" s="69"/>
      <c r="I43" s="69"/>
      <c r="J43" s="69">
        <v>433563</v>
      </c>
      <c r="K43" s="68">
        <f t="shared" si="64"/>
        <v>0</v>
      </c>
      <c r="L43" s="159">
        <v>11</v>
      </c>
      <c r="M43" s="66">
        <f t="shared" si="65"/>
        <v>477400</v>
      </c>
      <c r="N43" s="66">
        <f t="shared" si="66"/>
        <v>43400</v>
      </c>
      <c r="O43" s="69"/>
      <c r="P43" s="69">
        <v>477400</v>
      </c>
      <c r="Q43" s="69"/>
      <c r="R43" s="69"/>
      <c r="S43" s="69"/>
      <c r="T43" s="69">
        <v>432130</v>
      </c>
      <c r="U43" s="68">
        <f t="shared" si="67"/>
        <v>0</v>
      </c>
      <c r="V43" s="59">
        <v>10</v>
      </c>
      <c r="W43" s="66">
        <f t="shared" si="68"/>
        <v>444956</v>
      </c>
      <c r="X43" s="66">
        <f t="shared" si="69"/>
        <v>44495.6</v>
      </c>
      <c r="Y43" s="69"/>
      <c r="Z43" s="69">
        <v>444956</v>
      </c>
      <c r="AA43" s="69"/>
      <c r="AB43" s="69"/>
      <c r="AC43" s="69"/>
      <c r="AD43" s="69">
        <v>444956</v>
      </c>
      <c r="AE43" s="68">
        <f t="shared" si="70"/>
        <v>0</v>
      </c>
      <c r="AF43" s="59">
        <v>10</v>
      </c>
      <c r="AG43" s="66">
        <f t="shared" si="71"/>
        <v>505200</v>
      </c>
      <c r="AH43" s="66">
        <f t="shared" si="72"/>
        <v>50520</v>
      </c>
      <c r="AI43" s="69"/>
      <c r="AJ43" s="69">
        <v>505200</v>
      </c>
      <c r="AK43" s="69"/>
      <c r="AL43" s="69"/>
      <c r="AM43" s="69"/>
      <c r="AN43" s="69">
        <v>505200</v>
      </c>
      <c r="AO43" s="68">
        <f t="shared" si="73"/>
        <v>0</v>
      </c>
      <c r="AP43" s="59">
        <v>10</v>
      </c>
      <c r="AQ43" s="66">
        <f t="shared" si="74"/>
        <v>484201</v>
      </c>
      <c r="AR43" s="66">
        <f t="shared" si="75"/>
        <v>48420.1</v>
      </c>
      <c r="AS43" s="69"/>
      <c r="AT43" s="69">
        <v>484201</v>
      </c>
      <c r="AU43" s="69"/>
      <c r="AV43" s="69"/>
      <c r="AW43" s="69"/>
      <c r="AX43" s="69">
        <v>484201</v>
      </c>
      <c r="AY43" s="68">
        <f t="shared" si="76"/>
        <v>0</v>
      </c>
      <c r="AZ43" s="356">
        <v>12</v>
      </c>
      <c r="BA43" s="66">
        <f t="shared" si="77"/>
        <v>584090</v>
      </c>
      <c r="BB43" s="66">
        <f t="shared" si="78"/>
        <v>48674.166666666664</v>
      </c>
      <c r="BC43" s="66"/>
      <c r="BD43" s="66">
        <v>584090</v>
      </c>
      <c r="BE43" s="66"/>
      <c r="BF43" s="66"/>
      <c r="BG43" s="66"/>
      <c r="BH43" s="66">
        <v>584090</v>
      </c>
      <c r="BI43" s="357">
        <f t="shared" si="79"/>
        <v>0</v>
      </c>
      <c r="BJ43" s="358">
        <v>10</v>
      </c>
      <c r="BK43" s="66">
        <f t="shared" si="80"/>
        <v>500732</v>
      </c>
      <c r="BL43" s="66">
        <f t="shared" si="81"/>
        <v>50073.2</v>
      </c>
      <c r="BM43" s="69">
        <v>350732</v>
      </c>
      <c r="BN43" s="69">
        <v>150000</v>
      </c>
      <c r="BO43" s="69"/>
      <c r="BP43" s="69"/>
      <c r="BQ43" s="69"/>
      <c r="BR43" s="69">
        <v>500732</v>
      </c>
      <c r="BS43" s="68">
        <v>350732</v>
      </c>
      <c r="BT43" s="358">
        <v>12</v>
      </c>
      <c r="BU43" s="66">
        <f t="shared" si="83"/>
        <v>655406</v>
      </c>
      <c r="BV43" s="66">
        <f t="shared" si="84"/>
        <v>54617.166666666664</v>
      </c>
      <c r="BW43" s="69">
        <v>475406</v>
      </c>
      <c r="BX43" s="69">
        <v>180000</v>
      </c>
      <c r="BY43" s="69"/>
      <c r="BZ43" s="69"/>
      <c r="CA43" s="69"/>
      <c r="CB43" s="69">
        <v>655406</v>
      </c>
      <c r="CC43" s="68">
        <f t="shared" si="85"/>
        <v>475406</v>
      </c>
      <c r="CD43" s="244">
        <v>11</v>
      </c>
      <c r="CE43" s="66">
        <f t="shared" si="86"/>
        <v>558040</v>
      </c>
      <c r="CF43" s="66">
        <f t="shared" si="87"/>
        <v>50730.909090909088</v>
      </c>
      <c r="CG43" s="195">
        <v>400540</v>
      </c>
      <c r="CH43" s="195">
        <v>157500</v>
      </c>
      <c r="CI43" s="195"/>
      <c r="CJ43" s="195"/>
      <c r="CK43" s="195"/>
      <c r="CL43" s="195">
        <v>558041</v>
      </c>
      <c r="CM43" s="403">
        <f t="shared" si="88"/>
        <v>400540</v>
      </c>
    </row>
    <row r="44" spans="1:91" s="58" customFormat="1" ht="15.95" customHeight="1">
      <c r="A44" s="143" t="s">
        <v>177</v>
      </c>
      <c r="B44" s="93">
        <v>158</v>
      </c>
      <c r="C44" s="66">
        <f t="shared" si="62"/>
        <v>411711</v>
      </c>
      <c r="D44" s="66">
        <f t="shared" si="63"/>
        <v>2605.7658227848101</v>
      </c>
      <c r="E44" s="69"/>
      <c r="F44" s="69"/>
      <c r="G44" s="69"/>
      <c r="H44" s="69"/>
      <c r="I44" s="69">
        <v>411711</v>
      </c>
      <c r="J44" s="69">
        <v>369928</v>
      </c>
      <c r="K44" s="68">
        <f t="shared" si="64"/>
        <v>0</v>
      </c>
      <c r="L44" s="159">
        <v>192</v>
      </c>
      <c r="M44" s="66">
        <f t="shared" si="65"/>
        <v>568537</v>
      </c>
      <c r="N44" s="66">
        <f t="shared" si="66"/>
        <v>2961.1302083333335</v>
      </c>
      <c r="O44" s="69"/>
      <c r="P44" s="69"/>
      <c r="Q44" s="69"/>
      <c r="R44" s="69"/>
      <c r="S44" s="69">
        <v>568537</v>
      </c>
      <c r="T44" s="69">
        <v>489150</v>
      </c>
      <c r="U44" s="68">
        <f t="shared" si="67"/>
        <v>0</v>
      </c>
      <c r="V44" s="59">
        <v>158</v>
      </c>
      <c r="W44" s="66">
        <f t="shared" si="68"/>
        <v>451152</v>
      </c>
      <c r="X44" s="66">
        <f t="shared" si="69"/>
        <v>2855.3924050632913</v>
      </c>
      <c r="Y44" s="69"/>
      <c r="Z44" s="69"/>
      <c r="AA44" s="69"/>
      <c r="AB44" s="69"/>
      <c r="AC44" s="69">
        <v>451152</v>
      </c>
      <c r="AD44" s="69">
        <v>402071</v>
      </c>
      <c r="AE44" s="68">
        <f t="shared" si="70"/>
        <v>0</v>
      </c>
      <c r="AF44" s="59">
        <v>180</v>
      </c>
      <c r="AG44" s="66">
        <f t="shared" si="71"/>
        <v>509375</v>
      </c>
      <c r="AH44" s="66">
        <f t="shared" si="72"/>
        <v>2829.8611111111113</v>
      </c>
      <c r="AI44" s="69"/>
      <c r="AJ44" s="69"/>
      <c r="AK44" s="69"/>
      <c r="AL44" s="69"/>
      <c r="AM44" s="69">
        <v>509375</v>
      </c>
      <c r="AN44" s="69">
        <v>383879</v>
      </c>
      <c r="AO44" s="68">
        <f t="shared" si="73"/>
        <v>0</v>
      </c>
      <c r="AP44" s="59">
        <v>117</v>
      </c>
      <c r="AQ44" s="66">
        <f t="shared" si="74"/>
        <v>550351</v>
      </c>
      <c r="AR44" s="66">
        <f t="shared" si="75"/>
        <v>4703.8547008547012</v>
      </c>
      <c r="AS44" s="69"/>
      <c r="AT44" s="69"/>
      <c r="AU44" s="69"/>
      <c r="AV44" s="69"/>
      <c r="AW44" s="69">
        <v>550351</v>
      </c>
      <c r="AX44" s="69">
        <v>484075</v>
      </c>
      <c r="AY44" s="68">
        <f t="shared" si="76"/>
        <v>0</v>
      </c>
      <c r="AZ44" s="356">
        <v>195</v>
      </c>
      <c r="BA44" s="66">
        <f t="shared" si="77"/>
        <v>639682</v>
      </c>
      <c r="BB44" s="66">
        <f t="shared" si="78"/>
        <v>3280.4205128205126</v>
      </c>
      <c r="BC44" s="66"/>
      <c r="BD44" s="66"/>
      <c r="BE44" s="66"/>
      <c r="BF44" s="66"/>
      <c r="BG44" s="66">
        <v>639682</v>
      </c>
      <c r="BH44" s="66">
        <v>410648</v>
      </c>
      <c r="BI44" s="357">
        <f t="shared" si="79"/>
        <v>0</v>
      </c>
      <c r="BJ44" s="358">
        <v>174</v>
      </c>
      <c r="BK44" s="66">
        <f t="shared" si="80"/>
        <v>533848</v>
      </c>
      <c r="BL44" s="66">
        <f t="shared" si="81"/>
        <v>3068.0919540229884</v>
      </c>
      <c r="BM44" s="69"/>
      <c r="BN44" s="69"/>
      <c r="BO44" s="69"/>
      <c r="BP44" s="69"/>
      <c r="BQ44" s="69">
        <v>533848</v>
      </c>
      <c r="BR44" s="69">
        <v>412928</v>
      </c>
      <c r="BS44" s="68">
        <f t="shared" si="82"/>
        <v>0</v>
      </c>
      <c r="BT44" s="358">
        <v>42</v>
      </c>
      <c r="BU44" s="66">
        <f t="shared" si="83"/>
        <v>161181</v>
      </c>
      <c r="BV44" s="66">
        <f t="shared" si="84"/>
        <v>3837.6428571428573</v>
      </c>
      <c r="BW44" s="69"/>
      <c r="BX44" s="69"/>
      <c r="BY44" s="69"/>
      <c r="BZ44" s="69"/>
      <c r="CA44" s="69">
        <v>161181</v>
      </c>
      <c r="CB44" s="69">
        <v>133081</v>
      </c>
      <c r="CC44" s="68">
        <f t="shared" si="85"/>
        <v>0</v>
      </c>
      <c r="CD44" s="244">
        <v>37</v>
      </c>
      <c r="CE44" s="66">
        <f t="shared" si="86"/>
        <v>189662</v>
      </c>
      <c r="CF44" s="66">
        <f t="shared" si="87"/>
        <v>5126</v>
      </c>
      <c r="CG44" s="195"/>
      <c r="CH44" s="195"/>
      <c r="CI44" s="195"/>
      <c r="CJ44" s="195"/>
      <c r="CK44" s="195">
        <v>189662</v>
      </c>
      <c r="CL44" s="195">
        <v>134404</v>
      </c>
      <c r="CM44" s="403">
        <f t="shared" si="88"/>
        <v>0</v>
      </c>
    </row>
    <row r="45" spans="1:91" s="58" customFormat="1" ht="15.95" customHeight="1">
      <c r="A45" s="143" t="s">
        <v>178</v>
      </c>
      <c r="B45" s="93">
        <v>137</v>
      </c>
      <c r="C45" s="66">
        <f t="shared" si="62"/>
        <v>1987194</v>
      </c>
      <c r="D45" s="66">
        <f t="shared" si="63"/>
        <v>14505.065693430657</v>
      </c>
      <c r="E45" s="69">
        <v>1987194</v>
      </c>
      <c r="F45" s="69"/>
      <c r="G45" s="69"/>
      <c r="H45" s="69"/>
      <c r="I45" s="69"/>
      <c r="J45" s="69">
        <v>1987194</v>
      </c>
      <c r="K45" s="68">
        <f t="shared" si="64"/>
        <v>1987194</v>
      </c>
      <c r="L45" s="159">
        <v>130</v>
      </c>
      <c r="M45" s="66">
        <f t="shared" si="65"/>
        <v>2009612</v>
      </c>
      <c r="N45" s="66">
        <f t="shared" si="66"/>
        <v>15458.553846153845</v>
      </c>
      <c r="O45" s="69">
        <v>2009612</v>
      </c>
      <c r="P45" s="69"/>
      <c r="Q45" s="69"/>
      <c r="R45" s="69"/>
      <c r="S45" s="69"/>
      <c r="T45" s="69">
        <v>2009612</v>
      </c>
      <c r="U45" s="68">
        <f t="shared" si="67"/>
        <v>2009612</v>
      </c>
      <c r="V45" s="59">
        <v>151</v>
      </c>
      <c r="W45" s="66">
        <f t="shared" si="68"/>
        <v>2179786</v>
      </c>
      <c r="X45" s="66">
        <f t="shared" si="69"/>
        <v>14435.668874172185</v>
      </c>
      <c r="Y45" s="69">
        <v>2179786</v>
      </c>
      <c r="Z45" s="69"/>
      <c r="AA45" s="69"/>
      <c r="AB45" s="69"/>
      <c r="AC45" s="69"/>
      <c r="AD45" s="69">
        <v>2179786</v>
      </c>
      <c r="AE45" s="68">
        <f t="shared" si="70"/>
        <v>2179786</v>
      </c>
      <c r="AF45" s="59">
        <v>229</v>
      </c>
      <c r="AG45" s="66">
        <f t="shared" si="71"/>
        <v>2935110</v>
      </c>
      <c r="AH45" s="66">
        <f t="shared" si="72"/>
        <v>12817.074235807861</v>
      </c>
      <c r="AI45" s="69">
        <v>2935110</v>
      </c>
      <c r="AJ45" s="69"/>
      <c r="AK45" s="69"/>
      <c r="AL45" s="69"/>
      <c r="AM45" s="69"/>
      <c r="AN45" s="69">
        <v>2935110</v>
      </c>
      <c r="AO45" s="68">
        <f t="shared" si="73"/>
        <v>2935110</v>
      </c>
      <c r="AP45" s="59">
        <v>246</v>
      </c>
      <c r="AQ45" s="66">
        <f t="shared" si="74"/>
        <v>3063869</v>
      </c>
      <c r="AR45" s="66">
        <f t="shared" si="75"/>
        <v>12454.752032520326</v>
      </c>
      <c r="AS45" s="69">
        <v>3063869</v>
      </c>
      <c r="AT45" s="69"/>
      <c r="AU45" s="69"/>
      <c r="AV45" s="69"/>
      <c r="AW45" s="69"/>
      <c r="AX45" s="69">
        <v>3063869</v>
      </c>
      <c r="AY45" s="68">
        <f t="shared" si="76"/>
        <v>3063869</v>
      </c>
      <c r="AZ45" s="356">
        <v>255</v>
      </c>
      <c r="BA45" s="66">
        <f t="shared" si="77"/>
        <v>3220093</v>
      </c>
      <c r="BB45" s="66">
        <f t="shared" si="78"/>
        <v>12627.815686274509</v>
      </c>
      <c r="BC45" s="66">
        <v>3116160</v>
      </c>
      <c r="BD45" s="66"/>
      <c r="BE45" s="66"/>
      <c r="BF45" s="66"/>
      <c r="BG45" s="66">
        <v>103933</v>
      </c>
      <c r="BH45" s="66">
        <v>3184493</v>
      </c>
      <c r="BI45" s="357">
        <f t="shared" si="79"/>
        <v>3116160</v>
      </c>
      <c r="BJ45" s="358">
        <v>314</v>
      </c>
      <c r="BK45" s="66">
        <f t="shared" si="80"/>
        <v>3232020</v>
      </c>
      <c r="BL45" s="66">
        <f t="shared" si="81"/>
        <v>10293.057324840764</v>
      </c>
      <c r="BM45" s="69">
        <v>3166725</v>
      </c>
      <c r="BN45" s="69">
        <v>65295</v>
      </c>
      <c r="BO45" s="69"/>
      <c r="BP45" s="69"/>
      <c r="BQ45" s="69"/>
      <c r="BR45" s="69">
        <v>2952167</v>
      </c>
      <c r="BS45" s="68">
        <v>2886872</v>
      </c>
      <c r="BT45" s="358">
        <v>227</v>
      </c>
      <c r="BU45" s="66">
        <f t="shared" si="83"/>
        <v>2385883</v>
      </c>
      <c r="BV45" s="66">
        <f t="shared" si="84"/>
        <v>10510.497797356828</v>
      </c>
      <c r="BW45" s="69">
        <v>2385883</v>
      </c>
      <c r="BX45" s="69"/>
      <c r="BY45" s="69"/>
      <c r="BZ45" s="69"/>
      <c r="CA45" s="69"/>
      <c r="CB45" s="69">
        <v>2385883</v>
      </c>
      <c r="CC45" s="68">
        <f t="shared" si="85"/>
        <v>2385883</v>
      </c>
      <c r="CD45" s="244">
        <v>235</v>
      </c>
      <c r="CE45" s="66">
        <f t="shared" si="86"/>
        <v>2020368</v>
      </c>
      <c r="CF45" s="66">
        <f t="shared" si="87"/>
        <v>8597.3106382978731</v>
      </c>
      <c r="CG45" s="195">
        <v>2020368</v>
      </c>
      <c r="CH45" s="195"/>
      <c r="CI45" s="195"/>
      <c r="CJ45" s="195"/>
      <c r="CK45" s="195"/>
      <c r="CL45" s="195">
        <v>2020368</v>
      </c>
      <c r="CM45" s="403">
        <f t="shared" si="88"/>
        <v>2020368</v>
      </c>
    </row>
    <row r="46" spans="1:91" s="58" customFormat="1" ht="15.95" customHeight="1">
      <c r="A46" s="143" t="s">
        <v>179</v>
      </c>
      <c r="B46" s="93">
        <v>9</v>
      </c>
      <c r="C46" s="66">
        <f t="shared" si="62"/>
        <v>153577</v>
      </c>
      <c r="D46" s="66">
        <f t="shared" si="63"/>
        <v>17064.111111111109</v>
      </c>
      <c r="E46" s="69">
        <v>153577</v>
      </c>
      <c r="F46" s="69"/>
      <c r="G46" s="69"/>
      <c r="H46" s="69"/>
      <c r="I46" s="69"/>
      <c r="J46" s="69"/>
      <c r="K46" s="68">
        <f t="shared" si="64"/>
        <v>0</v>
      </c>
      <c r="L46" s="159">
        <v>6</v>
      </c>
      <c r="M46" s="66">
        <f t="shared" si="65"/>
        <v>106800</v>
      </c>
      <c r="N46" s="66">
        <f t="shared" si="66"/>
        <v>17800</v>
      </c>
      <c r="O46" s="69">
        <v>106800</v>
      </c>
      <c r="P46" s="69"/>
      <c r="Q46" s="69"/>
      <c r="R46" s="69"/>
      <c r="S46" s="69"/>
      <c r="T46" s="69">
        <v>0</v>
      </c>
      <c r="U46" s="68">
        <f t="shared" si="67"/>
        <v>0</v>
      </c>
      <c r="V46" s="59">
        <v>1</v>
      </c>
      <c r="W46" s="66">
        <f t="shared" si="68"/>
        <v>20500</v>
      </c>
      <c r="X46" s="66">
        <f t="shared" si="69"/>
        <v>20500</v>
      </c>
      <c r="Y46" s="69">
        <v>20500</v>
      </c>
      <c r="Z46" s="69"/>
      <c r="AA46" s="69"/>
      <c r="AB46" s="69"/>
      <c r="AC46" s="69"/>
      <c r="AD46" s="69">
        <v>0</v>
      </c>
      <c r="AE46" s="68">
        <f t="shared" si="70"/>
        <v>0</v>
      </c>
      <c r="AF46" s="59">
        <v>0</v>
      </c>
      <c r="AG46" s="66">
        <f t="shared" si="71"/>
        <v>0</v>
      </c>
      <c r="AH46" s="66">
        <f t="shared" si="72"/>
        <v>0</v>
      </c>
      <c r="AI46" s="69"/>
      <c r="AJ46" s="69"/>
      <c r="AK46" s="69">
        <v>0</v>
      </c>
      <c r="AL46" s="69"/>
      <c r="AM46" s="69"/>
      <c r="AN46" s="69"/>
      <c r="AO46" s="68">
        <f t="shared" si="73"/>
        <v>0</v>
      </c>
      <c r="AP46" s="59">
        <v>0</v>
      </c>
      <c r="AQ46" s="66">
        <f t="shared" si="74"/>
        <v>0</v>
      </c>
      <c r="AR46" s="66">
        <f t="shared" si="75"/>
        <v>0</v>
      </c>
      <c r="AS46" s="69"/>
      <c r="AT46" s="69"/>
      <c r="AU46" s="69"/>
      <c r="AV46" s="69"/>
      <c r="AW46" s="69"/>
      <c r="AX46" s="69">
        <v>0</v>
      </c>
      <c r="AY46" s="68">
        <f t="shared" si="76"/>
        <v>0</v>
      </c>
      <c r="AZ46" s="356">
        <v>1</v>
      </c>
      <c r="BA46" s="66">
        <f t="shared" si="77"/>
        <v>12500</v>
      </c>
      <c r="BB46" s="66">
        <f t="shared" si="78"/>
        <v>12500</v>
      </c>
      <c r="BC46" s="66">
        <v>12500</v>
      </c>
      <c r="BD46" s="66"/>
      <c r="BE46" s="66"/>
      <c r="BF46" s="66"/>
      <c r="BG46" s="66"/>
      <c r="BH46" s="66">
        <v>0</v>
      </c>
      <c r="BI46" s="357">
        <f t="shared" si="79"/>
        <v>0</v>
      </c>
      <c r="BJ46" s="358">
        <v>3</v>
      </c>
      <c r="BK46" s="66">
        <f t="shared" si="80"/>
        <v>33978</v>
      </c>
      <c r="BL46" s="66">
        <f t="shared" si="81"/>
        <v>11326</v>
      </c>
      <c r="BM46" s="69">
        <v>33978</v>
      </c>
      <c r="BN46" s="69"/>
      <c r="BO46" s="69"/>
      <c r="BP46" s="69"/>
      <c r="BQ46" s="69"/>
      <c r="BR46" s="69">
        <v>0</v>
      </c>
      <c r="BS46" s="68">
        <f t="shared" si="82"/>
        <v>0</v>
      </c>
      <c r="BT46" s="358">
        <v>4</v>
      </c>
      <c r="BU46" s="66">
        <f t="shared" si="83"/>
        <v>42170</v>
      </c>
      <c r="BV46" s="66">
        <f t="shared" si="84"/>
        <v>10542.5</v>
      </c>
      <c r="BW46" s="69">
        <v>42170</v>
      </c>
      <c r="BX46" s="69"/>
      <c r="BY46" s="69"/>
      <c r="BZ46" s="69"/>
      <c r="CA46" s="69"/>
      <c r="CB46" s="69">
        <v>0</v>
      </c>
      <c r="CC46" s="68">
        <f t="shared" si="85"/>
        <v>0</v>
      </c>
      <c r="CD46" s="244">
        <v>4</v>
      </c>
      <c r="CE46" s="66">
        <f t="shared" si="86"/>
        <v>46920</v>
      </c>
      <c r="CF46" s="66">
        <f t="shared" si="87"/>
        <v>11730</v>
      </c>
      <c r="CG46" s="195">
        <v>46920</v>
      </c>
      <c r="CH46" s="195"/>
      <c r="CI46" s="195"/>
      <c r="CJ46" s="195"/>
      <c r="CK46" s="195"/>
      <c r="CL46" s="195">
        <v>0</v>
      </c>
      <c r="CM46" s="403">
        <f t="shared" si="88"/>
        <v>0</v>
      </c>
    </row>
    <row r="47" spans="1:91" s="58" customFormat="1" ht="15.95" customHeight="1">
      <c r="A47" s="143" t="s">
        <v>269</v>
      </c>
      <c r="B47" s="93"/>
      <c r="C47" s="66">
        <f t="shared" si="62"/>
        <v>0</v>
      </c>
      <c r="D47" s="66">
        <f t="shared" si="63"/>
        <v>0</v>
      </c>
      <c r="E47" s="69"/>
      <c r="F47" s="69"/>
      <c r="G47" s="69"/>
      <c r="H47" s="69"/>
      <c r="I47" s="69"/>
      <c r="J47" s="69"/>
      <c r="K47" s="68">
        <f t="shared" si="64"/>
        <v>0</v>
      </c>
      <c r="L47" s="159"/>
      <c r="M47" s="66">
        <f t="shared" si="65"/>
        <v>0</v>
      </c>
      <c r="N47" s="66">
        <f t="shared" si="66"/>
        <v>0</v>
      </c>
      <c r="O47" s="69"/>
      <c r="P47" s="69"/>
      <c r="Q47" s="69"/>
      <c r="R47" s="69"/>
      <c r="S47" s="69"/>
      <c r="T47" s="69"/>
      <c r="U47" s="68">
        <f t="shared" si="67"/>
        <v>0</v>
      </c>
      <c r="V47" s="59">
        <v>0</v>
      </c>
      <c r="W47" s="66">
        <f>SUM(Y47:AC47)</f>
        <v>0</v>
      </c>
      <c r="X47" s="66">
        <f>IFERROR(W47/V47,0)</f>
        <v>0</v>
      </c>
      <c r="Y47" s="69">
        <v>0</v>
      </c>
      <c r="Z47" s="69"/>
      <c r="AA47" s="69"/>
      <c r="AB47" s="69"/>
      <c r="AC47" s="69"/>
      <c r="AD47" s="69">
        <v>0</v>
      </c>
      <c r="AE47" s="68">
        <f t="shared" si="70"/>
        <v>0</v>
      </c>
      <c r="AF47" s="59">
        <v>89</v>
      </c>
      <c r="AG47" s="66">
        <f>SUM(AI47:AM47)</f>
        <v>319222</v>
      </c>
      <c r="AH47" s="66">
        <f>IFERROR(AG47/AF47,0)</f>
        <v>3586.7640449438204</v>
      </c>
      <c r="AI47" s="69"/>
      <c r="AJ47" s="69"/>
      <c r="AK47" s="69">
        <v>0</v>
      </c>
      <c r="AL47" s="69"/>
      <c r="AM47" s="69">
        <v>319222</v>
      </c>
      <c r="AN47" s="69">
        <v>295722</v>
      </c>
      <c r="AO47" s="68">
        <f t="shared" si="73"/>
        <v>0</v>
      </c>
      <c r="AP47" s="59">
        <v>172</v>
      </c>
      <c r="AQ47" s="66">
        <f>SUM(AS47:AW47)</f>
        <v>550580</v>
      </c>
      <c r="AR47" s="66">
        <f>IFERROR(AQ47/AP47,0)</f>
        <v>3201.046511627907</v>
      </c>
      <c r="AS47" s="69"/>
      <c r="AT47" s="69"/>
      <c r="AU47" s="69"/>
      <c r="AV47" s="69"/>
      <c r="AW47" s="69">
        <v>550580</v>
      </c>
      <c r="AX47" s="69">
        <v>466355</v>
      </c>
      <c r="AY47" s="68">
        <f t="shared" si="76"/>
        <v>0</v>
      </c>
      <c r="AZ47" s="356">
        <v>104</v>
      </c>
      <c r="BA47" s="66">
        <f t="shared" si="77"/>
        <v>556422</v>
      </c>
      <c r="BB47" s="66">
        <f t="shared" si="78"/>
        <v>5350.2115384615381</v>
      </c>
      <c r="BC47" s="66"/>
      <c r="BD47" s="66"/>
      <c r="BE47" s="66"/>
      <c r="BF47" s="66"/>
      <c r="BG47" s="66">
        <v>556422</v>
      </c>
      <c r="BH47" s="66">
        <v>493781</v>
      </c>
      <c r="BI47" s="357">
        <f t="shared" si="79"/>
        <v>0</v>
      </c>
      <c r="BJ47" s="358">
        <v>80</v>
      </c>
      <c r="BK47" s="66">
        <f t="shared" si="80"/>
        <v>420280</v>
      </c>
      <c r="BL47" s="66">
        <f t="shared" si="81"/>
        <v>5253.5</v>
      </c>
      <c r="BM47" s="69"/>
      <c r="BN47" s="69"/>
      <c r="BO47" s="69"/>
      <c r="BP47" s="69"/>
      <c r="BQ47" s="69">
        <v>420280</v>
      </c>
      <c r="BR47" s="69">
        <v>377500</v>
      </c>
      <c r="BS47" s="68">
        <f t="shared" si="82"/>
        <v>0</v>
      </c>
      <c r="BT47" s="358">
        <v>193</v>
      </c>
      <c r="BU47" s="66">
        <f t="shared" si="83"/>
        <v>692097</v>
      </c>
      <c r="BV47" s="66">
        <f t="shared" si="84"/>
        <v>3585.9948186528495</v>
      </c>
      <c r="BW47" s="69">
        <v>64559</v>
      </c>
      <c r="BX47" s="69"/>
      <c r="BY47" s="69"/>
      <c r="BZ47" s="69"/>
      <c r="CA47" s="69">
        <v>627538</v>
      </c>
      <c r="CB47" s="69">
        <v>554904</v>
      </c>
      <c r="CC47" s="68">
        <f t="shared" si="85"/>
        <v>64559</v>
      </c>
      <c r="CD47" s="244">
        <v>338</v>
      </c>
      <c r="CE47" s="66">
        <f t="shared" si="86"/>
        <v>959108</v>
      </c>
      <c r="CF47" s="66">
        <f t="shared" si="87"/>
        <v>2837.5976331360948</v>
      </c>
      <c r="CG47" s="195"/>
      <c r="CH47" s="195"/>
      <c r="CI47" s="195"/>
      <c r="CJ47" s="195"/>
      <c r="CK47" s="195">
        <v>959108</v>
      </c>
      <c r="CL47" s="195">
        <v>817064</v>
      </c>
      <c r="CM47" s="403">
        <f t="shared" si="88"/>
        <v>0</v>
      </c>
    </row>
    <row r="48" spans="1:91" s="58" customFormat="1" ht="15.95" customHeight="1">
      <c r="A48" s="143" t="s">
        <v>268</v>
      </c>
      <c r="B48" s="93"/>
      <c r="C48" s="66">
        <f t="shared" ref="C48:C52" si="89">SUM(E48:I48)</f>
        <v>0</v>
      </c>
      <c r="D48" s="66">
        <f t="shared" si="63"/>
        <v>0</v>
      </c>
      <c r="E48" s="69"/>
      <c r="F48" s="69"/>
      <c r="G48" s="69"/>
      <c r="H48" s="69"/>
      <c r="I48" s="69"/>
      <c r="J48" s="69"/>
      <c r="K48" s="68">
        <f t="shared" si="64"/>
        <v>0</v>
      </c>
      <c r="L48" s="159"/>
      <c r="M48" s="66">
        <f t="shared" si="65"/>
        <v>0</v>
      </c>
      <c r="N48" s="66">
        <f t="shared" si="66"/>
        <v>0</v>
      </c>
      <c r="O48" s="69"/>
      <c r="P48" s="69"/>
      <c r="Q48" s="69"/>
      <c r="R48" s="69"/>
      <c r="S48" s="69"/>
      <c r="T48" s="69"/>
      <c r="U48" s="68">
        <f t="shared" si="67"/>
        <v>0</v>
      </c>
      <c r="V48" s="59"/>
      <c r="W48" s="66">
        <f t="shared" ref="W48:W52" si="90">SUM(Y48:AC48)</f>
        <v>0</v>
      </c>
      <c r="X48" s="66">
        <f t="shared" ref="X48:X52" si="91">IFERROR(W48/V48,0)</f>
        <v>0</v>
      </c>
      <c r="Y48" s="69"/>
      <c r="Z48" s="69"/>
      <c r="AA48" s="69"/>
      <c r="AB48" s="69"/>
      <c r="AC48" s="69"/>
      <c r="AD48" s="69"/>
      <c r="AE48" s="68">
        <f t="shared" si="70"/>
        <v>0</v>
      </c>
      <c r="AF48" s="59"/>
      <c r="AG48" s="66">
        <f t="shared" ref="AG48:AG53" si="92">SUM(AI48:AM48)</f>
        <v>0</v>
      </c>
      <c r="AH48" s="66">
        <f t="shared" ref="AH48:AH53" si="93">IFERROR(AG48/AF48,0)</f>
        <v>0</v>
      </c>
      <c r="AI48" s="69"/>
      <c r="AJ48" s="69"/>
      <c r="AK48" s="69"/>
      <c r="AL48" s="69"/>
      <c r="AM48" s="69"/>
      <c r="AN48" s="69"/>
      <c r="AO48" s="68">
        <f t="shared" si="73"/>
        <v>0</v>
      </c>
      <c r="AP48" s="59">
        <v>167</v>
      </c>
      <c r="AQ48" s="66">
        <f t="shared" ref="AQ48:AQ53" si="94">SUM(AS48:AW48)</f>
        <v>479860</v>
      </c>
      <c r="AR48" s="66">
        <f t="shared" ref="AR48:AR53" si="95">IFERROR(AQ48/AP48,0)</f>
        <v>2873.4131736526947</v>
      </c>
      <c r="AS48" s="69">
        <v>479860</v>
      </c>
      <c r="AT48" s="69"/>
      <c r="AU48" s="69"/>
      <c r="AV48" s="69"/>
      <c r="AW48" s="69"/>
      <c r="AX48" s="69">
        <v>203860</v>
      </c>
      <c r="AY48" s="68">
        <f t="shared" si="76"/>
        <v>203860</v>
      </c>
      <c r="AZ48" s="356">
        <v>33</v>
      </c>
      <c r="BA48" s="66">
        <f t="shared" si="77"/>
        <v>133408</v>
      </c>
      <c r="BB48" s="66">
        <f t="shared" si="78"/>
        <v>4042.6666666666665</v>
      </c>
      <c r="BC48" s="66">
        <v>122808</v>
      </c>
      <c r="BD48" s="66">
        <v>10600</v>
      </c>
      <c r="BE48" s="66"/>
      <c r="BF48" s="66"/>
      <c r="BG48" s="66"/>
      <c r="BH48" s="66">
        <v>52841</v>
      </c>
      <c r="BI48" s="357">
        <f t="shared" si="79"/>
        <v>52841</v>
      </c>
      <c r="BJ48" s="358">
        <v>36</v>
      </c>
      <c r="BK48" s="66">
        <f t="shared" si="80"/>
        <v>167594</v>
      </c>
      <c r="BL48" s="66">
        <f t="shared" si="81"/>
        <v>4655.3888888888887</v>
      </c>
      <c r="BM48" s="69">
        <v>150394</v>
      </c>
      <c r="BN48" s="69">
        <v>17200</v>
      </c>
      <c r="BO48" s="69"/>
      <c r="BP48" s="69"/>
      <c r="BQ48" s="69"/>
      <c r="BR48" s="69">
        <v>99152</v>
      </c>
      <c r="BS48" s="68">
        <v>83152</v>
      </c>
      <c r="BT48" s="358">
        <v>125</v>
      </c>
      <c r="BU48" s="66">
        <f t="shared" si="83"/>
        <v>1307196</v>
      </c>
      <c r="BV48" s="66">
        <f t="shared" si="84"/>
        <v>10457.567999999999</v>
      </c>
      <c r="BW48" s="69">
        <v>437689</v>
      </c>
      <c r="BX48" s="69">
        <v>869507</v>
      </c>
      <c r="BY48" s="69"/>
      <c r="BZ48" s="69"/>
      <c r="CA48" s="69"/>
      <c r="CB48" s="69">
        <v>987629</v>
      </c>
      <c r="CC48" s="68">
        <v>224608</v>
      </c>
      <c r="CD48" s="244">
        <v>132</v>
      </c>
      <c r="CE48" s="66">
        <f t="shared" si="86"/>
        <v>1464709</v>
      </c>
      <c r="CF48" s="66">
        <f t="shared" si="87"/>
        <v>11096.280303030304</v>
      </c>
      <c r="CG48" s="195">
        <v>1424784</v>
      </c>
      <c r="CH48" s="195">
        <v>39925</v>
      </c>
      <c r="CI48" s="195"/>
      <c r="CJ48" s="195"/>
      <c r="CK48" s="195"/>
      <c r="CL48" s="195">
        <v>901895</v>
      </c>
      <c r="CM48" s="403">
        <f t="shared" si="88"/>
        <v>901895</v>
      </c>
    </row>
    <row r="49" spans="1:91" s="58" customFormat="1" ht="15.95" customHeight="1">
      <c r="A49" s="404" t="s">
        <v>333</v>
      </c>
      <c r="B49" s="93"/>
      <c r="C49" s="66">
        <f t="shared" ref="C49" si="96">SUM(E49:I49)</f>
        <v>0</v>
      </c>
      <c r="D49" s="66">
        <f t="shared" ref="D49:D50" si="97">IFERROR(C49/B49,0)</f>
        <v>0</v>
      </c>
      <c r="E49" s="69"/>
      <c r="F49" s="69"/>
      <c r="G49" s="69"/>
      <c r="H49" s="69"/>
      <c r="I49" s="69"/>
      <c r="J49" s="69"/>
      <c r="K49" s="68">
        <f t="shared" ref="K49:K50" si="98">IF(J49=0,0,(IF(E49&lt;=J49,E49,J49)))</f>
        <v>0</v>
      </c>
      <c r="L49" s="159"/>
      <c r="M49" s="66">
        <f t="shared" ref="M49:M50" si="99">SUM(O49:S49)</f>
        <v>0</v>
      </c>
      <c r="N49" s="66">
        <f t="shared" ref="N49:N50" si="100">IFERROR(M49/L49,0)</f>
        <v>0</v>
      </c>
      <c r="O49" s="69"/>
      <c r="P49" s="69"/>
      <c r="Q49" s="69"/>
      <c r="R49" s="69"/>
      <c r="S49" s="69"/>
      <c r="T49" s="69"/>
      <c r="U49" s="68">
        <f t="shared" ref="U49:U50" si="101">IF(T49=0,0,(IF(O49&lt;=T49,O49,T49)))</f>
        <v>0</v>
      </c>
      <c r="V49" s="59"/>
      <c r="W49" s="66">
        <f t="shared" ref="W49" si="102">SUM(Y49:AC49)</f>
        <v>0</v>
      </c>
      <c r="X49" s="66">
        <f t="shared" ref="X49:X50" si="103">IFERROR(W49/V49,0)</f>
        <v>0</v>
      </c>
      <c r="Y49" s="69"/>
      <c r="Z49" s="69"/>
      <c r="AA49" s="69"/>
      <c r="AB49" s="69"/>
      <c r="AC49" s="69"/>
      <c r="AD49" s="69"/>
      <c r="AE49" s="68">
        <f t="shared" ref="AE49:AE50" si="104">IF(AD49=0,0,(IF(Y49&lt;=AD49,Y49,AD49)))</f>
        <v>0</v>
      </c>
      <c r="AF49" s="59"/>
      <c r="AG49" s="66">
        <f t="shared" ref="AG49:AG50" si="105">SUM(AI49:AM49)</f>
        <v>0</v>
      </c>
      <c r="AH49" s="66">
        <f t="shared" ref="AH49:AH50" si="106">IFERROR(AG49/AF49,0)</f>
        <v>0</v>
      </c>
      <c r="AI49" s="69"/>
      <c r="AJ49" s="69"/>
      <c r="AK49" s="69"/>
      <c r="AL49" s="69"/>
      <c r="AM49" s="69"/>
      <c r="AN49" s="69"/>
      <c r="AO49" s="68">
        <f t="shared" ref="AO49:AO50" si="107">IF(AN49=0,0,(IF(AI49&lt;=AN49,AI49,AN49)))</f>
        <v>0</v>
      </c>
      <c r="AP49" s="59"/>
      <c r="AQ49" s="66">
        <f t="shared" ref="AQ49:AQ50" si="108">SUM(AS49:AW49)</f>
        <v>0</v>
      </c>
      <c r="AR49" s="66">
        <f t="shared" ref="AR49:AR50" si="109">IFERROR(AQ49/AP49,0)</f>
        <v>0</v>
      </c>
      <c r="AS49" s="69"/>
      <c r="AT49" s="69"/>
      <c r="AU49" s="69"/>
      <c r="AV49" s="69"/>
      <c r="AW49" s="69"/>
      <c r="AX49" s="69"/>
      <c r="AY49" s="68">
        <f t="shared" ref="AY49:AY50" si="110">IF(AX49=0,0,(IF(AS49&lt;=AX49,AS49,AX49)))</f>
        <v>0</v>
      </c>
      <c r="AZ49" s="356"/>
      <c r="BA49" s="66">
        <f t="shared" si="77"/>
        <v>0</v>
      </c>
      <c r="BB49" s="66">
        <f t="shared" si="78"/>
        <v>0</v>
      </c>
      <c r="BC49" s="66"/>
      <c r="BD49" s="66"/>
      <c r="BE49" s="66"/>
      <c r="BF49" s="66"/>
      <c r="BG49" s="66"/>
      <c r="BH49" s="66"/>
      <c r="BI49" s="357">
        <f t="shared" si="79"/>
        <v>0</v>
      </c>
      <c r="BJ49" s="358"/>
      <c r="BK49" s="66"/>
      <c r="BL49" s="66"/>
      <c r="BM49" s="69"/>
      <c r="BN49" s="69"/>
      <c r="BO49" s="69"/>
      <c r="BP49" s="69"/>
      <c r="BQ49" s="69"/>
      <c r="BR49" s="69"/>
      <c r="BS49" s="68">
        <f t="shared" si="82"/>
        <v>0</v>
      </c>
      <c r="BT49" s="244"/>
      <c r="BU49" s="66">
        <f t="shared" si="83"/>
        <v>0</v>
      </c>
      <c r="BV49" s="66">
        <f t="shared" si="84"/>
        <v>0</v>
      </c>
      <c r="BW49" s="195"/>
      <c r="BX49" s="195"/>
      <c r="BY49" s="195"/>
      <c r="BZ49" s="195"/>
      <c r="CA49" s="195"/>
      <c r="CB49" s="195"/>
      <c r="CC49" s="68">
        <f t="shared" ref="CC49:CC53" si="111">IF(CB49=0,0,(IF(BW49&lt;=CB49,BW49,CB49)))</f>
        <v>0</v>
      </c>
      <c r="CD49" s="244">
        <v>11</v>
      </c>
      <c r="CE49" s="66">
        <f t="shared" si="86"/>
        <v>106919</v>
      </c>
      <c r="CF49" s="66">
        <f t="shared" si="87"/>
        <v>9719.9090909090901</v>
      </c>
      <c r="CG49" s="195"/>
      <c r="CH49" s="195"/>
      <c r="CI49" s="195">
        <v>106919</v>
      </c>
      <c r="CJ49" s="195"/>
      <c r="CK49" s="195"/>
      <c r="CL49" s="195">
        <v>106919</v>
      </c>
      <c r="CM49" s="403">
        <f t="shared" si="88"/>
        <v>0</v>
      </c>
    </row>
    <row r="50" spans="1:91" s="58" customFormat="1" ht="15.95" customHeight="1">
      <c r="A50" s="367"/>
      <c r="B50" s="93"/>
      <c r="C50" s="66">
        <f t="shared" ref="C50" si="112">SUM(E50:I50)</f>
        <v>0</v>
      </c>
      <c r="D50" s="66">
        <f t="shared" si="97"/>
        <v>0</v>
      </c>
      <c r="E50" s="69"/>
      <c r="F50" s="69"/>
      <c r="G50" s="69"/>
      <c r="H50" s="69"/>
      <c r="I50" s="69"/>
      <c r="J50" s="69"/>
      <c r="K50" s="68">
        <f t="shared" si="98"/>
        <v>0</v>
      </c>
      <c r="L50" s="159"/>
      <c r="M50" s="66">
        <f t="shared" si="99"/>
        <v>0</v>
      </c>
      <c r="N50" s="66">
        <f t="shared" si="100"/>
        <v>0</v>
      </c>
      <c r="O50" s="69"/>
      <c r="P50" s="69"/>
      <c r="Q50" s="69"/>
      <c r="R50" s="69"/>
      <c r="S50" s="69"/>
      <c r="T50" s="69"/>
      <c r="U50" s="68">
        <f t="shared" si="101"/>
        <v>0</v>
      </c>
      <c r="V50" s="59"/>
      <c r="W50" s="66">
        <f t="shared" ref="W50" si="113">SUM(Y50:AC50)</f>
        <v>0</v>
      </c>
      <c r="X50" s="66">
        <f t="shared" si="103"/>
        <v>0</v>
      </c>
      <c r="Y50" s="69"/>
      <c r="Z50" s="69"/>
      <c r="AA50" s="69"/>
      <c r="AB50" s="69"/>
      <c r="AC50" s="69"/>
      <c r="AD50" s="69"/>
      <c r="AE50" s="68">
        <f t="shared" si="104"/>
        <v>0</v>
      </c>
      <c r="AF50" s="59"/>
      <c r="AG50" s="66">
        <f t="shared" si="105"/>
        <v>0</v>
      </c>
      <c r="AH50" s="66">
        <f t="shared" si="106"/>
        <v>0</v>
      </c>
      <c r="AI50" s="69"/>
      <c r="AJ50" s="69"/>
      <c r="AK50" s="69"/>
      <c r="AL50" s="69"/>
      <c r="AM50" s="69"/>
      <c r="AN50" s="69"/>
      <c r="AO50" s="68">
        <f t="shared" si="107"/>
        <v>0</v>
      </c>
      <c r="AP50" s="59"/>
      <c r="AQ50" s="66">
        <f t="shared" si="108"/>
        <v>0</v>
      </c>
      <c r="AR50" s="66">
        <f t="shared" si="109"/>
        <v>0</v>
      </c>
      <c r="AS50" s="69"/>
      <c r="AT50" s="69"/>
      <c r="AU50" s="69"/>
      <c r="AV50" s="69"/>
      <c r="AW50" s="69"/>
      <c r="AX50" s="69"/>
      <c r="AY50" s="68">
        <f t="shared" si="110"/>
        <v>0</v>
      </c>
      <c r="AZ50" s="356"/>
      <c r="BA50" s="66">
        <f t="shared" ref="BA50:BA51" si="114">SUM(BC50:BG50)</f>
        <v>0</v>
      </c>
      <c r="BB50" s="66">
        <f t="shared" ref="BB50:BB53" si="115">IFERROR(BA50/AZ50,0)</f>
        <v>0</v>
      </c>
      <c r="BC50" s="66"/>
      <c r="BD50" s="66"/>
      <c r="BE50" s="66"/>
      <c r="BF50" s="66"/>
      <c r="BG50" s="66"/>
      <c r="BH50" s="66"/>
      <c r="BI50" s="357">
        <f t="shared" si="79"/>
        <v>0</v>
      </c>
      <c r="BJ50" s="358"/>
      <c r="BK50" s="66"/>
      <c r="BL50" s="66"/>
      <c r="BM50" s="69"/>
      <c r="BN50" s="69"/>
      <c r="BO50" s="69"/>
      <c r="BP50" s="69"/>
      <c r="BQ50" s="69"/>
      <c r="BR50" s="69"/>
      <c r="BS50" s="68">
        <f t="shared" si="82"/>
        <v>0</v>
      </c>
      <c r="BT50" s="358"/>
      <c r="BU50" s="66">
        <f t="shared" si="83"/>
        <v>0</v>
      </c>
      <c r="BV50" s="66">
        <f t="shared" si="84"/>
        <v>0</v>
      </c>
      <c r="BW50" s="69"/>
      <c r="BX50" s="69"/>
      <c r="BY50" s="69"/>
      <c r="BZ50" s="69"/>
      <c r="CA50" s="69"/>
      <c r="CB50" s="69"/>
      <c r="CC50" s="68">
        <f t="shared" si="111"/>
        <v>0</v>
      </c>
      <c r="CD50" s="244"/>
      <c r="CE50" s="66">
        <f t="shared" si="86"/>
        <v>0</v>
      </c>
      <c r="CF50" s="66">
        <f t="shared" si="87"/>
        <v>0</v>
      </c>
      <c r="CG50" s="195"/>
      <c r="CH50" s="195"/>
      <c r="CI50" s="195"/>
      <c r="CJ50" s="195"/>
      <c r="CK50" s="195"/>
      <c r="CL50" s="195"/>
      <c r="CM50" s="403">
        <f t="shared" si="88"/>
        <v>0</v>
      </c>
    </row>
    <row r="51" spans="1:91" s="58" customFormat="1" ht="15.95" customHeight="1">
      <c r="A51" s="367"/>
      <c r="B51" s="93"/>
      <c r="C51" s="66">
        <f t="shared" ref="C51" si="116">SUM(E51:I51)</f>
        <v>0</v>
      </c>
      <c r="D51" s="66">
        <f t="shared" ref="D51" si="117">IFERROR(C51/B51,0)</f>
        <v>0</v>
      </c>
      <c r="E51" s="69"/>
      <c r="F51" s="69"/>
      <c r="G51" s="69"/>
      <c r="H51" s="69"/>
      <c r="I51" s="69"/>
      <c r="J51" s="69"/>
      <c r="K51" s="68">
        <f t="shared" ref="K51" si="118">IF(J51=0,0,(IF(E51&lt;=J51,E51,J51)))</f>
        <v>0</v>
      </c>
      <c r="L51" s="159"/>
      <c r="M51" s="66">
        <f t="shared" ref="M51" si="119">SUM(O51:S51)</f>
        <v>0</v>
      </c>
      <c r="N51" s="66">
        <f t="shared" ref="N51" si="120">IFERROR(M51/L51,0)</f>
        <v>0</v>
      </c>
      <c r="O51" s="69"/>
      <c r="P51" s="69"/>
      <c r="Q51" s="69"/>
      <c r="R51" s="69"/>
      <c r="S51" s="69"/>
      <c r="T51" s="69"/>
      <c r="U51" s="68">
        <f t="shared" ref="U51" si="121">IF(T51=0,0,(IF(O51&lt;=T51,O51,T51)))</f>
        <v>0</v>
      </c>
      <c r="V51" s="59"/>
      <c r="W51" s="66">
        <f t="shared" ref="W51" si="122">SUM(Y51:AC51)</f>
        <v>0</v>
      </c>
      <c r="X51" s="66">
        <f t="shared" ref="X51" si="123">IFERROR(W51/V51,0)</f>
        <v>0</v>
      </c>
      <c r="Y51" s="69"/>
      <c r="Z51" s="69"/>
      <c r="AA51" s="69"/>
      <c r="AB51" s="69"/>
      <c r="AC51" s="69"/>
      <c r="AD51" s="69"/>
      <c r="AE51" s="68">
        <f t="shared" ref="AE51" si="124">IF(AD51=0,0,(IF(Y51&lt;=AD51,Y51,AD51)))</f>
        <v>0</v>
      </c>
      <c r="AF51" s="59"/>
      <c r="AG51" s="66">
        <f t="shared" ref="AG51" si="125">SUM(AI51:AM51)</f>
        <v>0</v>
      </c>
      <c r="AH51" s="66">
        <f t="shared" ref="AH51" si="126">IFERROR(AG51/AF51,0)</f>
        <v>0</v>
      </c>
      <c r="AI51" s="69"/>
      <c r="AJ51" s="69"/>
      <c r="AK51" s="69"/>
      <c r="AL51" s="69"/>
      <c r="AM51" s="69"/>
      <c r="AN51" s="69"/>
      <c r="AO51" s="68">
        <f t="shared" ref="AO51" si="127">IF(AN51=0,0,(IF(AI51&lt;=AN51,AI51,AN51)))</f>
        <v>0</v>
      </c>
      <c r="AP51" s="59"/>
      <c r="AQ51" s="66">
        <f t="shared" ref="AQ51" si="128">SUM(AS51:AW51)</f>
        <v>0</v>
      </c>
      <c r="AR51" s="66">
        <f t="shared" ref="AR51" si="129">IFERROR(AQ51/AP51,0)</f>
        <v>0</v>
      </c>
      <c r="AS51" s="69"/>
      <c r="AT51" s="69"/>
      <c r="AU51" s="69"/>
      <c r="AV51" s="69"/>
      <c r="AW51" s="69"/>
      <c r="AX51" s="69"/>
      <c r="AY51" s="68">
        <f t="shared" ref="AY51" si="130">IF(AX51=0,0,(IF(AS51&lt;=AX51,AS51,AX51)))</f>
        <v>0</v>
      </c>
      <c r="AZ51" s="356"/>
      <c r="BA51" s="66">
        <f t="shared" si="114"/>
        <v>0</v>
      </c>
      <c r="BB51" s="66">
        <f t="shared" si="115"/>
        <v>0</v>
      </c>
      <c r="BC51" s="66"/>
      <c r="BD51" s="66"/>
      <c r="BE51" s="66"/>
      <c r="BF51" s="66"/>
      <c r="BG51" s="66"/>
      <c r="BH51" s="66"/>
      <c r="BI51" s="357">
        <f t="shared" si="79"/>
        <v>0</v>
      </c>
      <c r="BJ51" s="358"/>
      <c r="BK51" s="66"/>
      <c r="BL51" s="66"/>
      <c r="BM51" s="69"/>
      <c r="BN51" s="69"/>
      <c r="BO51" s="69"/>
      <c r="BP51" s="69"/>
      <c r="BQ51" s="69"/>
      <c r="BR51" s="69"/>
      <c r="BS51" s="68">
        <f t="shared" si="82"/>
        <v>0</v>
      </c>
      <c r="BT51" s="358"/>
      <c r="BU51" s="66">
        <f t="shared" si="83"/>
        <v>0</v>
      </c>
      <c r="BV51" s="66">
        <f t="shared" si="84"/>
        <v>0</v>
      </c>
      <c r="BW51" s="69"/>
      <c r="BX51" s="69"/>
      <c r="BY51" s="69"/>
      <c r="BZ51" s="69"/>
      <c r="CA51" s="69"/>
      <c r="CB51" s="69"/>
      <c r="CC51" s="68">
        <f t="shared" si="111"/>
        <v>0</v>
      </c>
      <c r="CD51" s="244"/>
      <c r="CE51" s="66">
        <f t="shared" si="86"/>
        <v>0</v>
      </c>
      <c r="CF51" s="66">
        <f t="shared" si="87"/>
        <v>0</v>
      </c>
      <c r="CG51" s="195"/>
      <c r="CH51" s="195"/>
      <c r="CI51" s="195"/>
      <c r="CJ51" s="195"/>
      <c r="CK51" s="195"/>
      <c r="CL51" s="195"/>
      <c r="CM51" s="403">
        <f t="shared" si="88"/>
        <v>0</v>
      </c>
    </row>
    <row r="52" spans="1:91" s="58" customFormat="1" ht="15.95" customHeight="1">
      <c r="A52" s="367"/>
      <c r="B52" s="93"/>
      <c r="C52" s="66">
        <f t="shared" si="89"/>
        <v>0</v>
      </c>
      <c r="D52" s="66">
        <f t="shared" si="63"/>
        <v>0</v>
      </c>
      <c r="E52" s="69"/>
      <c r="F52" s="69"/>
      <c r="G52" s="69"/>
      <c r="H52" s="69"/>
      <c r="I52" s="69"/>
      <c r="J52" s="69"/>
      <c r="K52" s="68">
        <f t="shared" si="64"/>
        <v>0</v>
      </c>
      <c r="L52" s="159"/>
      <c r="M52" s="66">
        <f t="shared" si="65"/>
        <v>0</v>
      </c>
      <c r="N52" s="66">
        <f t="shared" si="66"/>
        <v>0</v>
      </c>
      <c r="O52" s="69"/>
      <c r="P52" s="69"/>
      <c r="Q52" s="69"/>
      <c r="R52" s="69"/>
      <c r="S52" s="69"/>
      <c r="T52" s="69"/>
      <c r="U52" s="68">
        <f t="shared" si="67"/>
        <v>0</v>
      </c>
      <c r="V52" s="59"/>
      <c r="W52" s="66">
        <f t="shared" si="90"/>
        <v>0</v>
      </c>
      <c r="X52" s="66">
        <f t="shared" si="91"/>
        <v>0</v>
      </c>
      <c r="Y52" s="69"/>
      <c r="Z52" s="69"/>
      <c r="AA52" s="69"/>
      <c r="AB52" s="69"/>
      <c r="AC52" s="69"/>
      <c r="AD52" s="69"/>
      <c r="AE52" s="68">
        <f t="shared" si="70"/>
        <v>0</v>
      </c>
      <c r="AF52" s="59"/>
      <c r="AG52" s="66">
        <f t="shared" si="92"/>
        <v>0</v>
      </c>
      <c r="AH52" s="66">
        <f t="shared" si="93"/>
        <v>0</v>
      </c>
      <c r="AI52" s="69"/>
      <c r="AJ52" s="69"/>
      <c r="AK52" s="69"/>
      <c r="AL52" s="69"/>
      <c r="AM52" s="69"/>
      <c r="AN52" s="69"/>
      <c r="AO52" s="68">
        <f t="shared" si="73"/>
        <v>0</v>
      </c>
      <c r="AP52" s="59"/>
      <c r="AQ52" s="66">
        <f t="shared" si="94"/>
        <v>0</v>
      </c>
      <c r="AR52" s="66">
        <f t="shared" si="95"/>
        <v>0</v>
      </c>
      <c r="AS52" s="69"/>
      <c r="AT52" s="69"/>
      <c r="AU52" s="69"/>
      <c r="AV52" s="69"/>
      <c r="AW52" s="69"/>
      <c r="AX52" s="69"/>
      <c r="AY52" s="68">
        <f t="shared" si="76"/>
        <v>0</v>
      </c>
      <c r="AZ52" s="356"/>
      <c r="BA52" s="66">
        <f t="shared" ref="BA52:BA53" si="131">SUM(BC52:BG52)</f>
        <v>0</v>
      </c>
      <c r="BB52" s="66">
        <f t="shared" si="115"/>
        <v>0</v>
      </c>
      <c r="BC52" s="66"/>
      <c r="BD52" s="66"/>
      <c r="BE52" s="66"/>
      <c r="BF52" s="66"/>
      <c r="BG52" s="66"/>
      <c r="BH52" s="66"/>
      <c r="BI52" s="357">
        <f t="shared" si="79"/>
        <v>0</v>
      </c>
      <c r="BJ52" s="358"/>
      <c r="BK52" s="66"/>
      <c r="BL52" s="66"/>
      <c r="BM52" s="69"/>
      <c r="BN52" s="69"/>
      <c r="BO52" s="69"/>
      <c r="BP52" s="69"/>
      <c r="BQ52" s="69"/>
      <c r="BR52" s="69"/>
      <c r="BS52" s="68">
        <f t="shared" si="82"/>
        <v>0</v>
      </c>
      <c r="BT52" s="358"/>
      <c r="BU52" s="66">
        <f t="shared" si="83"/>
        <v>0</v>
      </c>
      <c r="BV52" s="66">
        <f t="shared" si="84"/>
        <v>0</v>
      </c>
      <c r="BW52" s="69"/>
      <c r="BX52" s="69"/>
      <c r="BY52" s="69"/>
      <c r="BZ52" s="69"/>
      <c r="CA52" s="69"/>
      <c r="CB52" s="69"/>
      <c r="CC52" s="68">
        <f t="shared" si="111"/>
        <v>0</v>
      </c>
      <c r="CD52" s="244"/>
      <c r="CE52" s="66">
        <f t="shared" si="86"/>
        <v>0</v>
      </c>
      <c r="CF52" s="66">
        <f t="shared" si="87"/>
        <v>0</v>
      </c>
      <c r="CG52" s="195"/>
      <c r="CH52" s="195"/>
      <c r="CI52" s="195"/>
      <c r="CJ52" s="195"/>
      <c r="CK52" s="195"/>
      <c r="CL52" s="195"/>
      <c r="CM52" s="403">
        <f t="shared" si="88"/>
        <v>0</v>
      </c>
    </row>
    <row r="53" spans="1:91" s="58" customFormat="1" ht="15.95" customHeight="1">
      <c r="A53" s="367"/>
      <c r="B53" s="93"/>
      <c r="C53" s="66">
        <f t="shared" si="62"/>
        <v>0</v>
      </c>
      <c r="D53" s="66">
        <f t="shared" si="63"/>
        <v>0</v>
      </c>
      <c r="E53" s="69"/>
      <c r="F53" s="69"/>
      <c r="G53" s="69"/>
      <c r="H53" s="69"/>
      <c r="I53" s="69"/>
      <c r="J53" s="69"/>
      <c r="K53" s="68">
        <f t="shared" si="64"/>
        <v>0</v>
      </c>
      <c r="L53" s="159"/>
      <c r="M53" s="66">
        <f t="shared" si="65"/>
        <v>0</v>
      </c>
      <c r="N53" s="66">
        <f t="shared" si="66"/>
        <v>0</v>
      </c>
      <c r="O53" s="69"/>
      <c r="P53" s="69"/>
      <c r="Q53" s="69"/>
      <c r="R53" s="69"/>
      <c r="S53" s="69"/>
      <c r="T53" s="69"/>
      <c r="U53" s="68">
        <f t="shared" si="67"/>
        <v>0</v>
      </c>
      <c r="V53" s="59"/>
      <c r="W53" s="66">
        <f t="shared" si="68"/>
        <v>0</v>
      </c>
      <c r="X53" s="66">
        <f t="shared" si="69"/>
        <v>0</v>
      </c>
      <c r="Y53" s="69"/>
      <c r="Z53" s="69"/>
      <c r="AA53" s="69"/>
      <c r="AB53" s="69"/>
      <c r="AC53" s="69"/>
      <c r="AD53" s="69"/>
      <c r="AE53" s="68">
        <f t="shared" si="70"/>
        <v>0</v>
      </c>
      <c r="AF53" s="59"/>
      <c r="AG53" s="66">
        <f t="shared" si="92"/>
        <v>0</v>
      </c>
      <c r="AH53" s="66">
        <f t="shared" si="93"/>
        <v>0</v>
      </c>
      <c r="AI53" s="69"/>
      <c r="AJ53" s="69"/>
      <c r="AK53" s="69"/>
      <c r="AL53" s="69"/>
      <c r="AM53" s="69"/>
      <c r="AN53" s="69"/>
      <c r="AO53" s="68">
        <f t="shared" si="73"/>
        <v>0</v>
      </c>
      <c r="AP53" s="59"/>
      <c r="AQ53" s="66">
        <f t="shared" si="94"/>
        <v>0</v>
      </c>
      <c r="AR53" s="66">
        <f t="shared" si="95"/>
        <v>0</v>
      </c>
      <c r="AS53" s="69"/>
      <c r="AT53" s="69"/>
      <c r="AU53" s="69"/>
      <c r="AV53" s="69"/>
      <c r="AW53" s="69"/>
      <c r="AX53" s="69"/>
      <c r="AY53" s="68">
        <f t="shared" si="76"/>
        <v>0</v>
      </c>
      <c r="AZ53" s="356"/>
      <c r="BA53" s="66">
        <f t="shared" si="131"/>
        <v>0</v>
      </c>
      <c r="BB53" s="66">
        <f t="shared" si="115"/>
        <v>0</v>
      </c>
      <c r="BC53" s="66"/>
      <c r="BD53" s="66"/>
      <c r="BE53" s="66"/>
      <c r="BF53" s="66"/>
      <c r="BG53" s="66"/>
      <c r="BH53" s="66"/>
      <c r="BI53" s="357">
        <f t="shared" si="79"/>
        <v>0</v>
      </c>
      <c r="BJ53" s="358"/>
      <c r="BK53" s="66"/>
      <c r="BL53" s="66"/>
      <c r="BM53" s="69"/>
      <c r="BN53" s="69"/>
      <c r="BO53" s="69"/>
      <c r="BP53" s="69"/>
      <c r="BQ53" s="69"/>
      <c r="BR53" s="69"/>
      <c r="BS53" s="68">
        <f t="shared" si="82"/>
        <v>0</v>
      </c>
      <c r="BT53" s="358"/>
      <c r="BU53" s="66">
        <f t="shared" si="83"/>
        <v>0</v>
      </c>
      <c r="BV53" s="66">
        <f t="shared" si="84"/>
        <v>0</v>
      </c>
      <c r="BW53" s="69"/>
      <c r="BX53" s="69"/>
      <c r="BY53" s="69"/>
      <c r="BZ53" s="69"/>
      <c r="CA53" s="69"/>
      <c r="CB53" s="69"/>
      <c r="CC53" s="68">
        <f t="shared" si="111"/>
        <v>0</v>
      </c>
      <c r="CD53" s="244"/>
      <c r="CE53" s="66">
        <f t="shared" si="86"/>
        <v>0</v>
      </c>
      <c r="CF53" s="66">
        <f t="shared" si="87"/>
        <v>0</v>
      </c>
      <c r="CG53" s="195"/>
      <c r="CH53" s="195"/>
      <c r="CI53" s="195"/>
      <c r="CJ53" s="195"/>
      <c r="CK53" s="195"/>
      <c r="CL53" s="195"/>
      <c r="CM53" s="403">
        <f t="shared" si="88"/>
        <v>0</v>
      </c>
    </row>
    <row r="54" spans="1:91" s="5" customFormat="1" ht="15.95" customHeight="1">
      <c r="A54" s="79" t="s">
        <v>164</v>
      </c>
      <c r="B54" s="90"/>
      <c r="C54" s="61"/>
      <c r="D54" s="61"/>
      <c r="E54" s="63"/>
      <c r="F54" s="63"/>
      <c r="G54" s="63"/>
      <c r="H54" s="63"/>
      <c r="I54" s="63"/>
      <c r="J54" s="63"/>
      <c r="K54" s="166"/>
      <c r="L54" s="157"/>
      <c r="M54" s="61"/>
      <c r="N54" s="61"/>
      <c r="O54" s="63"/>
      <c r="P54" s="63"/>
      <c r="Q54" s="63"/>
      <c r="R54" s="63"/>
      <c r="S54" s="63"/>
      <c r="T54" s="63"/>
      <c r="U54" s="166"/>
      <c r="V54" s="55"/>
      <c r="W54" s="61"/>
      <c r="X54" s="61"/>
      <c r="Y54" s="63"/>
      <c r="Z54" s="63"/>
      <c r="AA54" s="63"/>
      <c r="AB54" s="63"/>
      <c r="AC54" s="63"/>
      <c r="AD54" s="63"/>
      <c r="AE54" s="166"/>
      <c r="AF54" s="55"/>
      <c r="AG54" s="61"/>
      <c r="AH54" s="61"/>
      <c r="AI54" s="63"/>
      <c r="AJ54" s="63"/>
      <c r="AK54" s="63"/>
      <c r="AL54" s="63"/>
      <c r="AM54" s="63"/>
      <c r="AN54" s="63"/>
      <c r="AO54" s="166"/>
      <c r="AP54" s="55"/>
      <c r="AQ54" s="61"/>
      <c r="AR54" s="61"/>
      <c r="AS54" s="63"/>
      <c r="AT54" s="63"/>
      <c r="AU54" s="63"/>
      <c r="AV54" s="63"/>
      <c r="AW54" s="63"/>
      <c r="AX54" s="63"/>
      <c r="AY54" s="166"/>
      <c r="AZ54" s="356"/>
      <c r="BA54" s="66"/>
      <c r="BB54" s="66"/>
      <c r="BC54" s="66"/>
      <c r="BD54" s="66"/>
      <c r="BE54" s="66"/>
      <c r="BF54" s="66"/>
      <c r="BG54" s="66"/>
      <c r="BH54" s="66"/>
      <c r="BI54" s="357"/>
      <c r="BJ54" s="243"/>
      <c r="BK54" s="66"/>
      <c r="BL54" s="66"/>
      <c r="BM54" s="63"/>
      <c r="BN54" s="63"/>
      <c r="BO54" s="63"/>
      <c r="BP54" s="63"/>
      <c r="BQ54" s="63"/>
      <c r="BR54" s="63"/>
      <c r="BS54" s="166"/>
      <c r="BT54" s="243"/>
      <c r="BU54" s="66"/>
      <c r="BV54" s="66"/>
      <c r="BW54" s="63"/>
      <c r="BX54" s="63"/>
      <c r="BY54" s="63"/>
      <c r="BZ54" s="63"/>
      <c r="CA54" s="63"/>
      <c r="CB54" s="63"/>
      <c r="CC54" s="166"/>
      <c r="CD54" s="243"/>
      <c r="CE54" s="66"/>
      <c r="CF54" s="66"/>
      <c r="CG54" s="63"/>
      <c r="CH54" s="63"/>
      <c r="CI54" s="63"/>
      <c r="CJ54" s="63"/>
      <c r="CK54" s="63"/>
      <c r="CL54" s="63"/>
      <c r="CM54" s="166"/>
    </row>
    <row r="55" spans="1:91" s="58" customFormat="1" ht="15.95" customHeight="1">
      <c r="A55" s="80" t="s">
        <v>60</v>
      </c>
      <c r="B55" s="92">
        <f>SUM(B$37:B54)</f>
        <v>1171</v>
      </c>
      <c r="C55" s="66">
        <f>SUM(C$37:C54)</f>
        <v>10722575</v>
      </c>
      <c r="D55" s="66">
        <f>IFERROR(C55/B55,0)</f>
        <v>9156.7677198975234</v>
      </c>
      <c r="E55" s="67">
        <f>SUM(E$37:E54)</f>
        <v>8564383</v>
      </c>
      <c r="F55" s="67">
        <f>SUM(F$37:F54)</f>
        <v>552485</v>
      </c>
      <c r="G55" s="67">
        <f>SUM(G$37:G54)</f>
        <v>0</v>
      </c>
      <c r="H55" s="67">
        <f>SUM(H$37:H54)</f>
        <v>0</v>
      </c>
      <c r="I55" s="67">
        <f>SUM(I$37:I54)</f>
        <v>1605707</v>
      </c>
      <c r="J55" s="67">
        <f>SUM(J$37:J54)</f>
        <v>4209991</v>
      </c>
      <c r="K55" s="68">
        <f>SUM(K$37:K54)</f>
        <v>2348723</v>
      </c>
      <c r="L55" s="160">
        <f>SUM(L$37:L54)</f>
        <v>1265</v>
      </c>
      <c r="M55" s="66">
        <f>SUM(M$37:M54)</f>
        <v>11098515</v>
      </c>
      <c r="N55" s="66">
        <f>IFERROR(M55/L55,0)</f>
        <v>8773.5296442687741</v>
      </c>
      <c r="O55" s="67">
        <f>SUM(O$37:O54)</f>
        <v>8503648</v>
      </c>
      <c r="P55" s="67">
        <f>SUM(P$37:P54)</f>
        <v>742416</v>
      </c>
      <c r="Q55" s="67">
        <f>SUM(Q$37:Q54)</f>
        <v>0</v>
      </c>
      <c r="R55" s="67">
        <f>SUM(R$37:R54)</f>
        <v>0</v>
      </c>
      <c r="S55" s="67">
        <f>SUM(S$37:S54)</f>
        <v>1852451</v>
      </c>
      <c r="T55" s="67">
        <f>SUM(T$37:T54)</f>
        <v>4321395</v>
      </c>
      <c r="U55" s="68">
        <f>SUM(U$37:U54)</f>
        <v>2135914</v>
      </c>
      <c r="V55" s="50">
        <f>SUM(V$37:V54)</f>
        <v>1237</v>
      </c>
      <c r="W55" s="66">
        <f>SUM(W$37:W54)</f>
        <v>11890365</v>
      </c>
      <c r="X55" s="66">
        <f>IFERROR(W55/V55,0)</f>
        <v>9612.259498787389</v>
      </c>
      <c r="Y55" s="67">
        <f>SUM(Y$37:Y54)</f>
        <v>9258220</v>
      </c>
      <c r="Z55" s="67">
        <f>SUM(Z$37:Z54)</f>
        <v>712906</v>
      </c>
      <c r="AA55" s="67">
        <f>SUM(AA$37:AA54)</f>
        <v>0</v>
      </c>
      <c r="AB55" s="67">
        <f>SUM(AB$37:AB54)</f>
        <v>0</v>
      </c>
      <c r="AC55" s="67">
        <f>SUM(AC$37:AC54)</f>
        <v>1919239</v>
      </c>
      <c r="AD55" s="67">
        <f>SUM(AD$37:AD54)</f>
        <v>4482542</v>
      </c>
      <c r="AE55" s="68">
        <f>SUM(AE$37:AE54)</f>
        <v>2211971</v>
      </c>
      <c r="AF55" s="50">
        <f>SUM(AF$37:AF54)</f>
        <v>1320</v>
      </c>
      <c r="AG55" s="66">
        <f>SUM(AG$37:AG54)</f>
        <v>12222192</v>
      </c>
      <c r="AH55" s="66">
        <f>IFERROR(AG55/AF55,0)</f>
        <v>9259.2363636363643</v>
      </c>
      <c r="AI55" s="67">
        <f>SUM(AI$37:AI54)</f>
        <v>9475541</v>
      </c>
      <c r="AJ55" s="67">
        <f>SUM(AJ$37:AJ54)</f>
        <v>505200</v>
      </c>
      <c r="AK55" s="67">
        <f>SUM(AK$37:AK54)</f>
        <v>0</v>
      </c>
      <c r="AL55" s="67">
        <f>SUM(AL$37:AL54)</f>
        <v>0</v>
      </c>
      <c r="AM55" s="67">
        <f>SUM(AM$37:AM54)</f>
        <v>2241451</v>
      </c>
      <c r="AN55" s="67">
        <f>SUM(AN$37:AN54)</f>
        <v>5262979</v>
      </c>
      <c r="AO55" s="68">
        <f>SUM(AO$37:AO54)</f>
        <v>3072072</v>
      </c>
      <c r="AP55" s="50">
        <f>SUM(AP$37:AP54)</f>
        <v>1575</v>
      </c>
      <c r="AQ55" s="66">
        <f>SUM(AQ$37:AQ54)</f>
        <v>12711694</v>
      </c>
      <c r="AR55" s="66">
        <f>IFERROR(AQ55/AP55,0)</f>
        <v>8070.9168253968255</v>
      </c>
      <c r="AS55" s="67">
        <f>SUM(AS$37:AS54)</f>
        <v>9530895</v>
      </c>
      <c r="AT55" s="67">
        <f>SUM(AT$37:AT54)</f>
        <v>484201</v>
      </c>
      <c r="AU55" s="67">
        <f>SUM(AU$37:AU54)</f>
        <v>0</v>
      </c>
      <c r="AV55" s="67">
        <f>SUM(AV$37:AV54)</f>
        <v>0</v>
      </c>
      <c r="AW55" s="67">
        <f>SUM(AW$37:AW54)</f>
        <v>2696598</v>
      </c>
      <c r="AX55" s="67">
        <f>SUM(AX$37:AX54)</f>
        <v>6063970</v>
      </c>
      <c r="AY55" s="68">
        <f>SUM(AY$37:AY54)</f>
        <v>3505884</v>
      </c>
      <c r="AZ55" s="356">
        <f>SUM(AZ$37:AZ54)</f>
        <v>1622</v>
      </c>
      <c r="BA55" s="66">
        <f>SUM(BA$37:BA54)</f>
        <v>13104346</v>
      </c>
      <c r="BB55" s="66">
        <f>IFERROR(BA55/AZ55,0)</f>
        <v>8079.1282367447593</v>
      </c>
      <c r="BC55" s="66">
        <f>SUM(BC$37:BC54)</f>
        <v>8800342</v>
      </c>
      <c r="BD55" s="66">
        <f>SUM(BD$37:BD54)</f>
        <v>1141740</v>
      </c>
      <c r="BE55" s="66">
        <f>SUM(BE$37:BE54)</f>
        <v>0</v>
      </c>
      <c r="BF55" s="66">
        <f>SUM(BF$37:BF54)</f>
        <v>0</v>
      </c>
      <c r="BG55" s="66">
        <f>SUM(BG$37:BG54)</f>
        <v>3162264</v>
      </c>
      <c r="BH55" s="66">
        <f>SUM(BH$37:BH54)</f>
        <v>6469822</v>
      </c>
      <c r="BI55" s="357">
        <f>SUM(BI$37:BI54)</f>
        <v>3580497</v>
      </c>
      <c r="BJ55" s="364">
        <f>SUM(BJ$37:BJ54)</f>
        <v>1628</v>
      </c>
      <c r="BK55" s="66">
        <f>SUM(BK$37:BK54)</f>
        <v>12123580</v>
      </c>
      <c r="BL55" s="66">
        <f>IFERROR(BK55/BJ55,0)</f>
        <v>7446.9164619164621</v>
      </c>
      <c r="BM55" s="67">
        <f>SUM(BM$37:BM54)</f>
        <v>8596997</v>
      </c>
      <c r="BN55" s="67">
        <f>SUM(BN$37:BN54)</f>
        <v>596540</v>
      </c>
      <c r="BO55" s="67">
        <f>SUM(BO$37:BO54)</f>
        <v>0</v>
      </c>
      <c r="BP55" s="67">
        <f>SUM(BP$37:BP54)</f>
        <v>0</v>
      </c>
      <c r="BQ55" s="67">
        <f>SUM(BQ$37:BQ54)</f>
        <v>2930043</v>
      </c>
      <c r="BR55" s="67">
        <f>SUM(BR$37:BR54)</f>
        <v>6264968</v>
      </c>
      <c r="BS55" s="68">
        <f>SUM(BS$37:BS54)</f>
        <v>3553697</v>
      </c>
      <c r="BT55" s="364">
        <f>SUM(BT$37:BT54)</f>
        <v>1554</v>
      </c>
      <c r="BU55" s="66">
        <f>SUM(BU$37:BU54)</f>
        <v>12349032</v>
      </c>
      <c r="BV55" s="66">
        <f>IFERROR(BU55/BT55,0)</f>
        <v>7946.6100386100388</v>
      </c>
      <c r="BW55" s="67">
        <f>SUM(BW$37:BW54)</f>
        <v>7617360</v>
      </c>
      <c r="BX55" s="67">
        <f>SUM(BX$37:BX54)</f>
        <v>1049507</v>
      </c>
      <c r="BY55" s="67">
        <f>SUM(BY$37:BY54)</f>
        <v>0</v>
      </c>
      <c r="BZ55" s="67">
        <f>SUM(BZ$37:BZ54)</f>
        <v>0</v>
      </c>
      <c r="CA55" s="67">
        <f>SUM(CA$37:CA54)</f>
        <v>3682165</v>
      </c>
      <c r="CB55" s="67">
        <f>SUM(CB$37:CB54)</f>
        <v>6923231</v>
      </c>
      <c r="CC55" s="68">
        <f>SUM(CC$37:CC54)</f>
        <v>3356084</v>
      </c>
      <c r="CD55" s="364">
        <f>SUM(CD$37:CD54)</f>
        <v>1755</v>
      </c>
      <c r="CE55" s="66">
        <f>SUM(CE$37:CE54)</f>
        <v>12235701</v>
      </c>
      <c r="CF55" s="66">
        <f>IFERROR(CE55/CD55,0)</f>
        <v>6971.9094017094021</v>
      </c>
      <c r="CG55" s="67">
        <f>SUM(CG$37:CG54)</f>
        <v>6123661</v>
      </c>
      <c r="CH55" s="67">
        <f>SUM(CH$37:CH54)</f>
        <v>197425</v>
      </c>
      <c r="CI55" s="67">
        <f>SUM(CI$37:CI54)</f>
        <v>106919</v>
      </c>
      <c r="CJ55" s="67">
        <f>SUM(CJ$37:CJ54)</f>
        <v>19365</v>
      </c>
      <c r="CK55" s="67">
        <f>SUM(CK$37:CK54)</f>
        <v>5788331</v>
      </c>
      <c r="CL55" s="67">
        <f>SUM(CL$37:CL54)</f>
        <v>7036617</v>
      </c>
      <c r="CM55" s="68">
        <f>SUM(CM$37:CM54)</f>
        <v>3322803</v>
      </c>
    </row>
    <row r="56" spans="1:91" s="5" customFormat="1" ht="15.95" customHeight="1">
      <c r="A56" s="77"/>
      <c r="B56" s="90"/>
      <c r="C56" s="61"/>
      <c r="D56" s="61"/>
      <c r="E56" s="63"/>
      <c r="F56" s="63"/>
      <c r="G56" s="63"/>
      <c r="H56" s="63"/>
      <c r="I56" s="63"/>
      <c r="J56" s="63"/>
      <c r="K56" s="166"/>
      <c r="L56" s="157"/>
      <c r="M56" s="61"/>
      <c r="N56" s="61"/>
      <c r="O56" s="63"/>
      <c r="P56" s="63"/>
      <c r="Q56" s="63"/>
      <c r="R56" s="63"/>
      <c r="S56" s="63"/>
      <c r="T56" s="63"/>
      <c r="U56" s="166"/>
      <c r="V56" s="55"/>
      <c r="W56" s="61"/>
      <c r="X56" s="61"/>
      <c r="Y56" s="63"/>
      <c r="Z56" s="63"/>
      <c r="AA56" s="63"/>
      <c r="AB56" s="63"/>
      <c r="AC56" s="63"/>
      <c r="AD56" s="63"/>
      <c r="AE56" s="166"/>
      <c r="AF56" s="55"/>
      <c r="AG56" s="61"/>
      <c r="AH56" s="61"/>
      <c r="AI56" s="63"/>
      <c r="AJ56" s="63"/>
      <c r="AK56" s="63"/>
      <c r="AL56" s="63"/>
      <c r="AM56" s="63"/>
      <c r="AN56" s="63"/>
      <c r="AO56" s="166"/>
      <c r="AP56" s="55"/>
      <c r="AQ56" s="61"/>
      <c r="AR56" s="61"/>
      <c r="AS56" s="63"/>
      <c r="AT56" s="63"/>
      <c r="AU56" s="63"/>
      <c r="AV56" s="63"/>
      <c r="AW56" s="63"/>
      <c r="AX56" s="63"/>
      <c r="AY56" s="166"/>
      <c r="AZ56" s="356"/>
      <c r="BA56" s="66"/>
      <c r="BB56" s="66"/>
      <c r="BC56" s="66"/>
      <c r="BD56" s="66"/>
      <c r="BE56" s="66"/>
      <c r="BF56" s="66"/>
      <c r="BG56" s="66"/>
      <c r="BH56" s="66"/>
      <c r="BI56" s="357"/>
      <c r="BJ56" s="243"/>
      <c r="BK56" s="66"/>
      <c r="BL56" s="66"/>
      <c r="BM56" s="63"/>
      <c r="BN56" s="63"/>
      <c r="BO56" s="63"/>
      <c r="BP56" s="63"/>
      <c r="BQ56" s="63"/>
      <c r="BR56" s="63"/>
      <c r="BS56" s="166"/>
      <c r="BT56" s="243"/>
      <c r="BU56" s="66"/>
      <c r="BV56" s="66"/>
      <c r="BW56" s="63"/>
      <c r="BX56" s="63"/>
      <c r="BY56" s="63"/>
      <c r="BZ56" s="63"/>
      <c r="CA56" s="63"/>
      <c r="CB56" s="63"/>
      <c r="CC56" s="166"/>
      <c r="CD56" s="243"/>
      <c r="CE56" s="66"/>
      <c r="CF56" s="66"/>
      <c r="CG56" s="63"/>
      <c r="CH56" s="63"/>
      <c r="CI56" s="63"/>
      <c r="CJ56" s="63"/>
      <c r="CK56" s="63"/>
      <c r="CL56" s="63"/>
      <c r="CM56" s="166"/>
    </row>
    <row r="57" spans="1:91" s="5" customFormat="1" ht="15.95" customHeight="1">
      <c r="A57" s="78" t="s">
        <v>61</v>
      </c>
      <c r="B57" s="90"/>
      <c r="C57" s="61"/>
      <c r="D57" s="61"/>
      <c r="E57" s="63"/>
      <c r="F57" s="63"/>
      <c r="G57" s="63"/>
      <c r="H57" s="63"/>
      <c r="I57" s="63"/>
      <c r="J57" s="63"/>
      <c r="K57" s="166"/>
      <c r="L57" s="157"/>
      <c r="M57" s="61"/>
      <c r="N57" s="61"/>
      <c r="O57" s="63"/>
      <c r="P57" s="63"/>
      <c r="Q57" s="63"/>
      <c r="R57" s="63"/>
      <c r="S57" s="63"/>
      <c r="T57" s="63"/>
      <c r="U57" s="166"/>
      <c r="V57" s="55"/>
      <c r="W57" s="61"/>
      <c r="X57" s="61"/>
      <c r="Y57" s="63"/>
      <c r="Z57" s="63"/>
      <c r="AA57" s="63"/>
      <c r="AB57" s="63"/>
      <c r="AC57" s="63"/>
      <c r="AD57" s="63"/>
      <c r="AE57" s="166"/>
      <c r="AF57" s="55"/>
      <c r="AG57" s="61"/>
      <c r="AH57" s="61"/>
      <c r="AI57" s="63"/>
      <c r="AJ57" s="63"/>
      <c r="AK57" s="63"/>
      <c r="AL57" s="63"/>
      <c r="AM57" s="63"/>
      <c r="AN57" s="63"/>
      <c r="AO57" s="166"/>
      <c r="AP57" s="55"/>
      <c r="AQ57" s="61"/>
      <c r="AR57" s="61"/>
      <c r="AS57" s="63"/>
      <c r="AT57" s="63"/>
      <c r="AU57" s="63"/>
      <c r="AV57" s="63"/>
      <c r="AW57" s="63"/>
      <c r="AX57" s="63"/>
      <c r="AY57" s="166"/>
      <c r="AZ57" s="356"/>
      <c r="BA57" s="66"/>
      <c r="BB57" s="66"/>
      <c r="BC57" s="66"/>
      <c r="BD57" s="66"/>
      <c r="BE57" s="66"/>
      <c r="BF57" s="66"/>
      <c r="BG57" s="66"/>
      <c r="BH57" s="66"/>
      <c r="BI57" s="357"/>
      <c r="BJ57" s="243"/>
      <c r="BK57" s="66"/>
      <c r="BL57" s="66"/>
      <c r="BM57" s="63"/>
      <c r="BN57" s="63"/>
      <c r="BO57" s="63"/>
      <c r="BP57" s="63"/>
      <c r="BQ57" s="63"/>
      <c r="BR57" s="63"/>
      <c r="BS57" s="166"/>
      <c r="BT57" s="243"/>
      <c r="BU57" s="66"/>
      <c r="BV57" s="66"/>
      <c r="BW57" s="63"/>
      <c r="BX57" s="63"/>
      <c r="BY57" s="63"/>
      <c r="BZ57" s="63"/>
      <c r="CA57" s="63"/>
      <c r="CB57" s="63"/>
      <c r="CC57" s="166"/>
      <c r="CD57" s="243"/>
      <c r="CE57" s="66"/>
      <c r="CF57" s="66"/>
      <c r="CG57" s="63"/>
      <c r="CH57" s="63"/>
      <c r="CI57" s="63"/>
      <c r="CJ57" s="63"/>
      <c r="CK57" s="63"/>
      <c r="CL57" s="63"/>
      <c r="CM57" s="166"/>
    </row>
    <row r="58" spans="1:91" s="58" customFormat="1" ht="15.95" customHeight="1">
      <c r="A58" s="143" t="s">
        <v>180</v>
      </c>
      <c r="B58" s="93">
        <v>25</v>
      </c>
      <c r="C58" s="66">
        <f t="shared" ref="C58:C71" si="132">SUM(E58:I58)</f>
        <v>1460076</v>
      </c>
      <c r="D58" s="66">
        <f t="shared" ref="D58:D71" si="133">IFERROR(C58/B58,0)</f>
        <v>58403.040000000001</v>
      </c>
      <c r="E58" s="69"/>
      <c r="F58" s="69"/>
      <c r="G58" s="69"/>
      <c r="H58" s="69">
        <v>1460076</v>
      </c>
      <c r="I58" s="69"/>
      <c r="J58" s="69">
        <v>1069794</v>
      </c>
      <c r="K58" s="68">
        <f t="shared" ref="K58:K71" si="134">IF(J58=0,0,(IF(E58&lt;=J58,E58,J58)))</f>
        <v>0</v>
      </c>
      <c r="L58" s="159">
        <v>28</v>
      </c>
      <c r="M58" s="66">
        <f t="shared" ref="M58:M71" si="135">SUM(O58:S58)</f>
        <v>1811502</v>
      </c>
      <c r="N58" s="66">
        <f t="shared" ref="N58:N71" si="136">IFERROR(M58/L58,0)</f>
        <v>64696.5</v>
      </c>
      <c r="O58" s="69"/>
      <c r="P58" s="69"/>
      <c r="Q58" s="69"/>
      <c r="R58" s="69">
        <v>1811502</v>
      </c>
      <c r="S58" s="69"/>
      <c r="T58" s="69">
        <v>1013469</v>
      </c>
      <c r="U58" s="68">
        <f t="shared" ref="U58:U71" si="137">IF(T58=0,0,(IF(O58&lt;=T58,O58,T58)))</f>
        <v>0</v>
      </c>
      <c r="V58" s="59">
        <v>20</v>
      </c>
      <c r="W58" s="66">
        <f t="shared" ref="W58:W71" si="138">SUM(Y58:AC58)</f>
        <v>1357565</v>
      </c>
      <c r="X58" s="66">
        <f t="shared" ref="X58:X71" si="139">IFERROR(W58/V58,0)</f>
        <v>67878.25</v>
      </c>
      <c r="Y58" s="69"/>
      <c r="Z58" s="69"/>
      <c r="AA58" s="69"/>
      <c r="AB58" s="69">
        <v>1357565</v>
      </c>
      <c r="AC58" s="69"/>
      <c r="AD58" s="69">
        <v>833480</v>
      </c>
      <c r="AE58" s="68">
        <f t="shared" ref="AE58:AE71" si="140">IF(AD58=0,0,(IF(Y58&lt;=AD58,Y58,AD58)))</f>
        <v>0</v>
      </c>
      <c r="AF58" s="59">
        <v>21</v>
      </c>
      <c r="AG58" s="66">
        <f t="shared" ref="AG58:AG71" si="141">SUM(AI58:AM58)</f>
        <v>1544514</v>
      </c>
      <c r="AH58" s="66">
        <f t="shared" ref="AH58:AH71" si="142">IFERROR(AG58/AF58,0)</f>
        <v>73548.28571428571</v>
      </c>
      <c r="AI58" s="69"/>
      <c r="AJ58" s="69"/>
      <c r="AK58" s="69"/>
      <c r="AL58" s="69">
        <v>1544514</v>
      </c>
      <c r="AM58" s="69"/>
      <c r="AN58" s="69">
        <v>771659</v>
      </c>
      <c r="AO58" s="68">
        <f t="shared" ref="AO58:AO71" si="143">IF(AN58=0,0,(IF(AI58&lt;=AN58,AI58,AN58)))</f>
        <v>0</v>
      </c>
      <c r="AP58" s="59">
        <v>19</v>
      </c>
      <c r="AQ58" s="66">
        <f t="shared" ref="AQ58:AQ71" si="144">SUM(AS58:AW58)</f>
        <v>1603525</v>
      </c>
      <c r="AR58" s="66">
        <f t="shared" ref="AR58:AR71" si="145">IFERROR(AQ58/AP58,0)</f>
        <v>84396.052631578947</v>
      </c>
      <c r="AS58" s="69"/>
      <c r="AT58" s="69"/>
      <c r="AU58" s="69"/>
      <c r="AV58" s="69">
        <v>1603525</v>
      </c>
      <c r="AW58" s="69"/>
      <c r="AX58" s="69">
        <v>706945</v>
      </c>
      <c r="AY58" s="68">
        <f t="shared" ref="AY58:AY71" si="146">IF(AX58=0,0,(IF(AS58&lt;=AX58,AS58,AX58)))</f>
        <v>0</v>
      </c>
      <c r="AZ58" s="356">
        <v>20</v>
      </c>
      <c r="BA58" s="66">
        <f t="shared" ref="BA58:BA65" si="147">SUM(BC58:BG58)</f>
        <v>1631134</v>
      </c>
      <c r="BB58" s="66">
        <f t="shared" ref="BB58:BB65" si="148">IFERROR(BA58/AZ58,0)</f>
        <v>81556.7</v>
      </c>
      <c r="BC58" s="66"/>
      <c r="BD58" s="66"/>
      <c r="BE58" s="66"/>
      <c r="BF58" s="66">
        <v>1631134</v>
      </c>
      <c r="BG58" s="66"/>
      <c r="BH58" s="66">
        <v>742569</v>
      </c>
      <c r="BI58" s="357">
        <f t="shared" ref="BI58:BI71" si="149">IF(BH58=0,0,(IF(BC58&lt;=BH58,BC58,BH58)))</f>
        <v>0</v>
      </c>
      <c r="BJ58" s="358">
        <v>25</v>
      </c>
      <c r="BK58" s="66">
        <f t="shared" ref="BK58:BK65" si="150">SUM(BM58:BQ58)</f>
        <v>2039683</v>
      </c>
      <c r="BL58" s="66">
        <f t="shared" ref="BL58:BL65" si="151">IFERROR(BK58/BJ58,0)</f>
        <v>81587.320000000007</v>
      </c>
      <c r="BM58" s="69"/>
      <c r="BN58" s="69"/>
      <c r="BO58" s="69"/>
      <c r="BP58" s="69">
        <v>2039683</v>
      </c>
      <c r="BQ58" s="69"/>
      <c r="BR58" s="69">
        <v>1065508</v>
      </c>
      <c r="BS58" s="68">
        <f t="shared" ref="BS58:BS71" si="152">IF(BR58=0,0,(IF(BM58&lt;=BR58,BM58,BR58)))</f>
        <v>0</v>
      </c>
      <c r="BT58" s="358">
        <v>23</v>
      </c>
      <c r="BU58" s="66">
        <f t="shared" ref="BU58:BU71" si="153">SUM(BW58:CA58)</f>
        <v>1744266</v>
      </c>
      <c r="BV58" s="66">
        <f t="shared" ref="BV58:BV71" si="154">IFERROR(BU58/BT58,0)</f>
        <v>75837.65217391304</v>
      </c>
      <c r="BW58" s="69"/>
      <c r="BX58" s="69"/>
      <c r="BY58" s="69"/>
      <c r="BZ58" s="69">
        <v>1744266</v>
      </c>
      <c r="CA58" s="69"/>
      <c r="CB58" s="69">
        <v>953904</v>
      </c>
      <c r="CC58" s="68">
        <f t="shared" ref="CC58:CC64" si="155">IF(CB58=0,0,(IF(BW58&lt;=CB58,BW58,CB58)))</f>
        <v>0</v>
      </c>
      <c r="CD58" s="244">
        <v>29</v>
      </c>
      <c r="CE58" s="66">
        <f t="shared" ref="CE58:CE71" si="156">SUM(CG58:CK58)</f>
        <v>2036620</v>
      </c>
      <c r="CF58" s="66">
        <f t="shared" ref="CF58:CF71" si="157">IFERROR(CE58/CD58,0)</f>
        <v>70228.275862068971</v>
      </c>
      <c r="CG58" s="195"/>
      <c r="CH58" s="195"/>
      <c r="CI58" s="195"/>
      <c r="CJ58" s="195">
        <v>2036620</v>
      </c>
      <c r="CK58" s="195"/>
      <c r="CL58" s="195">
        <v>892480</v>
      </c>
      <c r="CM58" s="403">
        <f t="shared" ref="CM58:CM71" si="158">IF(CL58=0,0,(IF(CG58&lt;=CL58,CG58,CL58)))</f>
        <v>0</v>
      </c>
    </row>
    <row r="59" spans="1:91" s="58" customFormat="1" ht="15.95" customHeight="1">
      <c r="A59" s="143" t="s">
        <v>181</v>
      </c>
      <c r="B59" s="93">
        <v>10</v>
      </c>
      <c r="C59" s="66">
        <f t="shared" si="132"/>
        <v>39732</v>
      </c>
      <c r="D59" s="66">
        <f t="shared" si="133"/>
        <v>3973.2</v>
      </c>
      <c r="E59" s="69">
        <v>39732</v>
      </c>
      <c r="F59" s="69"/>
      <c r="G59" s="69"/>
      <c r="H59" s="69"/>
      <c r="I59" s="69"/>
      <c r="J59" s="69">
        <v>39732</v>
      </c>
      <c r="K59" s="68">
        <f t="shared" si="134"/>
        <v>39732</v>
      </c>
      <c r="L59" s="159">
        <v>10</v>
      </c>
      <c r="M59" s="66">
        <f t="shared" si="135"/>
        <v>29452</v>
      </c>
      <c r="N59" s="66">
        <f t="shared" si="136"/>
        <v>2945.2</v>
      </c>
      <c r="O59" s="69">
        <v>29452</v>
      </c>
      <c r="P59" s="69"/>
      <c r="Q59" s="69"/>
      <c r="R59" s="69"/>
      <c r="S59" s="69"/>
      <c r="T59" s="69">
        <v>29452</v>
      </c>
      <c r="U59" s="68">
        <f t="shared" si="137"/>
        <v>29452</v>
      </c>
      <c r="V59" s="59">
        <v>8</v>
      </c>
      <c r="W59" s="66">
        <f t="shared" si="138"/>
        <v>27748</v>
      </c>
      <c r="X59" s="66">
        <f t="shared" si="139"/>
        <v>3468.5</v>
      </c>
      <c r="Y59" s="69">
        <v>27748</v>
      </c>
      <c r="Z59" s="69"/>
      <c r="AA59" s="69"/>
      <c r="AB59" s="69"/>
      <c r="AC59" s="69"/>
      <c r="AD59" s="69">
        <v>27748</v>
      </c>
      <c r="AE59" s="68">
        <f t="shared" si="140"/>
        <v>27748</v>
      </c>
      <c r="AF59" s="59">
        <v>14</v>
      </c>
      <c r="AG59" s="66">
        <f t="shared" si="141"/>
        <v>44861</v>
      </c>
      <c r="AH59" s="66">
        <f t="shared" si="142"/>
        <v>3204.3571428571427</v>
      </c>
      <c r="AI59" s="69">
        <v>44861</v>
      </c>
      <c r="AJ59" s="69"/>
      <c r="AK59" s="69"/>
      <c r="AL59" s="69"/>
      <c r="AM59" s="69"/>
      <c r="AN59" s="69">
        <v>44861</v>
      </c>
      <c r="AO59" s="68">
        <f t="shared" si="143"/>
        <v>44861</v>
      </c>
      <c r="AP59" s="59">
        <v>10</v>
      </c>
      <c r="AQ59" s="66">
        <f t="shared" si="144"/>
        <v>39535</v>
      </c>
      <c r="AR59" s="66">
        <f t="shared" si="145"/>
        <v>3953.5</v>
      </c>
      <c r="AS59" s="69">
        <v>39535</v>
      </c>
      <c r="AT59" s="69"/>
      <c r="AU59" s="69"/>
      <c r="AV59" s="69"/>
      <c r="AW59" s="69"/>
      <c r="AX59" s="69">
        <v>39535</v>
      </c>
      <c r="AY59" s="68">
        <f t="shared" si="146"/>
        <v>39535</v>
      </c>
      <c r="AZ59" s="356">
        <v>16</v>
      </c>
      <c r="BA59" s="66">
        <f t="shared" si="147"/>
        <v>69737</v>
      </c>
      <c r="BB59" s="66">
        <f t="shared" si="148"/>
        <v>4358.5625</v>
      </c>
      <c r="BC59" s="66">
        <v>69737</v>
      </c>
      <c r="BD59" s="66"/>
      <c r="BE59" s="66"/>
      <c r="BF59" s="66"/>
      <c r="BG59" s="66"/>
      <c r="BH59" s="66">
        <v>66678</v>
      </c>
      <c r="BI59" s="357">
        <f t="shared" si="149"/>
        <v>66678</v>
      </c>
      <c r="BJ59" s="358">
        <v>27</v>
      </c>
      <c r="BK59" s="66">
        <f t="shared" si="150"/>
        <v>119496</v>
      </c>
      <c r="BL59" s="66">
        <f t="shared" si="151"/>
        <v>4425.7777777777774</v>
      </c>
      <c r="BM59" s="69">
        <v>119496</v>
      </c>
      <c r="BN59" s="69"/>
      <c r="BO59" s="69"/>
      <c r="BP59" s="69"/>
      <c r="BQ59" s="69"/>
      <c r="BR59" s="69">
        <v>115258</v>
      </c>
      <c r="BS59" s="68">
        <v>115258</v>
      </c>
      <c r="BT59" s="358">
        <v>26</v>
      </c>
      <c r="BU59" s="66">
        <f t="shared" si="153"/>
        <v>114008</v>
      </c>
      <c r="BV59" s="66">
        <f t="shared" si="154"/>
        <v>4384.9230769230771</v>
      </c>
      <c r="BW59" s="69">
        <v>114008</v>
      </c>
      <c r="BX59" s="69"/>
      <c r="BY59" s="69"/>
      <c r="BZ59" s="69"/>
      <c r="CA59" s="69"/>
      <c r="CB59" s="69">
        <v>109795</v>
      </c>
      <c r="CC59" s="68">
        <f t="shared" si="155"/>
        <v>109795</v>
      </c>
      <c r="CD59" s="244">
        <v>15</v>
      </c>
      <c r="CE59" s="66">
        <f t="shared" si="156"/>
        <v>87519</v>
      </c>
      <c r="CF59" s="66">
        <f t="shared" si="157"/>
        <v>5834.6</v>
      </c>
      <c r="CG59" s="195">
        <v>87519</v>
      </c>
      <c r="CH59" s="195"/>
      <c r="CI59" s="195"/>
      <c r="CJ59" s="195"/>
      <c r="CK59" s="195"/>
      <c r="CL59" s="195">
        <v>87519</v>
      </c>
      <c r="CM59" s="403">
        <f t="shared" si="158"/>
        <v>87519</v>
      </c>
    </row>
    <row r="60" spans="1:91" s="58" customFormat="1" ht="15.95" customHeight="1">
      <c r="A60" s="143" t="s">
        <v>182</v>
      </c>
      <c r="B60" s="93">
        <v>8</v>
      </c>
      <c r="C60" s="66">
        <f t="shared" si="132"/>
        <v>17665</v>
      </c>
      <c r="D60" s="66">
        <f t="shared" si="133"/>
        <v>2208.125</v>
      </c>
      <c r="E60" s="69"/>
      <c r="F60" s="69"/>
      <c r="G60" s="69"/>
      <c r="H60" s="69">
        <v>17665</v>
      </c>
      <c r="I60" s="69"/>
      <c r="J60" s="69">
        <v>17665</v>
      </c>
      <c r="K60" s="68">
        <f t="shared" si="134"/>
        <v>0</v>
      </c>
      <c r="L60" s="159">
        <v>8</v>
      </c>
      <c r="M60" s="66">
        <f t="shared" si="135"/>
        <v>31312</v>
      </c>
      <c r="N60" s="66">
        <f t="shared" si="136"/>
        <v>3914</v>
      </c>
      <c r="O60" s="69"/>
      <c r="P60" s="69"/>
      <c r="Q60" s="69"/>
      <c r="R60" s="69">
        <v>31312</v>
      </c>
      <c r="S60" s="69"/>
      <c r="T60" s="69">
        <v>24062</v>
      </c>
      <c r="U60" s="68">
        <f t="shared" si="137"/>
        <v>0</v>
      </c>
      <c r="V60" s="59">
        <v>6</v>
      </c>
      <c r="W60" s="66">
        <f t="shared" si="138"/>
        <v>13710</v>
      </c>
      <c r="X60" s="66">
        <f t="shared" si="139"/>
        <v>2285</v>
      </c>
      <c r="Y60" s="69"/>
      <c r="Z60" s="69"/>
      <c r="AA60" s="69"/>
      <c r="AB60" s="69">
        <v>13710</v>
      </c>
      <c r="AC60" s="69"/>
      <c r="AD60" s="69">
        <v>2074</v>
      </c>
      <c r="AE60" s="68">
        <f t="shared" si="140"/>
        <v>0</v>
      </c>
      <c r="AF60" s="59">
        <v>1</v>
      </c>
      <c r="AG60" s="66">
        <f t="shared" si="141"/>
        <v>1500</v>
      </c>
      <c r="AH60" s="66">
        <f t="shared" si="142"/>
        <v>1500</v>
      </c>
      <c r="AI60" s="69"/>
      <c r="AJ60" s="69"/>
      <c r="AK60" s="69"/>
      <c r="AL60" s="69">
        <v>1500</v>
      </c>
      <c r="AM60" s="69"/>
      <c r="AN60" s="69">
        <v>1500</v>
      </c>
      <c r="AO60" s="68">
        <f t="shared" si="143"/>
        <v>0</v>
      </c>
      <c r="AP60" s="59">
        <v>0</v>
      </c>
      <c r="AQ60" s="66">
        <f t="shared" si="144"/>
        <v>0</v>
      </c>
      <c r="AR60" s="66">
        <f t="shared" si="145"/>
        <v>0</v>
      </c>
      <c r="AS60" s="69"/>
      <c r="AT60" s="69"/>
      <c r="AU60" s="69"/>
      <c r="AV60" s="69"/>
      <c r="AW60" s="69"/>
      <c r="AX60" s="69">
        <v>0</v>
      </c>
      <c r="AY60" s="68">
        <f t="shared" si="146"/>
        <v>0</v>
      </c>
      <c r="AZ60" s="356">
        <v>0</v>
      </c>
      <c r="BA60" s="66">
        <f t="shared" si="147"/>
        <v>0</v>
      </c>
      <c r="BB60" s="66">
        <f t="shared" si="148"/>
        <v>0</v>
      </c>
      <c r="BC60" s="66"/>
      <c r="BD60" s="66"/>
      <c r="BE60" s="66"/>
      <c r="BF60" s="66"/>
      <c r="BG60" s="66"/>
      <c r="BH60" s="66">
        <v>0</v>
      </c>
      <c r="BI60" s="357">
        <f t="shared" si="149"/>
        <v>0</v>
      </c>
      <c r="BJ60" s="358">
        <v>0</v>
      </c>
      <c r="BK60" s="66">
        <f t="shared" si="150"/>
        <v>0</v>
      </c>
      <c r="BL60" s="66">
        <f t="shared" si="151"/>
        <v>0</v>
      </c>
      <c r="BM60" s="69"/>
      <c r="BN60" s="69"/>
      <c r="BO60" s="69"/>
      <c r="BP60" s="69"/>
      <c r="BQ60" s="69"/>
      <c r="BR60" s="69"/>
      <c r="BS60" s="68">
        <f t="shared" si="152"/>
        <v>0</v>
      </c>
      <c r="BT60" s="358">
        <v>0</v>
      </c>
      <c r="BU60" s="66">
        <f t="shared" si="153"/>
        <v>0</v>
      </c>
      <c r="BV60" s="66">
        <f t="shared" si="154"/>
        <v>0</v>
      </c>
      <c r="BW60" s="69"/>
      <c r="BX60" s="69"/>
      <c r="BY60" s="69"/>
      <c r="BZ60" s="69"/>
      <c r="CA60" s="69"/>
      <c r="CB60" s="69"/>
      <c r="CC60" s="68">
        <f t="shared" si="155"/>
        <v>0</v>
      </c>
      <c r="CD60" s="244">
        <v>2</v>
      </c>
      <c r="CE60" s="66">
        <f t="shared" si="156"/>
        <v>8682</v>
      </c>
      <c r="CF60" s="66">
        <f t="shared" si="157"/>
        <v>4341</v>
      </c>
      <c r="CG60" s="195"/>
      <c r="CH60" s="195"/>
      <c r="CI60" s="195">
        <v>8682</v>
      </c>
      <c r="CJ60" s="195"/>
      <c r="CK60" s="195"/>
      <c r="CL60" s="195">
        <v>8682</v>
      </c>
      <c r="CM60" s="403">
        <f t="shared" si="158"/>
        <v>0</v>
      </c>
    </row>
    <row r="61" spans="1:91" s="58" customFormat="1" ht="15.95" customHeight="1">
      <c r="A61" s="143" t="s">
        <v>183</v>
      </c>
      <c r="B61" s="93">
        <v>5</v>
      </c>
      <c r="C61" s="66">
        <f t="shared" si="132"/>
        <v>12216</v>
      </c>
      <c r="D61" s="66">
        <f t="shared" si="133"/>
        <v>2443.1999999999998</v>
      </c>
      <c r="E61" s="69"/>
      <c r="F61" s="69"/>
      <c r="G61" s="69">
        <v>12216</v>
      </c>
      <c r="H61" s="69"/>
      <c r="I61" s="69"/>
      <c r="J61" s="69">
        <v>12216</v>
      </c>
      <c r="K61" s="68">
        <f t="shared" si="134"/>
        <v>0</v>
      </c>
      <c r="L61" s="159">
        <v>4</v>
      </c>
      <c r="M61" s="66">
        <f t="shared" si="135"/>
        <v>8625</v>
      </c>
      <c r="N61" s="66">
        <f t="shared" si="136"/>
        <v>2156.25</v>
      </c>
      <c r="O61" s="69"/>
      <c r="P61" s="69"/>
      <c r="Q61" s="69">
        <v>8625</v>
      </c>
      <c r="R61" s="69"/>
      <c r="S61" s="69"/>
      <c r="T61" s="69">
        <v>8625</v>
      </c>
      <c r="U61" s="68">
        <f t="shared" si="137"/>
        <v>0</v>
      </c>
      <c r="V61" s="59">
        <v>0</v>
      </c>
      <c r="W61" s="66">
        <f t="shared" si="138"/>
        <v>0</v>
      </c>
      <c r="X61" s="66">
        <f t="shared" si="139"/>
        <v>0</v>
      </c>
      <c r="Y61" s="69"/>
      <c r="Z61" s="69"/>
      <c r="AA61" s="69"/>
      <c r="AB61" s="69"/>
      <c r="AC61" s="69"/>
      <c r="AD61" s="69"/>
      <c r="AE61" s="68">
        <f t="shared" si="140"/>
        <v>0</v>
      </c>
      <c r="AF61" s="59">
        <v>2</v>
      </c>
      <c r="AG61" s="66">
        <f t="shared" si="141"/>
        <v>3248</v>
      </c>
      <c r="AH61" s="66">
        <f t="shared" si="142"/>
        <v>1624</v>
      </c>
      <c r="AI61" s="69"/>
      <c r="AJ61" s="69"/>
      <c r="AK61" s="69"/>
      <c r="AL61" s="69">
        <v>3248</v>
      </c>
      <c r="AM61" s="69"/>
      <c r="AN61" s="69">
        <v>3248</v>
      </c>
      <c r="AO61" s="68">
        <f t="shared" si="143"/>
        <v>0</v>
      </c>
      <c r="AP61" s="59">
        <v>2</v>
      </c>
      <c r="AQ61" s="66">
        <f t="shared" si="144"/>
        <v>8820</v>
      </c>
      <c r="AR61" s="66">
        <f t="shared" si="145"/>
        <v>4410</v>
      </c>
      <c r="AS61" s="69"/>
      <c r="AT61" s="69"/>
      <c r="AU61" s="69"/>
      <c r="AV61" s="69">
        <v>8820</v>
      </c>
      <c r="AW61" s="69"/>
      <c r="AX61" s="69">
        <v>8820</v>
      </c>
      <c r="AY61" s="68">
        <f t="shared" si="146"/>
        <v>0</v>
      </c>
      <c r="AZ61" s="356">
        <v>1</v>
      </c>
      <c r="BA61" s="66">
        <f t="shared" si="147"/>
        <v>6048</v>
      </c>
      <c r="BB61" s="66">
        <f t="shared" si="148"/>
        <v>6048</v>
      </c>
      <c r="BC61" s="66"/>
      <c r="BD61" s="66"/>
      <c r="BE61" s="66"/>
      <c r="BF61" s="66">
        <v>6048</v>
      </c>
      <c r="BG61" s="66"/>
      <c r="BH61" s="66">
        <v>6048</v>
      </c>
      <c r="BI61" s="357">
        <f t="shared" si="149"/>
        <v>0</v>
      </c>
      <c r="BJ61" s="358">
        <v>2</v>
      </c>
      <c r="BK61" s="66">
        <f t="shared" si="150"/>
        <v>9300</v>
      </c>
      <c r="BL61" s="66">
        <f t="shared" si="151"/>
        <v>4650</v>
      </c>
      <c r="BM61" s="69"/>
      <c r="BN61" s="69"/>
      <c r="BO61" s="69"/>
      <c r="BP61" s="69">
        <v>9300</v>
      </c>
      <c r="BQ61" s="69"/>
      <c r="BR61" s="69">
        <v>9300</v>
      </c>
      <c r="BS61" s="68">
        <f t="shared" si="152"/>
        <v>0</v>
      </c>
      <c r="BT61" s="358">
        <v>2</v>
      </c>
      <c r="BU61" s="66">
        <f t="shared" si="153"/>
        <v>8288</v>
      </c>
      <c r="BV61" s="66">
        <f t="shared" si="154"/>
        <v>4144</v>
      </c>
      <c r="BW61" s="69"/>
      <c r="BX61" s="69"/>
      <c r="BY61" s="69">
        <v>8288</v>
      </c>
      <c r="BZ61" s="69"/>
      <c r="CA61" s="69"/>
      <c r="CB61" s="69">
        <v>8288</v>
      </c>
      <c r="CC61" s="68">
        <f t="shared" si="155"/>
        <v>0</v>
      </c>
      <c r="CD61" s="244">
        <v>6</v>
      </c>
      <c r="CE61" s="66">
        <f t="shared" si="156"/>
        <v>16564</v>
      </c>
      <c r="CF61" s="66">
        <f t="shared" si="157"/>
        <v>2760.6666666666665</v>
      </c>
      <c r="CG61" s="195"/>
      <c r="CH61" s="195"/>
      <c r="CI61" s="195">
        <v>16564</v>
      </c>
      <c r="CJ61" s="195"/>
      <c r="CK61" s="195"/>
      <c r="CL61" s="195">
        <v>2998</v>
      </c>
      <c r="CM61" s="403">
        <f t="shared" si="158"/>
        <v>0</v>
      </c>
    </row>
    <row r="62" spans="1:91" s="58" customFormat="1" ht="15.95" customHeight="1">
      <c r="A62" s="143" t="s">
        <v>184</v>
      </c>
      <c r="B62" s="93">
        <v>4</v>
      </c>
      <c r="C62" s="66">
        <f t="shared" si="132"/>
        <v>48781</v>
      </c>
      <c r="D62" s="66">
        <f t="shared" si="133"/>
        <v>12195.25</v>
      </c>
      <c r="E62" s="69"/>
      <c r="F62" s="69"/>
      <c r="G62" s="69"/>
      <c r="H62" s="69">
        <v>48781</v>
      </c>
      <c r="I62" s="69"/>
      <c r="J62" s="69">
        <v>35607</v>
      </c>
      <c r="K62" s="68">
        <f t="shared" si="134"/>
        <v>0</v>
      </c>
      <c r="L62" s="159">
        <v>3</v>
      </c>
      <c r="M62" s="66">
        <f t="shared" si="135"/>
        <v>36444</v>
      </c>
      <c r="N62" s="66">
        <f t="shared" si="136"/>
        <v>12148</v>
      </c>
      <c r="O62" s="69"/>
      <c r="P62" s="69"/>
      <c r="Q62" s="69"/>
      <c r="R62" s="69">
        <v>36444</v>
      </c>
      <c r="S62" s="69"/>
      <c r="T62" s="69">
        <v>36444</v>
      </c>
      <c r="U62" s="68">
        <f t="shared" si="137"/>
        <v>0</v>
      </c>
      <c r="V62" s="59">
        <v>16</v>
      </c>
      <c r="W62" s="66">
        <f t="shared" si="138"/>
        <v>176051</v>
      </c>
      <c r="X62" s="66">
        <f t="shared" si="139"/>
        <v>11003.1875</v>
      </c>
      <c r="Y62" s="69"/>
      <c r="Z62" s="69"/>
      <c r="AA62" s="69"/>
      <c r="AB62" s="69">
        <v>176051</v>
      </c>
      <c r="AC62" s="69"/>
      <c r="AD62" s="69">
        <v>155724</v>
      </c>
      <c r="AE62" s="68">
        <f t="shared" si="140"/>
        <v>0</v>
      </c>
      <c r="AF62" s="59">
        <v>8</v>
      </c>
      <c r="AG62" s="66">
        <f t="shared" si="141"/>
        <v>98444</v>
      </c>
      <c r="AH62" s="66">
        <f t="shared" si="142"/>
        <v>12305.5</v>
      </c>
      <c r="AI62" s="69"/>
      <c r="AJ62" s="69"/>
      <c r="AK62" s="69"/>
      <c r="AL62" s="69">
        <v>98444</v>
      </c>
      <c r="AM62" s="69"/>
      <c r="AN62" s="69">
        <v>98444</v>
      </c>
      <c r="AO62" s="68">
        <f t="shared" si="143"/>
        <v>0</v>
      </c>
      <c r="AP62" s="59">
        <v>3</v>
      </c>
      <c r="AQ62" s="66">
        <f t="shared" si="144"/>
        <v>33574</v>
      </c>
      <c r="AR62" s="66">
        <f t="shared" si="145"/>
        <v>11191.333333333334</v>
      </c>
      <c r="AS62" s="69"/>
      <c r="AT62" s="69"/>
      <c r="AU62" s="69"/>
      <c r="AV62" s="69">
        <v>33574</v>
      </c>
      <c r="AW62" s="69"/>
      <c r="AX62" s="69">
        <v>33574</v>
      </c>
      <c r="AY62" s="68">
        <f t="shared" si="146"/>
        <v>0</v>
      </c>
      <c r="AZ62" s="356">
        <v>6</v>
      </c>
      <c r="BA62" s="66">
        <f t="shared" si="147"/>
        <v>78523</v>
      </c>
      <c r="BB62" s="66">
        <f t="shared" si="148"/>
        <v>13087.166666666666</v>
      </c>
      <c r="BC62" s="66"/>
      <c r="BD62" s="66"/>
      <c r="BE62" s="66"/>
      <c r="BF62" s="66">
        <v>78523</v>
      </c>
      <c r="BG62" s="66"/>
      <c r="BH62" s="66">
        <v>78523</v>
      </c>
      <c r="BI62" s="357">
        <f t="shared" si="149"/>
        <v>0</v>
      </c>
      <c r="BJ62" s="358">
        <v>6</v>
      </c>
      <c r="BK62" s="66">
        <f t="shared" si="150"/>
        <v>73645</v>
      </c>
      <c r="BL62" s="66">
        <f t="shared" si="151"/>
        <v>12274.166666666666</v>
      </c>
      <c r="BM62" s="69"/>
      <c r="BN62" s="69"/>
      <c r="BO62" s="69"/>
      <c r="BP62" s="69">
        <v>73645</v>
      </c>
      <c r="BQ62" s="69"/>
      <c r="BR62" s="69">
        <v>34547</v>
      </c>
      <c r="BS62" s="68">
        <f t="shared" si="152"/>
        <v>0</v>
      </c>
      <c r="BT62" s="358">
        <v>7</v>
      </c>
      <c r="BU62" s="66">
        <f t="shared" si="153"/>
        <v>104215</v>
      </c>
      <c r="BV62" s="66">
        <f t="shared" si="154"/>
        <v>14887.857142857143</v>
      </c>
      <c r="BW62" s="69"/>
      <c r="BX62" s="69"/>
      <c r="BY62" s="69"/>
      <c r="BZ62" s="69">
        <v>104215</v>
      </c>
      <c r="CA62" s="69"/>
      <c r="CB62" s="69">
        <v>104215</v>
      </c>
      <c r="CC62" s="68">
        <f t="shared" si="155"/>
        <v>0</v>
      </c>
      <c r="CD62" s="244">
        <v>12</v>
      </c>
      <c r="CE62" s="66">
        <f t="shared" si="156"/>
        <v>165221</v>
      </c>
      <c r="CF62" s="66">
        <f t="shared" si="157"/>
        <v>13768.416666666666</v>
      </c>
      <c r="CG62" s="195"/>
      <c r="CH62" s="195"/>
      <c r="CI62" s="195"/>
      <c r="CJ62" s="195">
        <v>165221</v>
      </c>
      <c r="CK62" s="195"/>
      <c r="CL62" s="195">
        <v>149405</v>
      </c>
      <c r="CM62" s="403">
        <f t="shared" si="158"/>
        <v>0</v>
      </c>
    </row>
    <row r="63" spans="1:91" s="58" customFormat="1" ht="15.95" customHeight="1">
      <c r="A63" s="143" t="s">
        <v>185</v>
      </c>
      <c r="B63" s="93">
        <v>2</v>
      </c>
      <c r="C63" s="66">
        <f t="shared" si="132"/>
        <v>9705</v>
      </c>
      <c r="D63" s="66">
        <f t="shared" si="133"/>
        <v>4852.5</v>
      </c>
      <c r="E63" s="69">
        <v>9705</v>
      </c>
      <c r="F63" s="69"/>
      <c r="G63" s="69"/>
      <c r="H63" s="69"/>
      <c r="I63" s="69"/>
      <c r="J63" s="69">
        <v>9705</v>
      </c>
      <c r="K63" s="68">
        <f t="shared" si="134"/>
        <v>9705</v>
      </c>
      <c r="L63" s="159">
        <v>4</v>
      </c>
      <c r="M63" s="66">
        <f t="shared" si="135"/>
        <v>12529</v>
      </c>
      <c r="N63" s="66">
        <f t="shared" si="136"/>
        <v>3132.25</v>
      </c>
      <c r="O63" s="69">
        <v>12529</v>
      </c>
      <c r="P63" s="69"/>
      <c r="Q63" s="69"/>
      <c r="R63" s="69"/>
      <c r="S63" s="69"/>
      <c r="T63" s="69">
        <v>12529</v>
      </c>
      <c r="U63" s="68">
        <f t="shared" si="137"/>
        <v>12529</v>
      </c>
      <c r="V63" s="59">
        <v>9</v>
      </c>
      <c r="W63" s="66">
        <f t="shared" si="138"/>
        <v>27791</v>
      </c>
      <c r="X63" s="66">
        <f t="shared" si="139"/>
        <v>3087.8888888888887</v>
      </c>
      <c r="Y63" s="69">
        <v>27791</v>
      </c>
      <c r="Z63" s="69"/>
      <c r="AA63" s="69"/>
      <c r="AB63" s="69"/>
      <c r="AC63" s="69"/>
      <c r="AD63" s="69">
        <v>27791</v>
      </c>
      <c r="AE63" s="68">
        <f t="shared" si="140"/>
        <v>27791</v>
      </c>
      <c r="AF63" s="59">
        <v>9</v>
      </c>
      <c r="AG63" s="66">
        <f t="shared" si="141"/>
        <v>23667</v>
      </c>
      <c r="AH63" s="66">
        <f t="shared" si="142"/>
        <v>2629.6666666666665</v>
      </c>
      <c r="AI63" s="69">
        <v>23667</v>
      </c>
      <c r="AJ63" s="69"/>
      <c r="AK63" s="69"/>
      <c r="AL63" s="69"/>
      <c r="AM63" s="69"/>
      <c r="AN63" s="69">
        <v>23667</v>
      </c>
      <c r="AO63" s="68">
        <f t="shared" si="143"/>
        <v>23667</v>
      </c>
      <c r="AP63" s="59">
        <v>4</v>
      </c>
      <c r="AQ63" s="66">
        <f t="shared" si="144"/>
        <v>8284</v>
      </c>
      <c r="AR63" s="66">
        <f t="shared" si="145"/>
        <v>2071</v>
      </c>
      <c r="AS63" s="69">
        <v>8284</v>
      </c>
      <c r="AT63" s="69"/>
      <c r="AU63" s="69"/>
      <c r="AV63" s="69"/>
      <c r="AW63" s="69"/>
      <c r="AX63" s="69">
        <v>7620</v>
      </c>
      <c r="AY63" s="68">
        <f t="shared" si="146"/>
        <v>7620</v>
      </c>
      <c r="AZ63" s="356">
        <v>4</v>
      </c>
      <c r="BA63" s="66">
        <f t="shared" si="147"/>
        <v>12826</v>
      </c>
      <c r="BB63" s="66">
        <f t="shared" si="148"/>
        <v>3206.5</v>
      </c>
      <c r="BC63" s="66">
        <v>12826</v>
      </c>
      <c r="BD63" s="66"/>
      <c r="BE63" s="66"/>
      <c r="BF63" s="66"/>
      <c r="BG63" s="66"/>
      <c r="BH63" s="66">
        <v>12826</v>
      </c>
      <c r="BI63" s="357">
        <f t="shared" si="149"/>
        <v>12826</v>
      </c>
      <c r="BJ63" s="358">
        <v>4</v>
      </c>
      <c r="BK63" s="66">
        <f t="shared" si="150"/>
        <v>12185</v>
      </c>
      <c r="BL63" s="66">
        <f t="shared" si="151"/>
        <v>3046.25</v>
      </c>
      <c r="BM63" s="69">
        <v>12185</v>
      </c>
      <c r="BN63" s="69"/>
      <c r="BO63" s="69"/>
      <c r="BP63" s="69"/>
      <c r="BQ63" s="69"/>
      <c r="BR63" s="69">
        <v>12185</v>
      </c>
      <c r="BS63" s="68">
        <v>12185</v>
      </c>
      <c r="BT63" s="358">
        <v>6</v>
      </c>
      <c r="BU63" s="66">
        <f t="shared" si="153"/>
        <v>26176</v>
      </c>
      <c r="BV63" s="66">
        <f t="shared" si="154"/>
        <v>4362.666666666667</v>
      </c>
      <c r="BW63" s="69">
        <v>26176</v>
      </c>
      <c r="BX63" s="69"/>
      <c r="BY63" s="69"/>
      <c r="BZ63" s="69"/>
      <c r="CA63" s="69"/>
      <c r="CB63" s="69">
        <v>26176</v>
      </c>
      <c r="CC63" s="68">
        <f t="shared" si="155"/>
        <v>26176</v>
      </c>
      <c r="CD63" s="244">
        <v>2</v>
      </c>
      <c r="CE63" s="66">
        <f t="shared" si="156"/>
        <v>9093</v>
      </c>
      <c r="CF63" s="66">
        <f t="shared" si="157"/>
        <v>4546.5</v>
      </c>
      <c r="CG63" s="195">
        <v>9093</v>
      </c>
      <c r="CH63" s="195"/>
      <c r="CI63" s="195"/>
      <c r="CJ63" s="195"/>
      <c r="CK63" s="195"/>
      <c r="CL63" s="195">
        <v>9093</v>
      </c>
      <c r="CM63" s="403">
        <f t="shared" si="158"/>
        <v>9093</v>
      </c>
    </row>
    <row r="64" spans="1:91" s="58" customFormat="1" ht="15.95" customHeight="1">
      <c r="A64" s="143" t="s">
        <v>186</v>
      </c>
      <c r="B64" s="93">
        <v>106</v>
      </c>
      <c r="C64" s="66">
        <f t="shared" si="132"/>
        <v>294458</v>
      </c>
      <c r="D64" s="66">
        <f t="shared" si="133"/>
        <v>2777.9056603773583</v>
      </c>
      <c r="E64" s="69">
        <v>294458</v>
      </c>
      <c r="F64" s="69"/>
      <c r="G64" s="69"/>
      <c r="H64" s="69"/>
      <c r="I64" s="69"/>
      <c r="J64" s="69">
        <v>294458</v>
      </c>
      <c r="K64" s="68">
        <f t="shared" si="134"/>
        <v>294458</v>
      </c>
      <c r="L64" s="159">
        <v>127</v>
      </c>
      <c r="M64" s="66">
        <f t="shared" si="135"/>
        <v>367500</v>
      </c>
      <c r="N64" s="66">
        <f t="shared" si="136"/>
        <v>2893.7007874015749</v>
      </c>
      <c r="O64" s="69">
        <v>367500</v>
      </c>
      <c r="P64" s="69"/>
      <c r="Q64" s="69"/>
      <c r="R64" s="69"/>
      <c r="S64" s="69"/>
      <c r="T64" s="69">
        <v>367500</v>
      </c>
      <c r="U64" s="68">
        <f t="shared" si="137"/>
        <v>367500</v>
      </c>
      <c r="V64" s="59">
        <v>129</v>
      </c>
      <c r="W64" s="66">
        <f t="shared" si="138"/>
        <v>363239</v>
      </c>
      <c r="X64" s="66">
        <f t="shared" si="139"/>
        <v>2815.8062015503874</v>
      </c>
      <c r="Y64" s="69">
        <v>363239</v>
      </c>
      <c r="Z64" s="69"/>
      <c r="AA64" s="69"/>
      <c r="AB64" s="69"/>
      <c r="AC64" s="69"/>
      <c r="AD64" s="69">
        <v>331231</v>
      </c>
      <c r="AE64" s="68">
        <f t="shared" si="140"/>
        <v>331231</v>
      </c>
      <c r="AF64" s="59">
        <v>141</v>
      </c>
      <c r="AG64" s="66">
        <f t="shared" si="141"/>
        <v>512998</v>
      </c>
      <c r="AH64" s="66">
        <f t="shared" si="142"/>
        <v>3638.2836879432625</v>
      </c>
      <c r="AI64" s="69">
        <v>512998</v>
      </c>
      <c r="AJ64" s="69"/>
      <c r="AK64" s="69"/>
      <c r="AL64" s="69"/>
      <c r="AM64" s="69"/>
      <c r="AN64" s="69">
        <v>454331</v>
      </c>
      <c r="AO64" s="68">
        <f t="shared" si="143"/>
        <v>454331</v>
      </c>
      <c r="AP64" s="59">
        <v>131</v>
      </c>
      <c r="AQ64" s="66">
        <f t="shared" si="144"/>
        <v>480630</v>
      </c>
      <c r="AR64" s="66">
        <f t="shared" si="145"/>
        <v>3668.9312977099235</v>
      </c>
      <c r="AS64" s="69">
        <v>480630</v>
      </c>
      <c r="AT64" s="69"/>
      <c r="AU64" s="69"/>
      <c r="AV64" s="69"/>
      <c r="AW64" s="69"/>
      <c r="AX64" s="69">
        <v>445800</v>
      </c>
      <c r="AY64" s="68">
        <f t="shared" si="146"/>
        <v>445800</v>
      </c>
      <c r="AZ64" s="356">
        <v>186</v>
      </c>
      <c r="BA64" s="66">
        <f t="shared" si="147"/>
        <v>644411</v>
      </c>
      <c r="BB64" s="66">
        <f t="shared" si="148"/>
        <v>3464.5752688172042</v>
      </c>
      <c r="BC64" s="66">
        <v>644411</v>
      </c>
      <c r="BD64" s="66"/>
      <c r="BE64" s="66"/>
      <c r="BF64" s="66"/>
      <c r="BG64" s="66"/>
      <c r="BH64" s="66">
        <v>637249</v>
      </c>
      <c r="BI64" s="357">
        <f t="shared" si="149"/>
        <v>637249</v>
      </c>
      <c r="BJ64" s="358">
        <v>200</v>
      </c>
      <c r="BK64" s="66">
        <f t="shared" si="150"/>
        <v>786273</v>
      </c>
      <c r="BL64" s="66">
        <f t="shared" si="151"/>
        <v>3931.3649999999998</v>
      </c>
      <c r="BM64" s="69">
        <v>786273</v>
      </c>
      <c r="BN64" s="69"/>
      <c r="BO64" s="69"/>
      <c r="BP64" s="69"/>
      <c r="BQ64" s="69"/>
      <c r="BR64" s="69">
        <v>702591</v>
      </c>
      <c r="BS64" s="68">
        <v>702591</v>
      </c>
      <c r="BT64" s="358">
        <v>216</v>
      </c>
      <c r="BU64" s="66">
        <f t="shared" si="153"/>
        <v>843442</v>
      </c>
      <c r="BV64" s="66">
        <f t="shared" si="154"/>
        <v>3904.8240740740739</v>
      </c>
      <c r="BW64" s="69">
        <v>843442</v>
      </c>
      <c r="BX64" s="69"/>
      <c r="BY64" s="69"/>
      <c r="BZ64" s="69"/>
      <c r="CA64" s="69"/>
      <c r="CB64" s="69">
        <v>762582</v>
      </c>
      <c r="CC64" s="68">
        <f t="shared" si="155"/>
        <v>762582</v>
      </c>
      <c r="CD64" s="244">
        <v>240</v>
      </c>
      <c r="CE64" s="66">
        <f t="shared" si="156"/>
        <v>860152</v>
      </c>
      <c r="CF64" s="66">
        <f t="shared" si="157"/>
        <v>3583.9666666666667</v>
      </c>
      <c r="CG64" s="195">
        <v>860152</v>
      </c>
      <c r="CH64" s="195"/>
      <c r="CI64" s="195"/>
      <c r="CJ64" s="195"/>
      <c r="CK64" s="195"/>
      <c r="CL64" s="195">
        <v>769679</v>
      </c>
      <c r="CM64" s="403">
        <f t="shared" si="158"/>
        <v>769679</v>
      </c>
    </row>
    <row r="65" spans="1:91" s="58" customFormat="1" ht="15.95" customHeight="1">
      <c r="A65" s="143" t="s">
        <v>187</v>
      </c>
      <c r="B65" s="93">
        <v>39</v>
      </c>
      <c r="C65" s="66">
        <f t="shared" si="132"/>
        <v>290250</v>
      </c>
      <c r="D65" s="66">
        <f t="shared" si="133"/>
        <v>7442.3076923076924</v>
      </c>
      <c r="E65" s="69">
        <v>7885</v>
      </c>
      <c r="F65" s="69"/>
      <c r="G65" s="69"/>
      <c r="H65" s="69">
        <v>282365</v>
      </c>
      <c r="I65" s="69"/>
      <c r="J65" s="69">
        <v>7885</v>
      </c>
      <c r="K65" s="68">
        <f t="shared" si="134"/>
        <v>7885</v>
      </c>
      <c r="L65" s="159">
        <v>58</v>
      </c>
      <c r="M65" s="66">
        <f t="shared" si="135"/>
        <v>529023</v>
      </c>
      <c r="N65" s="66">
        <f t="shared" si="136"/>
        <v>9121.0862068965525</v>
      </c>
      <c r="O65" s="69"/>
      <c r="P65" s="69"/>
      <c r="Q65" s="69"/>
      <c r="R65" s="69">
        <v>529023</v>
      </c>
      <c r="S65" s="69"/>
      <c r="T65" s="69">
        <v>417972</v>
      </c>
      <c r="U65" s="68">
        <f t="shared" si="137"/>
        <v>0</v>
      </c>
      <c r="V65" s="59">
        <v>48</v>
      </c>
      <c r="W65" s="66">
        <f t="shared" si="138"/>
        <v>423525</v>
      </c>
      <c r="X65" s="66">
        <f t="shared" si="139"/>
        <v>8823.4375</v>
      </c>
      <c r="Y65" s="69"/>
      <c r="Z65" s="69"/>
      <c r="AA65" s="69"/>
      <c r="AB65" s="69">
        <v>423525</v>
      </c>
      <c r="AC65" s="69"/>
      <c r="AD65" s="69">
        <v>328433</v>
      </c>
      <c r="AE65" s="68">
        <f t="shared" si="140"/>
        <v>0</v>
      </c>
      <c r="AF65" s="59">
        <v>39</v>
      </c>
      <c r="AG65" s="66">
        <f t="shared" si="141"/>
        <v>443010</v>
      </c>
      <c r="AH65" s="66">
        <f t="shared" si="142"/>
        <v>11359.23076923077</v>
      </c>
      <c r="AI65" s="69"/>
      <c r="AJ65" s="69"/>
      <c r="AK65" s="69"/>
      <c r="AL65" s="69">
        <v>443010</v>
      </c>
      <c r="AM65" s="69"/>
      <c r="AN65" s="69">
        <v>392085</v>
      </c>
      <c r="AO65" s="68">
        <f t="shared" si="143"/>
        <v>0</v>
      </c>
      <c r="AP65" s="59">
        <v>23</v>
      </c>
      <c r="AQ65" s="66">
        <f t="shared" si="144"/>
        <v>250694</v>
      </c>
      <c r="AR65" s="66">
        <f t="shared" si="145"/>
        <v>10899.739130434782</v>
      </c>
      <c r="AS65" s="69"/>
      <c r="AT65" s="69"/>
      <c r="AU65" s="69"/>
      <c r="AV65" s="69">
        <v>250694</v>
      </c>
      <c r="AW65" s="69"/>
      <c r="AX65" s="69">
        <v>199346</v>
      </c>
      <c r="AY65" s="68">
        <f t="shared" si="146"/>
        <v>0</v>
      </c>
      <c r="AZ65" s="356">
        <v>30</v>
      </c>
      <c r="BA65" s="66">
        <f t="shared" si="147"/>
        <v>417074</v>
      </c>
      <c r="BB65" s="66">
        <f t="shared" si="148"/>
        <v>13902.466666666667</v>
      </c>
      <c r="BC65" s="66">
        <v>41993</v>
      </c>
      <c r="BD65" s="66"/>
      <c r="BE65" s="66"/>
      <c r="BF65" s="66">
        <v>375081</v>
      </c>
      <c r="BG65" s="66"/>
      <c r="BH65" s="66">
        <v>316979</v>
      </c>
      <c r="BI65" s="357">
        <f t="shared" si="149"/>
        <v>41993</v>
      </c>
      <c r="BJ65" s="358">
        <v>43</v>
      </c>
      <c r="BK65" s="66">
        <f t="shared" si="150"/>
        <v>646291</v>
      </c>
      <c r="BL65" s="66">
        <f t="shared" si="151"/>
        <v>15030.023255813954</v>
      </c>
      <c r="BM65" s="69">
        <v>34284</v>
      </c>
      <c r="BN65" s="69"/>
      <c r="BO65" s="69"/>
      <c r="BP65" s="69">
        <v>612007</v>
      </c>
      <c r="BQ65" s="69"/>
      <c r="BR65" s="69">
        <v>510369</v>
      </c>
      <c r="BS65" s="68">
        <v>22729</v>
      </c>
      <c r="BT65" s="358">
        <v>44</v>
      </c>
      <c r="BU65" s="66">
        <f t="shared" si="153"/>
        <v>667432</v>
      </c>
      <c r="BV65" s="66">
        <f t="shared" si="154"/>
        <v>15168.90909090909</v>
      </c>
      <c r="BW65" s="69">
        <v>88408</v>
      </c>
      <c r="BX65" s="69"/>
      <c r="BY65" s="69"/>
      <c r="BZ65" s="69">
        <v>579024</v>
      </c>
      <c r="CA65" s="69"/>
      <c r="CB65" s="69">
        <v>505429</v>
      </c>
      <c r="CC65" s="68">
        <v>24948</v>
      </c>
      <c r="CD65" s="244">
        <v>56</v>
      </c>
      <c r="CE65" s="66">
        <f t="shared" si="156"/>
        <v>1010505</v>
      </c>
      <c r="CF65" s="66">
        <f t="shared" si="157"/>
        <v>18044.732142857141</v>
      </c>
      <c r="CG65" s="195">
        <v>56271</v>
      </c>
      <c r="CH65" s="195"/>
      <c r="CI65" s="195">
        <v>177068</v>
      </c>
      <c r="CJ65" s="195">
        <v>777166</v>
      </c>
      <c r="CK65" s="195"/>
      <c r="CL65" s="195">
        <v>660978</v>
      </c>
      <c r="CM65" s="403">
        <f t="shared" si="158"/>
        <v>56271</v>
      </c>
    </row>
    <row r="66" spans="1:91" s="58" customFormat="1" ht="15.95" customHeight="1">
      <c r="A66" s="367"/>
      <c r="B66" s="93"/>
      <c r="C66" s="66">
        <f t="shared" ref="C66" si="159">SUM(E66:I66)</f>
        <v>0</v>
      </c>
      <c r="D66" s="66">
        <f t="shared" ref="D66:D68" si="160">IFERROR(C66/B66,0)</f>
        <v>0</v>
      </c>
      <c r="E66" s="69"/>
      <c r="F66" s="69"/>
      <c r="G66" s="69"/>
      <c r="H66" s="69"/>
      <c r="I66" s="69"/>
      <c r="J66" s="69"/>
      <c r="K66" s="68">
        <f t="shared" ref="K66:K68" si="161">IF(J66=0,0,(IF(E66&lt;=J66,E66,J66)))</f>
        <v>0</v>
      </c>
      <c r="L66" s="159"/>
      <c r="M66" s="66">
        <f t="shared" ref="M66:M68" si="162">SUM(O66:S66)</f>
        <v>0</v>
      </c>
      <c r="N66" s="66">
        <f t="shared" ref="N66:N68" si="163">IFERROR(M66/L66,0)</f>
        <v>0</v>
      </c>
      <c r="O66" s="69"/>
      <c r="P66" s="69"/>
      <c r="Q66" s="69"/>
      <c r="R66" s="69"/>
      <c r="S66" s="69"/>
      <c r="T66" s="69"/>
      <c r="U66" s="68">
        <f t="shared" ref="U66:U68" si="164">IF(T66=0,0,(IF(O66&lt;=T66,O66,T66)))</f>
        <v>0</v>
      </c>
      <c r="V66" s="59"/>
      <c r="W66" s="66">
        <f t="shared" ref="W66:W68" si="165">SUM(Y66:AC66)</f>
        <v>0</v>
      </c>
      <c r="X66" s="66">
        <f t="shared" ref="X66:X68" si="166">IFERROR(W66/V66,0)</f>
        <v>0</v>
      </c>
      <c r="Y66" s="69"/>
      <c r="Z66" s="69"/>
      <c r="AA66" s="69"/>
      <c r="AB66" s="69"/>
      <c r="AC66" s="69"/>
      <c r="AD66" s="69"/>
      <c r="AE66" s="68">
        <f t="shared" ref="AE66:AE68" si="167">IF(AD66=0,0,(IF(Y66&lt;=AD66,Y66,AD66)))</f>
        <v>0</v>
      </c>
      <c r="AF66" s="59"/>
      <c r="AG66" s="66">
        <f t="shared" ref="AG66:AG68" si="168">SUM(AI66:AM66)</f>
        <v>0</v>
      </c>
      <c r="AH66" s="66">
        <f t="shared" ref="AH66:AH68" si="169">IFERROR(AG66/AF66,0)</f>
        <v>0</v>
      </c>
      <c r="AI66" s="69"/>
      <c r="AJ66" s="69"/>
      <c r="AK66" s="69"/>
      <c r="AL66" s="69"/>
      <c r="AM66" s="69"/>
      <c r="AN66" s="69"/>
      <c r="AO66" s="68">
        <f t="shared" ref="AO66:AO68" si="170">IF(AN66=0,0,(IF(AI66&lt;=AN66,AI66,AN66)))</f>
        <v>0</v>
      </c>
      <c r="AP66" s="59"/>
      <c r="AQ66" s="66">
        <f t="shared" ref="AQ66:AQ68" si="171">SUM(AS66:AW66)</f>
        <v>0</v>
      </c>
      <c r="AR66" s="66">
        <f t="shared" ref="AR66:AR68" si="172">IFERROR(AQ66/AP66,0)</f>
        <v>0</v>
      </c>
      <c r="AS66" s="69"/>
      <c r="AT66" s="69"/>
      <c r="AU66" s="69"/>
      <c r="AV66" s="69"/>
      <c r="AW66" s="69"/>
      <c r="AX66" s="69"/>
      <c r="AY66" s="68">
        <f t="shared" ref="AY66:AY68" si="173">IF(AX66=0,0,(IF(AS66&lt;=AX66,AS66,AX66)))</f>
        <v>0</v>
      </c>
      <c r="AZ66" s="356"/>
      <c r="BA66" s="66"/>
      <c r="BB66" s="66">
        <f t="shared" ref="BB66:BB71" si="174">IFERROR(BA66/AZ66,0)</f>
        <v>0</v>
      </c>
      <c r="BC66" s="66"/>
      <c r="BD66" s="66"/>
      <c r="BE66" s="66"/>
      <c r="BF66" s="66"/>
      <c r="BG66" s="66"/>
      <c r="BH66" s="66"/>
      <c r="BI66" s="357">
        <f t="shared" si="149"/>
        <v>0</v>
      </c>
      <c r="BJ66" s="358"/>
      <c r="BK66" s="66"/>
      <c r="BL66" s="66"/>
      <c r="BM66" s="69"/>
      <c r="BN66" s="69"/>
      <c r="BO66" s="69"/>
      <c r="BP66" s="69"/>
      <c r="BQ66" s="69"/>
      <c r="BR66" s="69"/>
      <c r="BS66" s="68">
        <f t="shared" si="152"/>
        <v>0</v>
      </c>
      <c r="BT66" s="358"/>
      <c r="BU66" s="66">
        <f t="shared" si="153"/>
        <v>0</v>
      </c>
      <c r="BV66" s="66">
        <f t="shared" si="154"/>
        <v>0</v>
      </c>
      <c r="BW66" s="69"/>
      <c r="BX66" s="69"/>
      <c r="BY66" s="69"/>
      <c r="BZ66" s="69"/>
      <c r="CA66" s="69"/>
      <c r="CB66" s="69"/>
      <c r="CC66" s="68">
        <f t="shared" ref="CC66:CC71" si="175">IF(CB66=0,0,(IF(BW66&lt;=CB66,BW66,CB66)))</f>
        <v>0</v>
      </c>
      <c r="CD66" s="244"/>
      <c r="CE66" s="66">
        <f t="shared" si="156"/>
        <v>0</v>
      </c>
      <c r="CF66" s="66">
        <f t="shared" si="157"/>
        <v>0</v>
      </c>
      <c r="CG66" s="195"/>
      <c r="CH66" s="195"/>
      <c r="CI66" s="195"/>
      <c r="CJ66" s="195"/>
      <c r="CK66" s="195"/>
      <c r="CL66" s="195"/>
      <c r="CM66" s="403">
        <f t="shared" si="158"/>
        <v>0</v>
      </c>
    </row>
    <row r="67" spans="1:91" s="58" customFormat="1" ht="15.95" customHeight="1">
      <c r="A67" s="367"/>
      <c r="B67" s="93"/>
      <c r="C67" s="66">
        <f t="shared" ref="C67" si="176">SUM(E67:I67)</f>
        <v>0</v>
      </c>
      <c r="D67" s="66">
        <f t="shared" si="160"/>
        <v>0</v>
      </c>
      <c r="E67" s="69"/>
      <c r="F67" s="69"/>
      <c r="G67" s="69"/>
      <c r="H67" s="69"/>
      <c r="I67" s="69"/>
      <c r="J67" s="69"/>
      <c r="K67" s="68">
        <f t="shared" si="161"/>
        <v>0</v>
      </c>
      <c r="L67" s="159"/>
      <c r="M67" s="66">
        <f t="shared" si="162"/>
        <v>0</v>
      </c>
      <c r="N67" s="66">
        <f t="shared" si="163"/>
        <v>0</v>
      </c>
      <c r="O67" s="69"/>
      <c r="P67" s="69"/>
      <c r="Q67" s="69"/>
      <c r="R67" s="69"/>
      <c r="S67" s="69"/>
      <c r="T67" s="69"/>
      <c r="U67" s="68">
        <f t="shared" si="164"/>
        <v>0</v>
      </c>
      <c r="V67" s="59"/>
      <c r="W67" s="66">
        <f t="shared" si="165"/>
        <v>0</v>
      </c>
      <c r="X67" s="66">
        <f t="shared" si="166"/>
        <v>0</v>
      </c>
      <c r="Y67" s="69"/>
      <c r="Z67" s="69"/>
      <c r="AA67" s="69"/>
      <c r="AB67" s="69"/>
      <c r="AC67" s="69"/>
      <c r="AD67" s="69"/>
      <c r="AE67" s="68">
        <f t="shared" si="167"/>
        <v>0</v>
      </c>
      <c r="AF67" s="59"/>
      <c r="AG67" s="66">
        <f t="shared" si="168"/>
        <v>0</v>
      </c>
      <c r="AH67" s="66">
        <f t="shared" si="169"/>
        <v>0</v>
      </c>
      <c r="AI67" s="69"/>
      <c r="AJ67" s="69"/>
      <c r="AK67" s="69"/>
      <c r="AL67" s="69"/>
      <c r="AM67" s="69"/>
      <c r="AN67" s="69"/>
      <c r="AO67" s="68">
        <f t="shared" si="170"/>
        <v>0</v>
      </c>
      <c r="AP67" s="59"/>
      <c r="AQ67" s="66">
        <f t="shared" si="171"/>
        <v>0</v>
      </c>
      <c r="AR67" s="66">
        <f t="shared" si="172"/>
        <v>0</v>
      </c>
      <c r="AS67" s="69"/>
      <c r="AT67" s="69"/>
      <c r="AU67" s="69"/>
      <c r="AV67" s="69"/>
      <c r="AW67" s="69"/>
      <c r="AX67" s="69"/>
      <c r="AY67" s="68">
        <f t="shared" si="173"/>
        <v>0</v>
      </c>
      <c r="AZ67" s="356"/>
      <c r="BA67" s="66">
        <f t="shared" ref="BA67:BA71" si="177">SUM(BC67:BG67)</f>
        <v>0</v>
      </c>
      <c r="BB67" s="66">
        <f t="shared" si="174"/>
        <v>0</v>
      </c>
      <c r="BC67" s="66"/>
      <c r="BD67" s="66"/>
      <c r="BE67" s="66"/>
      <c r="BF67" s="66"/>
      <c r="BG67" s="66"/>
      <c r="BH67" s="66"/>
      <c r="BI67" s="357">
        <f t="shared" si="149"/>
        <v>0</v>
      </c>
      <c r="BJ67" s="358"/>
      <c r="BK67" s="66"/>
      <c r="BL67" s="66"/>
      <c r="BM67" s="69"/>
      <c r="BN67" s="69"/>
      <c r="BO67" s="69"/>
      <c r="BP67" s="69"/>
      <c r="BQ67" s="69"/>
      <c r="BR67" s="69"/>
      <c r="BS67" s="68">
        <f t="shared" si="152"/>
        <v>0</v>
      </c>
      <c r="BT67" s="358"/>
      <c r="BU67" s="66">
        <f t="shared" si="153"/>
        <v>0</v>
      </c>
      <c r="BV67" s="66">
        <f t="shared" si="154"/>
        <v>0</v>
      </c>
      <c r="BW67" s="69"/>
      <c r="BX67" s="69"/>
      <c r="BY67" s="69"/>
      <c r="BZ67" s="69"/>
      <c r="CA67" s="69"/>
      <c r="CB67" s="69"/>
      <c r="CC67" s="68">
        <f t="shared" si="175"/>
        <v>0</v>
      </c>
      <c r="CD67" s="244"/>
      <c r="CE67" s="66">
        <f t="shared" si="156"/>
        <v>0</v>
      </c>
      <c r="CF67" s="66">
        <f t="shared" si="157"/>
        <v>0</v>
      </c>
      <c r="CG67" s="195"/>
      <c r="CH67" s="195"/>
      <c r="CI67" s="195"/>
      <c r="CJ67" s="195"/>
      <c r="CK67" s="195"/>
      <c r="CL67" s="195"/>
      <c r="CM67" s="403">
        <f t="shared" si="158"/>
        <v>0</v>
      </c>
    </row>
    <row r="68" spans="1:91" s="58" customFormat="1" ht="15.95" customHeight="1">
      <c r="A68" s="367"/>
      <c r="B68" s="93"/>
      <c r="C68" s="66">
        <f t="shared" ref="C68" si="178">SUM(E68:I68)</f>
        <v>0</v>
      </c>
      <c r="D68" s="66">
        <f t="shared" si="160"/>
        <v>0</v>
      </c>
      <c r="E68" s="69"/>
      <c r="F68" s="69"/>
      <c r="G68" s="69"/>
      <c r="H68" s="69"/>
      <c r="I68" s="69"/>
      <c r="J68" s="69"/>
      <c r="K68" s="68">
        <f t="shared" si="161"/>
        <v>0</v>
      </c>
      <c r="L68" s="159"/>
      <c r="M68" s="66">
        <f t="shared" si="162"/>
        <v>0</v>
      </c>
      <c r="N68" s="66">
        <f t="shared" si="163"/>
        <v>0</v>
      </c>
      <c r="O68" s="69"/>
      <c r="P68" s="69"/>
      <c r="Q68" s="69"/>
      <c r="R68" s="69"/>
      <c r="S68" s="69"/>
      <c r="T68" s="69"/>
      <c r="U68" s="68">
        <f t="shared" si="164"/>
        <v>0</v>
      </c>
      <c r="V68" s="59"/>
      <c r="W68" s="66">
        <f t="shared" si="165"/>
        <v>0</v>
      </c>
      <c r="X68" s="66">
        <f t="shared" si="166"/>
        <v>0</v>
      </c>
      <c r="Y68" s="69"/>
      <c r="Z68" s="69"/>
      <c r="AA68" s="69"/>
      <c r="AB68" s="69"/>
      <c r="AC68" s="69"/>
      <c r="AD68" s="69"/>
      <c r="AE68" s="68">
        <f t="shared" si="167"/>
        <v>0</v>
      </c>
      <c r="AF68" s="59"/>
      <c r="AG68" s="66">
        <f t="shared" si="168"/>
        <v>0</v>
      </c>
      <c r="AH68" s="66">
        <f t="shared" si="169"/>
        <v>0</v>
      </c>
      <c r="AI68" s="69"/>
      <c r="AJ68" s="69"/>
      <c r="AK68" s="69"/>
      <c r="AL68" s="69"/>
      <c r="AM68" s="69"/>
      <c r="AN68" s="69"/>
      <c r="AO68" s="68">
        <f t="shared" si="170"/>
        <v>0</v>
      </c>
      <c r="AP68" s="59"/>
      <c r="AQ68" s="66">
        <f t="shared" si="171"/>
        <v>0</v>
      </c>
      <c r="AR68" s="66">
        <f t="shared" si="172"/>
        <v>0</v>
      </c>
      <c r="AS68" s="69"/>
      <c r="AT68" s="69"/>
      <c r="AU68" s="69"/>
      <c r="AV68" s="69"/>
      <c r="AW68" s="69"/>
      <c r="AX68" s="69"/>
      <c r="AY68" s="68">
        <f t="shared" si="173"/>
        <v>0</v>
      </c>
      <c r="AZ68" s="356"/>
      <c r="BA68" s="66">
        <f t="shared" si="177"/>
        <v>0</v>
      </c>
      <c r="BB68" s="66">
        <f t="shared" si="174"/>
        <v>0</v>
      </c>
      <c r="BC68" s="66"/>
      <c r="BD68" s="66"/>
      <c r="BE68" s="66"/>
      <c r="BF68" s="66"/>
      <c r="BG68" s="66"/>
      <c r="BH68" s="66"/>
      <c r="BI68" s="357">
        <f t="shared" si="149"/>
        <v>0</v>
      </c>
      <c r="BJ68" s="358"/>
      <c r="BK68" s="66"/>
      <c r="BL68" s="66"/>
      <c r="BM68" s="69"/>
      <c r="BN68" s="69"/>
      <c r="BO68" s="69"/>
      <c r="BP68" s="69"/>
      <c r="BQ68" s="69"/>
      <c r="BR68" s="69"/>
      <c r="BS68" s="68">
        <f t="shared" si="152"/>
        <v>0</v>
      </c>
      <c r="BT68" s="358"/>
      <c r="BU68" s="66">
        <f t="shared" si="153"/>
        <v>0</v>
      </c>
      <c r="BV68" s="66">
        <f t="shared" si="154"/>
        <v>0</v>
      </c>
      <c r="BW68" s="69"/>
      <c r="BX68" s="69"/>
      <c r="BY68" s="69"/>
      <c r="BZ68" s="69"/>
      <c r="CA68" s="69"/>
      <c r="CB68" s="69"/>
      <c r="CC68" s="68">
        <f t="shared" si="175"/>
        <v>0</v>
      </c>
      <c r="CD68" s="244"/>
      <c r="CE68" s="66">
        <f t="shared" si="156"/>
        <v>0</v>
      </c>
      <c r="CF68" s="66">
        <f t="shared" si="157"/>
        <v>0</v>
      </c>
      <c r="CG68" s="195"/>
      <c r="CH68" s="195"/>
      <c r="CI68" s="195"/>
      <c r="CJ68" s="195"/>
      <c r="CK68" s="195"/>
      <c r="CL68" s="195"/>
      <c r="CM68" s="403">
        <f t="shared" si="158"/>
        <v>0</v>
      </c>
    </row>
    <row r="69" spans="1:91" s="58" customFormat="1" ht="15.95" customHeight="1">
      <c r="A69" s="367"/>
      <c r="B69" s="93"/>
      <c r="C69" s="66">
        <f t="shared" si="132"/>
        <v>0</v>
      </c>
      <c r="D69" s="66">
        <f t="shared" si="133"/>
        <v>0</v>
      </c>
      <c r="E69" s="69"/>
      <c r="F69" s="69"/>
      <c r="G69" s="69"/>
      <c r="H69" s="69"/>
      <c r="I69" s="69"/>
      <c r="J69" s="69"/>
      <c r="K69" s="68">
        <f t="shared" si="134"/>
        <v>0</v>
      </c>
      <c r="L69" s="159"/>
      <c r="M69" s="66">
        <f t="shared" si="135"/>
        <v>0</v>
      </c>
      <c r="N69" s="66">
        <f t="shared" si="136"/>
        <v>0</v>
      </c>
      <c r="O69" s="69"/>
      <c r="P69" s="69"/>
      <c r="Q69" s="69"/>
      <c r="R69" s="69"/>
      <c r="S69" s="69"/>
      <c r="T69" s="69"/>
      <c r="U69" s="68">
        <f t="shared" si="137"/>
        <v>0</v>
      </c>
      <c r="V69" s="59"/>
      <c r="W69" s="66">
        <f t="shared" si="138"/>
        <v>0</v>
      </c>
      <c r="X69" s="66">
        <f t="shared" si="139"/>
        <v>0</v>
      </c>
      <c r="Y69" s="69"/>
      <c r="Z69" s="69"/>
      <c r="AA69" s="69"/>
      <c r="AB69" s="69"/>
      <c r="AC69" s="69"/>
      <c r="AD69" s="69"/>
      <c r="AE69" s="68">
        <f t="shared" si="140"/>
        <v>0</v>
      </c>
      <c r="AF69" s="59"/>
      <c r="AG69" s="66">
        <f t="shared" si="141"/>
        <v>0</v>
      </c>
      <c r="AH69" s="66">
        <f t="shared" si="142"/>
        <v>0</v>
      </c>
      <c r="AI69" s="69"/>
      <c r="AJ69" s="69"/>
      <c r="AK69" s="69"/>
      <c r="AL69" s="69"/>
      <c r="AM69" s="69"/>
      <c r="AN69" s="69"/>
      <c r="AO69" s="68">
        <f t="shared" si="143"/>
        <v>0</v>
      </c>
      <c r="AP69" s="59"/>
      <c r="AQ69" s="66">
        <f t="shared" si="144"/>
        <v>0</v>
      </c>
      <c r="AR69" s="66">
        <f t="shared" si="145"/>
        <v>0</v>
      </c>
      <c r="AS69" s="69"/>
      <c r="AT69" s="69"/>
      <c r="AU69" s="69"/>
      <c r="AV69" s="69"/>
      <c r="AW69" s="69"/>
      <c r="AX69" s="69"/>
      <c r="AY69" s="68">
        <f t="shared" si="146"/>
        <v>0</v>
      </c>
      <c r="AZ69" s="356"/>
      <c r="BA69" s="66">
        <f t="shared" si="177"/>
        <v>0</v>
      </c>
      <c r="BB69" s="66">
        <f t="shared" si="174"/>
        <v>0</v>
      </c>
      <c r="BC69" s="66"/>
      <c r="BD69" s="66"/>
      <c r="BE69" s="66"/>
      <c r="BF69" s="66"/>
      <c r="BG69" s="66"/>
      <c r="BH69" s="66"/>
      <c r="BI69" s="357">
        <f t="shared" si="149"/>
        <v>0</v>
      </c>
      <c r="BJ69" s="358"/>
      <c r="BK69" s="66"/>
      <c r="BL69" s="66"/>
      <c r="BM69" s="69"/>
      <c r="BN69" s="69"/>
      <c r="BO69" s="69"/>
      <c r="BP69" s="69"/>
      <c r="BQ69" s="69"/>
      <c r="BR69" s="69"/>
      <c r="BS69" s="68">
        <f t="shared" si="152"/>
        <v>0</v>
      </c>
      <c r="BT69" s="358"/>
      <c r="BU69" s="66">
        <f t="shared" si="153"/>
        <v>0</v>
      </c>
      <c r="BV69" s="66">
        <f t="shared" si="154"/>
        <v>0</v>
      </c>
      <c r="BW69" s="69"/>
      <c r="BX69" s="69"/>
      <c r="BY69" s="69"/>
      <c r="BZ69" s="69"/>
      <c r="CA69" s="69"/>
      <c r="CB69" s="69"/>
      <c r="CC69" s="68">
        <f t="shared" si="175"/>
        <v>0</v>
      </c>
      <c r="CD69" s="244"/>
      <c r="CE69" s="66">
        <f t="shared" si="156"/>
        <v>0</v>
      </c>
      <c r="CF69" s="66">
        <f t="shared" si="157"/>
        <v>0</v>
      </c>
      <c r="CG69" s="195"/>
      <c r="CH69" s="195"/>
      <c r="CI69" s="195"/>
      <c r="CJ69" s="195"/>
      <c r="CK69" s="195"/>
      <c r="CL69" s="195"/>
      <c r="CM69" s="403">
        <f t="shared" si="158"/>
        <v>0</v>
      </c>
    </row>
    <row r="70" spans="1:91" s="58" customFormat="1" ht="15.95" customHeight="1">
      <c r="A70" s="367"/>
      <c r="B70" s="93"/>
      <c r="C70" s="66">
        <f t="shared" ref="C70" si="179">SUM(E70:I70)</f>
        <v>0</v>
      </c>
      <c r="D70" s="66">
        <f t="shared" si="133"/>
        <v>0</v>
      </c>
      <c r="E70" s="69"/>
      <c r="F70" s="69"/>
      <c r="G70" s="69"/>
      <c r="H70" s="69"/>
      <c r="I70" s="69"/>
      <c r="J70" s="69"/>
      <c r="K70" s="68">
        <f t="shared" si="134"/>
        <v>0</v>
      </c>
      <c r="L70" s="159"/>
      <c r="M70" s="66">
        <f t="shared" si="135"/>
        <v>0</v>
      </c>
      <c r="N70" s="66">
        <f t="shared" si="136"/>
        <v>0</v>
      </c>
      <c r="O70" s="69"/>
      <c r="P70" s="69"/>
      <c r="Q70" s="69"/>
      <c r="R70" s="69"/>
      <c r="S70" s="69"/>
      <c r="T70" s="69"/>
      <c r="U70" s="68">
        <f t="shared" si="137"/>
        <v>0</v>
      </c>
      <c r="V70" s="59"/>
      <c r="W70" s="66">
        <f t="shared" si="138"/>
        <v>0</v>
      </c>
      <c r="X70" s="66">
        <f t="shared" si="139"/>
        <v>0</v>
      </c>
      <c r="Y70" s="69"/>
      <c r="Z70" s="69"/>
      <c r="AA70" s="69"/>
      <c r="AB70" s="69"/>
      <c r="AC70" s="69"/>
      <c r="AD70" s="69"/>
      <c r="AE70" s="68">
        <f t="shared" si="140"/>
        <v>0</v>
      </c>
      <c r="AF70" s="59"/>
      <c r="AG70" s="66">
        <f t="shared" si="141"/>
        <v>0</v>
      </c>
      <c r="AH70" s="66">
        <f t="shared" si="142"/>
        <v>0</v>
      </c>
      <c r="AI70" s="69"/>
      <c r="AJ70" s="69"/>
      <c r="AK70" s="69"/>
      <c r="AL70" s="69"/>
      <c r="AM70" s="69"/>
      <c r="AN70" s="69"/>
      <c r="AO70" s="68">
        <f t="shared" si="143"/>
        <v>0</v>
      </c>
      <c r="AP70" s="59"/>
      <c r="AQ70" s="66">
        <f t="shared" si="144"/>
        <v>0</v>
      </c>
      <c r="AR70" s="66">
        <f t="shared" si="145"/>
        <v>0</v>
      </c>
      <c r="AS70" s="69"/>
      <c r="AT70" s="69"/>
      <c r="AU70" s="69"/>
      <c r="AV70" s="69"/>
      <c r="AW70" s="69"/>
      <c r="AX70" s="69"/>
      <c r="AY70" s="68">
        <f t="shared" si="146"/>
        <v>0</v>
      </c>
      <c r="AZ70" s="356"/>
      <c r="BA70" s="66">
        <f t="shared" si="177"/>
        <v>0</v>
      </c>
      <c r="BB70" s="66">
        <f t="shared" si="174"/>
        <v>0</v>
      </c>
      <c r="BC70" s="66"/>
      <c r="BD70" s="66"/>
      <c r="BE70" s="66"/>
      <c r="BF70" s="66"/>
      <c r="BG70" s="66"/>
      <c r="BH70" s="66"/>
      <c r="BI70" s="357">
        <f t="shared" si="149"/>
        <v>0</v>
      </c>
      <c r="BJ70" s="358"/>
      <c r="BK70" s="66"/>
      <c r="BL70" s="66"/>
      <c r="BM70" s="69"/>
      <c r="BN70" s="69"/>
      <c r="BO70" s="69"/>
      <c r="BP70" s="69"/>
      <c r="BQ70" s="69"/>
      <c r="BR70" s="69"/>
      <c r="BS70" s="68">
        <f t="shared" si="152"/>
        <v>0</v>
      </c>
      <c r="BT70" s="358"/>
      <c r="BU70" s="66">
        <f t="shared" si="153"/>
        <v>0</v>
      </c>
      <c r="BV70" s="66">
        <f t="shared" si="154"/>
        <v>0</v>
      </c>
      <c r="BW70" s="69"/>
      <c r="BX70" s="69"/>
      <c r="BY70" s="69"/>
      <c r="BZ70" s="69"/>
      <c r="CA70" s="69"/>
      <c r="CB70" s="69"/>
      <c r="CC70" s="68">
        <f t="shared" si="175"/>
        <v>0</v>
      </c>
      <c r="CD70" s="244"/>
      <c r="CE70" s="66">
        <f t="shared" si="156"/>
        <v>0</v>
      </c>
      <c r="CF70" s="66">
        <f t="shared" si="157"/>
        <v>0</v>
      </c>
      <c r="CG70" s="195"/>
      <c r="CH70" s="195"/>
      <c r="CI70" s="195"/>
      <c r="CJ70" s="195"/>
      <c r="CK70" s="195"/>
      <c r="CL70" s="195"/>
      <c r="CM70" s="403">
        <f t="shared" si="158"/>
        <v>0</v>
      </c>
    </row>
    <row r="71" spans="1:91" s="58" customFormat="1" ht="15.95" customHeight="1">
      <c r="A71" s="367"/>
      <c r="B71" s="93"/>
      <c r="C71" s="66">
        <f t="shared" si="132"/>
        <v>0</v>
      </c>
      <c r="D71" s="66">
        <f t="shared" si="133"/>
        <v>0</v>
      </c>
      <c r="E71" s="69"/>
      <c r="F71" s="69"/>
      <c r="G71" s="69"/>
      <c r="H71" s="69"/>
      <c r="I71" s="69"/>
      <c r="J71" s="69"/>
      <c r="K71" s="68">
        <f t="shared" si="134"/>
        <v>0</v>
      </c>
      <c r="L71" s="159"/>
      <c r="M71" s="66">
        <f t="shared" si="135"/>
        <v>0</v>
      </c>
      <c r="N71" s="66">
        <f t="shared" si="136"/>
        <v>0</v>
      </c>
      <c r="O71" s="69"/>
      <c r="P71" s="69"/>
      <c r="Q71" s="69"/>
      <c r="R71" s="69"/>
      <c r="S71" s="69"/>
      <c r="T71" s="69"/>
      <c r="U71" s="68">
        <f t="shared" si="137"/>
        <v>0</v>
      </c>
      <c r="V71" s="59"/>
      <c r="W71" s="66">
        <f t="shared" si="138"/>
        <v>0</v>
      </c>
      <c r="X71" s="66">
        <f t="shared" si="139"/>
        <v>0</v>
      </c>
      <c r="Y71" s="69"/>
      <c r="Z71" s="69"/>
      <c r="AA71" s="69"/>
      <c r="AB71" s="69"/>
      <c r="AC71" s="69"/>
      <c r="AD71" s="69"/>
      <c r="AE71" s="68">
        <f t="shared" si="140"/>
        <v>0</v>
      </c>
      <c r="AF71" s="59"/>
      <c r="AG71" s="66">
        <f t="shared" si="141"/>
        <v>0</v>
      </c>
      <c r="AH71" s="66">
        <f t="shared" si="142"/>
        <v>0</v>
      </c>
      <c r="AI71" s="69"/>
      <c r="AJ71" s="69"/>
      <c r="AK71" s="69"/>
      <c r="AL71" s="69"/>
      <c r="AM71" s="69"/>
      <c r="AN71" s="69"/>
      <c r="AO71" s="68">
        <f t="shared" si="143"/>
        <v>0</v>
      </c>
      <c r="AP71" s="59"/>
      <c r="AQ71" s="66">
        <f t="shared" si="144"/>
        <v>0</v>
      </c>
      <c r="AR71" s="66">
        <f t="shared" si="145"/>
        <v>0</v>
      </c>
      <c r="AS71" s="69"/>
      <c r="AT71" s="69"/>
      <c r="AU71" s="69"/>
      <c r="AV71" s="69"/>
      <c r="AW71" s="69"/>
      <c r="AX71" s="69"/>
      <c r="AY71" s="68">
        <f t="shared" si="146"/>
        <v>0</v>
      </c>
      <c r="AZ71" s="356"/>
      <c r="BA71" s="66">
        <f t="shared" si="177"/>
        <v>0</v>
      </c>
      <c r="BB71" s="66">
        <f t="shared" si="174"/>
        <v>0</v>
      </c>
      <c r="BC71" s="66"/>
      <c r="BD71" s="66"/>
      <c r="BE71" s="66"/>
      <c r="BF71" s="66"/>
      <c r="BG71" s="66"/>
      <c r="BH71" s="66"/>
      <c r="BI71" s="357">
        <f t="shared" si="149"/>
        <v>0</v>
      </c>
      <c r="BJ71" s="358"/>
      <c r="BK71" s="66"/>
      <c r="BL71" s="66"/>
      <c r="BM71" s="69"/>
      <c r="BN71" s="69"/>
      <c r="BO71" s="69"/>
      <c r="BP71" s="69"/>
      <c r="BQ71" s="69"/>
      <c r="BR71" s="69"/>
      <c r="BS71" s="68">
        <f t="shared" si="152"/>
        <v>0</v>
      </c>
      <c r="BT71" s="358"/>
      <c r="BU71" s="66">
        <f t="shared" si="153"/>
        <v>0</v>
      </c>
      <c r="BV71" s="66">
        <f t="shared" si="154"/>
        <v>0</v>
      </c>
      <c r="BW71" s="69"/>
      <c r="BX71" s="69"/>
      <c r="BY71" s="69"/>
      <c r="BZ71" s="69"/>
      <c r="CA71" s="69"/>
      <c r="CB71" s="69"/>
      <c r="CC71" s="68">
        <f t="shared" si="175"/>
        <v>0</v>
      </c>
      <c r="CD71" s="244"/>
      <c r="CE71" s="66">
        <f t="shared" si="156"/>
        <v>0</v>
      </c>
      <c r="CF71" s="66">
        <f t="shared" si="157"/>
        <v>0</v>
      </c>
      <c r="CG71" s="195"/>
      <c r="CH71" s="195"/>
      <c r="CI71" s="195"/>
      <c r="CJ71" s="195"/>
      <c r="CK71" s="195"/>
      <c r="CL71" s="195"/>
      <c r="CM71" s="403">
        <f t="shared" si="158"/>
        <v>0</v>
      </c>
    </row>
    <row r="72" spans="1:91" s="5" customFormat="1" ht="15.95" customHeight="1">
      <c r="A72" s="79" t="s">
        <v>164</v>
      </c>
      <c r="B72" s="90"/>
      <c r="C72" s="61"/>
      <c r="D72" s="61"/>
      <c r="E72" s="63"/>
      <c r="F72" s="63"/>
      <c r="G72" s="63"/>
      <c r="H72" s="63"/>
      <c r="I72" s="63"/>
      <c r="J72" s="63"/>
      <c r="K72" s="166"/>
      <c r="L72" s="157"/>
      <c r="M72" s="61"/>
      <c r="N72" s="61"/>
      <c r="O72" s="63"/>
      <c r="P72" s="63"/>
      <c r="Q72" s="63"/>
      <c r="R72" s="63"/>
      <c r="S72" s="63"/>
      <c r="T72" s="63"/>
      <c r="U72" s="166"/>
      <c r="V72" s="55"/>
      <c r="W72" s="61"/>
      <c r="X72" s="61"/>
      <c r="Y72" s="63"/>
      <c r="Z72" s="63"/>
      <c r="AA72" s="63"/>
      <c r="AB72" s="63"/>
      <c r="AC72" s="63"/>
      <c r="AD72" s="63"/>
      <c r="AE72" s="166"/>
      <c r="AF72" s="55"/>
      <c r="AG72" s="61"/>
      <c r="AH72" s="61"/>
      <c r="AI72" s="63"/>
      <c r="AJ72" s="63"/>
      <c r="AK72" s="63"/>
      <c r="AL72" s="63"/>
      <c r="AM72" s="63"/>
      <c r="AN72" s="63"/>
      <c r="AO72" s="166"/>
      <c r="AP72" s="55"/>
      <c r="AQ72" s="61"/>
      <c r="AR72" s="61"/>
      <c r="AS72" s="63"/>
      <c r="AT72" s="63"/>
      <c r="AU72" s="63"/>
      <c r="AV72" s="63"/>
      <c r="AW72" s="63"/>
      <c r="AX72" s="63"/>
      <c r="AY72" s="166"/>
      <c r="AZ72" s="356"/>
      <c r="BA72" s="66"/>
      <c r="BB72" s="66"/>
      <c r="BC72" s="66"/>
      <c r="BD72" s="66"/>
      <c r="BE72" s="66"/>
      <c r="BF72" s="66"/>
      <c r="BG72" s="66"/>
      <c r="BH72" s="66"/>
      <c r="BI72" s="357"/>
      <c r="BJ72" s="243"/>
      <c r="BK72" s="66"/>
      <c r="BL72" s="66"/>
      <c r="BM72" s="63"/>
      <c r="BN72" s="63"/>
      <c r="BO72" s="63"/>
      <c r="BP72" s="63"/>
      <c r="BQ72" s="63"/>
      <c r="BR72" s="63"/>
      <c r="BS72" s="166"/>
      <c r="BT72" s="243"/>
      <c r="BU72" s="66"/>
      <c r="BV72" s="66"/>
      <c r="BW72" s="63"/>
      <c r="BX72" s="63"/>
      <c r="BY72" s="63"/>
      <c r="BZ72" s="63"/>
      <c r="CA72" s="63"/>
      <c r="CB72" s="63"/>
      <c r="CC72" s="166"/>
      <c r="CD72" s="243"/>
      <c r="CE72" s="66"/>
      <c r="CF72" s="66"/>
      <c r="CG72" s="63"/>
      <c r="CH72" s="63"/>
      <c r="CI72" s="63"/>
      <c r="CJ72" s="63"/>
      <c r="CK72" s="63"/>
      <c r="CL72" s="63"/>
      <c r="CM72" s="166"/>
    </row>
    <row r="73" spans="1:91" s="58" customFormat="1" ht="15.95" customHeight="1">
      <c r="A73" s="80" t="s">
        <v>62</v>
      </c>
      <c r="B73" s="92">
        <f>SUM(B$57:B72)</f>
        <v>199</v>
      </c>
      <c r="C73" s="66">
        <f>SUM(C$57:C72)</f>
        <v>2172883</v>
      </c>
      <c r="D73" s="66">
        <f>IFERROR(C73/B73,0)</f>
        <v>10919.010050251256</v>
      </c>
      <c r="E73" s="67">
        <f>SUM(E$57:E72)</f>
        <v>351780</v>
      </c>
      <c r="F73" s="67">
        <f>SUM(F$57:F72)</f>
        <v>0</v>
      </c>
      <c r="G73" s="67">
        <f>SUM(G$57:G72)</f>
        <v>12216</v>
      </c>
      <c r="H73" s="67">
        <f>SUM(H$57:H72)</f>
        <v>1808887</v>
      </c>
      <c r="I73" s="67">
        <f>SUM(I$57:I72)</f>
        <v>0</v>
      </c>
      <c r="J73" s="67">
        <f>SUM(J$57:J72)</f>
        <v>1487062</v>
      </c>
      <c r="K73" s="68">
        <f>SUM(K$57:K72)</f>
        <v>351780</v>
      </c>
      <c r="L73" s="160">
        <f>SUM(L$57:L72)</f>
        <v>242</v>
      </c>
      <c r="M73" s="66">
        <f>SUM(M$57:M72)</f>
        <v>2826387</v>
      </c>
      <c r="N73" s="66">
        <f>IFERROR(M73/L73,0)</f>
        <v>11679.285123966942</v>
      </c>
      <c r="O73" s="67">
        <f>SUM(O$57:O72)</f>
        <v>409481</v>
      </c>
      <c r="P73" s="67">
        <f>SUM(P$57:P72)</f>
        <v>0</v>
      </c>
      <c r="Q73" s="67">
        <f>SUM(Q$57:Q72)</f>
        <v>8625</v>
      </c>
      <c r="R73" s="67">
        <f>SUM(R$57:R72)</f>
        <v>2408281</v>
      </c>
      <c r="S73" s="67">
        <f>SUM(S$57:S72)</f>
        <v>0</v>
      </c>
      <c r="T73" s="67">
        <f>SUM(T$57:T72)</f>
        <v>1910053</v>
      </c>
      <c r="U73" s="68">
        <f>SUM(U$57:U72)</f>
        <v>409481</v>
      </c>
      <c r="V73" s="50">
        <f>SUM(V$57:V72)</f>
        <v>236</v>
      </c>
      <c r="W73" s="66">
        <f>SUM(W$57:W72)</f>
        <v>2389629</v>
      </c>
      <c r="X73" s="66">
        <f>IFERROR(W73/V73,0)</f>
        <v>10125.546610169491</v>
      </c>
      <c r="Y73" s="67">
        <f>SUM(Y$57:Y72)</f>
        <v>418778</v>
      </c>
      <c r="Z73" s="67">
        <f>SUM(Z$57:Z72)</f>
        <v>0</v>
      </c>
      <c r="AA73" s="67">
        <f>SUM(AA$57:AA72)</f>
        <v>0</v>
      </c>
      <c r="AB73" s="67">
        <f>SUM(AB$57:AB72)</f>
        <v>1970851</v>
      </c>
      <c r="AC73" s="67">
        <f>SUM(AC$57:AC72)</f>
        <v>0</v>
      </c>
      <c r="AD73" s="67">
        <f>SUM(AD$57:AD72)</f>
        <v>1706481</v>
      </c>
      <c r="AE73" s="68">
        <f>SUM(AE$57:AE72)</f>
        <v>386770</v>
      </c>
      <c r="AF73" s="50">
        <f>SUM(AF$57:AF72)</f>
        <v>235</v>
      </c>
      <c r="AG73" s="66">
        <f>SUM(AG$57:AG72)</f>
        <v>2672242</v>
      </c>
      <c r="AH73" s="66">
        <f>IFERROR(AG73/AF73,0)</f>
        <v>11371.242553191489</v>
      </c>
      <c r="AI73" s="67">
        <f>SUM(AI$57:AI72)</f>
        <v>581526</v>
      </c>
      <c r="AJ73" s="67">
        <f>SUM(AJ$57:AJ72)</f>
        <v>0</v>
      </c>
      <c r="AK73" s="67">
        <f>SUM(AK$57:AK72)</f>
        <v>0</v>
      </c>
      <c r="AL73" s="67">
        <f>SUM(AL$57:AL72)</f>
        <v>2090716</v>
      </c>
      <c r="AM73" s="67">
        <f>SUM(AM$57:AM72)</f>
        <v>0</v>
      </c>
      <c r="AN73" s="67">
        <f>SUM(AN$57:AN72)</f>
        <v>1789795</v>
      </c>
      <c r="AO73" s="68">
        <f>SUM(AO$57:AO72)</f>
        <v>522859</v>
      </c>
      <c r="AP73" s="50">
        <f>SUM(AP$57:AP72)</f>
        <v>192</v>
      </c>
      <c r="AQ73" s="66">
        <f>SUM(AQ$57:AQ72)</f>
        <v>2425062</v>
      </c>
      <c r="AR73" s="66">
        <f>IFERROR(AQ73/AP73,0)</f>
        <v>12630.53125</v>
      </c>
      <c r="AS73" s="67">
        <f>SUM(AS$57:AS72)</f>
        <v>528449</v>
      </c>
      <c r="AT73" s="67">
        <f>SUM(AT$57:AT72)</f>
        <v>0</v>
      </c>
      <c r="AU73" s="67">
        <f>SUM(AU$57:AU72)</f>
        <v>0</v>
      </c>
      <c r="AV73" s="67">
        <f>SUM(AV$57:AV72)</f>
        <v>1896613</v>
      </c>
      <c r="AW73" s="67">
        <f>SUM(AW$57:AW72)</f>
        <v>0</v>
      </c>
      <c r="AX73" s="67">
        <f>SUM(AX$57:AX72)</f>
        <v>1441640</v>
      </c>
      <c r="AY73" s="68">
        <f>SUM(AY$57:AY72)</f>
        <v>492955</v>
      </c>
      <c r="AZ73" s="356">
        <f>SUM(AZ$57:AZ72)</f>
        <v>263</v>
      </c>
      <c r="BA73" s="66">
        <f>SUM(BA$57:BA72)</f>
        <v>2859753</v>
      </c>
      <c r="BB73" s="66">
        <f>IFERROR(BA73/AZ73,0)</f>
        <v>10873.585551330798</v>
      </c>
      <c r="BC73" s="66">
        <f>SUM(BC$57:BC72)</f>
        <v>768967</v>
      </c>
      <c r="BD73" s="66">
        <f>SUM(BD$57:BD72)</f>
        <v>0</v>
      </c>
      <c r="BE73" s="66">
        <f>SUM(BE$57:BE72)</f>
        <v>0</v>
      </c>
      <c r="BF73" s="66">
        <f>SUM(BF$57:BF72)</f>
        <v>2090786</v>
      </c>
      <c r="BG73" s="66">
        <f>SUM(BG$57:BG72)</f>
        <v>0</v>
      </c>
      <c r="BH73" s="66">
        <f>SUM(BH$57:BH72)</f>
        <v>1860872</v>
      </c>
      <c r="BI73" s="357">
        <f>SUM(BI$57:BI72)</f>
        <v>758746</v>
      </c>
      <c r="BJ73" s="364">
        <f>SUM(BJ$57:BJ72)</f>
        <v>307</v>
      </c>
      <c r="BK73" s="66">
        <f>SUM(BK$57:BK72)</f>
        <v>3686873</v>
      </c>
      <c r="BL73" s="66">
        <f>IFERROR(BK73/BJ73,0)</f>
        <v>12009.358306188926</v>
      </c>
      <c r="BM73" s="67">
        <f>SUM(BM$57:BM72)</f>
        <v>952238</v>
      </c>
      <c r="BN73" s="67">
        <f>SUM(BN$57:BN72)</f>
        <v>0</v>
      </c>
      <c r="BO73" s="67">
        <f>SUM(BO$57:BO72)</f>
        <v>0</v>
      </c>
      <c r="BP73" s="67">
        <f>SUM(BP$57:BP72)</f>
        <v>2734635</v>
      </c>
      <c r="BQ73" s="67">
        <f>SUM(BQ$57:BQ72)</f>
        <v>0</v>
      </c>
      <c r="BR73" s="67">
        <f>SUM(BR$57:BR72)</f>
        <v>2449758</v>
      </c>
      <c r="BS73" s="68">
        <f>SUM(BS$57:BS72)</f>
        <v>852763</v>
      </c>
      <c r="BT73" s="364">
        <f>SUM(BT$57:BT72)</f>
        <v>324</v>
      </c>
      <c r="BU73" s="66">
        <f>SUM(BU$57:BU72)</f>
        <v>3507827</v>
      </c>
      <c r="BV73" s="66">
        <f>IFERROR(BU73/BT73,0)</f>
        <v>10826.626543209877</v>
      </c>
      <c r="BW73" s="67">
        <f>SUM(BW$57:BW72)</f>
        <v>1072034</v>
      </c>
      <c r="BX73" s="67">
        <f>SUM(BX$57:BX72)</f>
        <v>0</v>
      </c>
      <c r="BY73" s="67">
        <f>SUM(BY$57:BY72)</f>
        <v>8288</v>
      </c>
      <c r="BZ73" s="67">
        <f>SUM(BZ$57:BZ72)</f>
        <v>2427505</v>
      </c>
      <c r="CA73" s="67">
        <f>SUM(CA$57:CA72)</f>
        <v>0</v>
      </c>
      <c r="CB73" s="67">
        <f>SUM(CB$57:CB72)</f>
        <v>2470389</v>
      </c>
      <c r="CC73" s="68">
        <f>SUM(CC$57:CC72)</f>
        <v>923501</v>
      </c>
      <c r="CD73" s="364">
        <f>SUM(CD$57:CD72)</f>
        <v>362</v>
      </c>
      <c r="CE73" s="66">
        <f>SUM(CE$57:CE72)</f>
        <v>4194356</v>
      </c>
      <c r="CF73" s="66">
        <f>IFERROR(CE73/CD73,0)</f>
        <v>11586.618784530387</v>
      </c>
      <c r="CG73" s="67">
        <f>SUM(CG$57:CG72)</f>
        <v>1013035</v>
      </c>
      <c r="CH73" s="67">
        <f>SUM(CH$57:CH72)</f>
        <v>0</v>
      </c>
      <c r="CI73" s="67">
        <f>SUM(CI$57:CI72)</f>
        <v>202314</v>
      </c>
      <c r="CJ73" s="67">
        <f>SUM(CJ$57:CJ72)</f>
        <v>2979007</v>
      </c>
      <c r="CK73" s="67">
        <f>SUM(CK$57:CK72)</f>
        <v>0</v>
      </c>
      <c r="CL73" s="67">
        <f>SUM(CL$57:CL72)</f>
        <v>2580834</v>
      </c>
      <c r="CM73" s="68">
        <f>SUM(CM$57:CM72)</f>
        <v>922562</v>
      </c>
    </row>
    <row r="74" spans="1:91" s="58" customFormat="1" ht="15.95" customHeight="1">
      <c r="A74" s="77"/>
      <c r="B74" s="93"/>
      <c r="C74" s="66"/>
      <c r="D74" s="66"/>
      <c r="E74" s="69"/>
      <c r="F74" s="69"/>
      <c r="G74" s="69"/>
      <c r="H74" s="69"/>
      <c r="I74" s="69"/>
      <c r="J74" s="69"/>
      <c r="K74" s="68"/>
      <c r="L74" s="159"/>
      <c r="M74" s="66"/>
      <c r="N74" s="66"/>
      <c r="O74" s="69"/>
      <c r="P74" s="69"/>
      <c r="Q74" s="69"/>
      <c r="R74" s="69"/>
      <c r="S74" s="69"/>
      <c r="T74" s="69"/>
      <c r="U74" s="68"/>
      <c r="V74" s="59"/>
      <c r="W74" s="66"/>
      <c r="X74" s="66"/>
      <c r="Y74" s="69"/>
      <c r="Z74" s="69"/>
      <c r="AA74" s="69"/>
      <c r="AB74" s="69"/>
      <c r="AC74" s="69"/>
      <c r="AD74" s="69"/>
      <c r="AE74" s="68"/>
      <c r="AF74" s="59"/>
      <c r="AG74" s="66"/>
      <c r="AH74" s="66"/>
      <c r="AI74" s="69"/>
      <c r="AJ74" s="69"/>
      <c r="AK74" s="69"/>
      <c r="AL74" s="69"/>
      <c r="AM74" s="69"/>
      <c r="AN74" s="69"/>
      <c r="AO74" s="68"/>
      <c r="AP74" s="59"/>
      <c r="AQ74" s="66"/>
      <c r="AR74" s="66"/>
      <c r="AS74" s="69"/>
      <c r="AT74" s="69"/>
      <c r="AU74" s="69"/>
      <c r="AV74" s="69"/>
      <c r="AW74" s="69"/>
      <c r="AX74" s="69"/>
      <c r="AY74" s="68"/>
      <c r="AZ74" s="356"/>
      <c r="BA74" s="66"/>
      <c r="BB74" s="66"/>
      <c r="BC74" s="66"/>
      <c r="BD74" s="66"/>
      <c r="BE74" s="66"/>
      <c r="BF74" s="66"/>
      <c r="BG74" s="66"/>
      <c r="BH74" s="66"/>
      <c r="BI74" s="357"/>
      <c r="BJ74" s="358"/>
      <c r="BK74" s="66"/>
      <c r="BL74" s="66"/>
      <c r="BM74" s="69"/>
      <c r="BN74" s="69"/>
      <c r="BO74" s="69"/>
      <c r="BP74" s="69"/>
      <c r="BQ74" s="69"/>
      <c r="BR74" s="69"/>
      <c r="BS74" s="68"/>
      <c r="BT74" s="358"/>
      <c r="BU74" s="66"/>
      <c r="BV74" s="66"/>
      <c r="BW74" s="69"/>
      <c r="BX74" s="69"/>
      <c r="BY74" s="69"/>
      <c r="BZ74" s="69"/>
      <c r="CA74" s="69"/>
      <c r="CB74" s="69"/>
      <c r="CC74" s="68"/>
      <c r="CD74" s="358"/>
      <c r="CE74" s="66"/>
      <c r="CF74" s="66"/>
      <c r="CG74" s="69"/>
      <c r="CH74" s="69"/>
      <c r="CI74" s="69"/>
      <c r="CJ74" s="69"/>
      <c r="CK74" s="69"/>
      <c r="CL74" s="69"/>
      <c r="CM74" s="68"/>
    </row>
    <row r="75" spans="1:91" s="58" customFormat="1" ht="15.95" customHeight="1">
      <c r="A75" s="80" t="s">
        <v>63</v>
      </c>
      <c r="B75" s="92">
        <f>SUM(B35+B55+B73)</f>
        <v>3187</v>
      </c>
      <c r="C75" s="66">
        <f>SUM(C35+C55+C73)</f>
        <v>22700458</v>
      </c>
      <c r="D75" s="66">
        <f>IFERROR(C75/B75,0)</f>
        <v>7122.8296203326008</v>
      </c>
      <c r="E75" s="67">
        <f t="shared" ref="E75:M75" si="180">SUM(E35+E55+E73)</f>
        <v>10089841</v>
      </c>
      <c r="F75" s="67">
        <f t="shared" si="180"/>
        <v>1077097</v>
      </c>
      <c r="G75" s="67">
        <f t="shared" si="180"/>
        <v>168224</v>
      </c>
      <c r="H75" s="67">
        <f t="shared" si="180"/>
        <v>8587713</v>
      </c>
      <c r="I75" s="67">
        <f t="shared" si="180"/>
        <v>2777583</v>
      </c>
      <c r="J75" s="67">
        <f t="shared" si="180"/>
        <v>14574004</v>
      </c>
      <c r="K75" s="68">
        <f t="shared" si="180"/>
        <v>3679563</v>
      </c>
      <c r="L75" s="160">
        <f t="shared" si="180"/>
        <v>3210</v>
      </c>
      <c r="M75" s="66">
        <f t="shared" si="180"/>
        <v>22250150</v>
      </c>
      <c r="N75" s="66">
        <f>IFERROR(M75/L75,0)</f>
        <v>6931.5109034267916</v>
      </c>
      <c r="O75" s="67">
        <f t="shared" ref="O75:W75" si="181">SUM(O35+O55+O73)</f>
        <v>9859008</v>
      </c>
      <c r="P75" s="67">
        <f t="shared" si="181"/>
        <v>1161247</v>
      </c>
      <c r="Q75" s="67">
        <f t="shared" si="181"/>
        <v>676190</v>
      </c>
      <c r="R75" s="67">
        <f t="shared" si="181"/>
        <v>7849510</v>
      </c>
      <c r="S75" s="67">
        <f t="shared" si="181"/>
        <v>2704195</v>
      </c>
      <c r="T75" s="67">
        <f t="shared" si="181"/>
        <v>13602884</v>
      </c>
      <c r="U75" s="68">
        <f t="shared" si="181"/>
        <v>3472394</v>
      </c>
      <c r="V75" s="50">
        <f t="shared" si="181"/>
        <v>3050</v>
      </c>
      <c r="W75" s="66">
        <f t="shared" si="181"/>
        <v>22165668</v>
      </c>
      <c r="X75" s="66">
        <f>IFERROR(W75/V75,0)</f>
        <v>7267.4321311475405</v>
      </c>
      <c r="Y75" s="67">
        <f t="shared" ref="Y75:AG75" si="182">SUM(Y35+Y55+Y73)</f>
        <v>10454617</v>
      </c>
      <c r="Z75" s="67">
        <f t="shared" si="182"/>
        <v>1445195</v>
      </c>
      <c r="AA75" s="67">
        <f t="shared" si="182"/>
        <v>211039</v>
      </c>
      <c r="AB75" s="67">
        <f t="shared" si="182"/>
        <v>6549298</v>
      </c>
      <c r="AC75" s="67">
        <f t="shared" si="182"/>
        <v>3505519</v>
      </c>
      <c r="AD75" s="67">
        <f t="shared" si="182"/>
        <v>13217439</v>
      </c>
      <c r="AE75" s="68">
        <f t="shared" si="182"/>
        <v>3357250</v>
      </c>
      <c r="AF75" s="50">
        <f t="shared" si="182"/>
        <v>3281</v>
      </c>
      <c r="AG75" s="66">
        <f t="shared" si="182"/>
        <v>22321612</v>
      </c>
      <c r="AH75" s="66">
        <f>IFERROR(AG75/AF75,0)</f>
        <v>6803.2953367875643</v>
      </c>
      <c r="AI75" s="67">
        <f t="shared" ref="AI75:AQ75" si="183">SUM(AI35+AI55+AI73)</f>
        <v>10057067</v>
      </c>
      <c r="AJ75" s="67">
        <f t="shared" si="183"/>
        <v>995052</v>
      </c>
      <c r="AK75" s="67">
        <f t="shared" si="183"/>
        <v>228653</v>
      </c>
      <c r="AL75" s="67">
        <f t="shared" si="183"/>
        <v>7051750</v>
      </c>
      <c r="AM75" s="67">
        <f t="shared" si="183"/>
        <v>4217090</v>
      </c>
      <c r="AN75" s="67">
        <f t="shared" si="183"/>
        <v>13911175</v>
      </c>
      <c r="AO75" s="68">
        <f t="shared" si="183"/>
        <v>3594931</v>
      </c>
      <c r="AP75" s="50">
        <f t="shared" si="183"/>
        <v>3159</v>
      </c>
      <c r="AQ75" s="66">
        <f t="shared" si="183"/>
        <v>21318826</v>
      </c>
      <c r="AR75" s="66">
        <f>IFERROR(AQ75/AP75,0)</f>
        <v>6748.5995568217786</v>
      </c>
      <c r="AS75" s="67">
        <f t="shared" ref="AS75:BA75" si="184">SUM(AS35+AS55+AS73)</f>
        <v>10059344</v>
      </c>
      <c r="AT75" s="67">
        <f t="shared" si="184"/>
        <v>716186</v>
      </c>
      <c r="AU75" s="67">
        <f t="shared" si="184"/>
        <v>201801</v>
      </c>
      <c r="AV75" s="67">
        <f t="shared" si="184"/>
        <v>5738393</v>
      </c>
      <c r="AW75" s="67">
        <f t="shared" si="184"/>
        <v>4603102</v>
      </c>
      <c r="AX75" s="67">
        <f t="shared" si="184"/>
        <v>13173184</v>
      </c>
      <c r="AY75" s="68">
        <f t="shared" si="184"/>
        <v>3998839</v>
      </c>
      <c r="AZ75" s="356">
        <f t="shared" si="184"/>
        <v>3370</v>
      </c>
      <c r="BA75" s="66">
        <f t="shared" si="184"/>
        <v>22762901</v>
      </c>
      <c r="BB75" s="66">
        <f>IFERROR(BA75/AZ75,0)</f>
        <v>6754.5700296735904</v>
      </c>
      <c r="BC75" s="66">
        <f t="shared" ref="BC75:BK75" si="185">SUM(BC35+BC55+BC73)</f>
        <v>9569309</v>
      </c>
      <c r="BD75" s="66">
        <f t="shared" si="185"/>
        <v>1372605</v>
      </c>
      <c r="BE75" s="66">
        <f t="shared" si="185"/>
        <v>219276</v>
      </c>
      <c r="BF75" s="66">
        <f t="shared" si="185"/>
        <v>6379654</v>
      </c>
      <c r="BG75" s="66">
        <f t="shared" si="185"/>
        <v>5222057</v>
      </c>
      <c r="BH75" s="66">
        <f t="shared" si="185"/>
        <v>14491816</v>
      </c>
      <c r="BI75" s="357">
        <f t="shared" si="185"/>
        <v>4339243</v>
      </c>
      <c r="BJ75" s="364">
        <f t="shared" si="185"/>
        <v>3446</v>
      </c>
      <c r="BK75" s="66">
        <f t="shared" si="185"/>
        <v>23767974</v>
      </c>
      <c r="BL75" s="66">
        <f>IFERROR(BK75/BJ75,0)</f>
        <v>6897.2646546720835</v>
      </c>
      <c r="BM75" s="67">
        <f t="shared" ref="BM75:BU75" si="186">SUM(BM35+BM55+BM73)</f>
        <v>9549235</v>
      </c>
      <c r="BN75" s="67">
        <f t="shared" si="186"/>
        <v>707521</v>
      </c>
      <c r="BO75" s="67">
        <f t="shared" si="186"/>
        <v>687585</v>
      </c>
      <c r="BP75" s="67">
        <f t="shared" si="186"/>
        <v>7946789</v>
      </c>
      <c r="BQ75" s="67">
        <f t="shared" si="186"/>
        <v>4876844</v>
      </c>
      <c r="BR75" s="67">
        <f t="shared" si="186"/>
        <v>15971551</v>
      </c>
      <c r="BS75" s="68">
        <f t="shared" si="186"/>
        <v>4406460</v>
      </c>
      <c r="BT75" s="364">
        <f t="shared" si="186"/>
        <v>3297</v>
      </c>
      <c r="BU75" s="66">
        <f t="shared" si="186"/>
        <v>22857996</v>
      </c>
      <c r="BV75" s="66">
        <f>IFERROR(BU75/BT75,0)</f>
        <v>6932.9681528662422</v>
      </c>
      <c r="BW75" s="67">
        <f t="shared" ref="BW75:CE75" si="187">SUM(BW35+BW55+BW73)</f>
        <v>8689394</v>
      </c>
      <c r="BX75" s="67">
        <f t="shared" si="187"/>
        <v>1049507</v>
      </c>
      <c r="BY75" s="67">
        <f t="shared" si="187"/>
        <v>764144</v>
      </c>
      <c r="BZ75" s="67">
        <f t="shared" si="187"/>
        <v>6730275</v>
      </c>
      <c r="CA75" s="67">
        <f t="shared" si="187"/>
        <v>5624676</v>
      </c>
      <c r="CB75" s="67">
        <f t="shared" si="187"/>
        <v>15898395</v>
      </c>
      <c r="CC75" s="68">
        <f t="shared" si="187"/>
        <v>4279585</v>
      </c>
      <c r="CD75" s="364">
        <f t="shared" si="187"/>
        <v>3398</v>
      </c>
      <c r="CE75" s="66">
        <f t="shared" si="187"/>
        <v>22484631</v>
      </c>
      <c r="CF75" s="66">
        <f>IFERROR(CE75/CD75,0)</f>
        <v>6617.0191288993528</v>
      </c>
      <c r="CG75" s="67">
        <f t="shared" ref="CG75:CM75" si="188">SUM(CG35+CG55+CG73)</f>
        <v>7136696</v>
      </c>
      <c r="CH75" s="67">
        <f t="shared" si="188"/>
        <v>197425</v>
      </c>
      <c r="CI75" s="67">
        <f t="shared" si="188"/>
        <v>1001106</v>
      </c>
      <c r="CJ75" s="67">
        <f t="shared" si="188"/>
        <v>6270656</v>
      </c>
      <c r="CK75" s="67">
        <f t="shared" si="188"/>
        <v>7878748</v>
      </c>
      <c r="CL75" s="67">
        <f t="shared" si="188"/>
        <v>15300324</v>
      </c>
      <c r="CM75" s="68">
        <f t="shared" si="188"/>
        <v>4245365</v>
      </c>
    </row>
    <row r="76" spans="1:91" s="5" customFormat="1" ht="15.95" customHeight="1">
      <c r="A76" s="77"/>
      <c r="B76" s="90"/>
      <c r="C76" s="61"/>
      <c r="D76" s="61"/>
      <c r="E76" s="63"/>
      <c r="F76" s="63"/>
      <c r="G76" s="63"/>
      <c r="H76" s="63"/>
      <c r="I76" s="63"/>
      <c r="J76" s="63"/>
      <c r="K76" s="166"/>
      <c r="L76" s="157"/>
      <c r="M76" s="61"/>
      <c r="N76" s="61"/>
      <c r="O76" s="63"/>
      <c r="P76" s="63"/>
      <c r="Q76" s="63"/>
      <c r="R76" s="63"/>
      <c r="S76" s="63"/>
      <c r="T76" s="63"/>
      <c r="U76" s="166"/>
      <c r="V76" s="55"/>
      <c r="W76" s="61"/>
      <c r="X76" s="61"/>
      <c r="Y76" s="63"/>
      <c r="Z76" s="63"/>
      <c r="AA76" s="63"/>
      <c r="AB76" s="63"/>
      <c r="AC76" s="63"/>
      <c r="AD76" s="63"/>
      <c r="AE76" s="166"/>
      <c r="AF76" s="55"/>
      <c r="AG76" s="61"/>
      <c r="AH76" s="61"/>
      <c r="AI76" s="63"/>
      <c r="AJ76" s="63"/>
      <c r="AK76" s="63"/>
      <c r="AL76" s="63"/>
      <c r="AM76" s="63"/>
      <c r="AN76" s="63"/>
      <c r="AO76" s="166"/>
      <c r="AP76" s="55"/>
      <c r="AQ76" s="61"/>
      <c r="AR76" s="61"/>
      <c r="AS76" s="63"/>
      <c r="AT76" s="63"/>
      <c r="AU76" s="63"/>
      <c r="AV76" s="63"/>
      <c r="AW76" s="63"/>
      <c r="AX76" s="63"/>
      <c r="AY76" s="166"/>
      <c r="AZ76" s="356"/>
      <c r="BA76" s="66"/>
      <c r="BB76" s="66"/>
      <c r="BC76" s="66"/>
      <c r="BD76" s="66"/>
      <c r="BE76" s="66"/>
      <c r="BF76" s="66"/>
      <c r="BG76" s="66"/>
      <c r="BH76" s="66"/>
      <c r="BI76" s="357"/>
      <c r="BJ76" s="243"/>
      <c r="BK76" s="66"/>
      <c r="BL76" s="66"/>
      <c r="BM76" s="63"/>
      <c r="BN76" s="63"/>
      <c r="BO76" s="63"/>
      <c r="BP76" s="63"/>
      <c r="BQ76" s="63"/>
      <c r="BR76" s="63"/>
      <c r="BS76" s="166"/>
      <c r="BT76" s="243"/>
      <c r="BU76" s="66"/>
      <c r="BV76" s="66"/>
      <c r="BW76" s="63"/>
      <c r="BX76" s="63"/>
      <c r="BY76" s="63"/>
      <c r="BZ76" s="63"/>
      <c r="CA76" s="63"/>
      <c r="CB76" s="63"/>
      <c r="CC76" s="166"/>
      <c r="CD76" s="243"/>
      <c r="CE76" s="66"/>
      <c r="CF76" s="66"/>
      <c r="CG76" s="63"/>
      <c r="CH76" s="63"/>
      <c r="CI76" s="63"/>
      <c r="CJ76" s="63"/>
      <c r="CK76" s="63"/>
      <c r="CL76" s="63"/>
      <c r="CM76" s="166"/>
    </row>
    <row r="77" spans="1:91" s="5" customFormat="1" ht="15.95" customHeight="1">
      <c r="A77" s="76" t="s">
        <v>64</v>
      </c>
      <c r="B77" s="90"/>
      <c r="C77" s="61"/>
      <c r="D77" s="61"/>
      <c r="E77" s="63"/>
      <c r="F77" s="63"/>
      <c r="G77" s="63"/>
      <c r="H77" s="63"/>
      <c r="I77" s="63"/>
      <c r="J77" s="63"/>
      <c r="K77" s="166"/>
      <c r="L77" s="157"/>
      <c r="M77" s="61"/>
      <c r="N77" s="61"/>
      <c r="O77" s="63"/>
      <c r="P77" s="63"/>
      <c r="Q77" s="63"/>
      <c r="R77" s="63"/>
      <c r="S77" s="63"/>
      <c r="T77" s="63"/>
      <c r="U77" s="166"/>
      <c r="V77" s="55"/>
      <c r="W77" s="61"/>
      <c r="X77" s="61"/>
      <c r="Y77" s="63"/>
      <c r="Z77" s="63"/>
      <c r="AA77" s="63"/>
      <c r="AB77" s="63"/>
      <c r="AC77" s="63"/>
      <c r="AD77" s="63"/>
      <c r="AE77" s="166"/>
      <c r="AF77" s="55"/>
      <c r="AG77" s="61"/>
      <c r="AH77" s="61"/>
      <c r="AI77" s="63"/>
      <c r="AJ77" s="63"/>
      <c r="AK77" s="63"/>
      <c r="AL77" s="63"/>
      <c r="AM77" s="63"/>
      <c r="AN77" s="63"/>
      <c r="AO77" s="166"/>
      <c r="AP77" s="55"/>
      <c r="AQ77" s="61"/>
      <c r="AR77" s="61"/>
      <c r="AS77" s="63"/>
      <c r="AT77" s="63"/>
      <c r="AU77" s="63"/>
      <c r="AV77" s="63"/>
      <c r="AW77" s="63"/>
      <c r="AX77" s="63"/>
      <c r="AY77" s="166"/>
      <c r="AZ77" s="356"/>
      <c r="BA77" s="66"/>
      <c r="BB77" s="66"/>
      <c r="BC77" s="66"/>
      <c r="BD77" s="66"/>
      <c r="BE77" s="66"/>
      <c r="BF77" s="66"/>
      <c r="BG77" s="66"/>
      <c r="BH77" s="66"/>
      <c r="BI77" s="357"/>
      <c r="BJ77" s="243"/>
      <c r="BK77" s="66"/>
      <c r="BL77" s="66"/>
      <c r="BM77" s="63"/>
      <c r="BN77" s="63"/>
      <c r="BO77" s="63"/>
      <c r="BP77" s="63"/>
      <c r="BQ77" s="63"/>
      <c r="BR77" s="63"/>
      <c r="BS77" s="166"/>
      <c r="BT77" s="243"/>
      <c r="BU77" s="66"/>
      <c r="BV77" s="66"/>
      <c r="BW77" s="63"/>
      <c r="BX77" s="63"/>
      <c r="BY77" s="63"/>
      <c r="BZ77" s="63"/>
      <c r="CA77" s="63"/>
      <c r="CB77" s="63"/>
      <c r="CC77" s="166"/>
      <c r="CD77" s="243"/>
      <c r="CE77" s="66"/>
      <c r="CF77" s="66"/>
      <c r="CG77" s="63"/>
      <c r="CH77" s="63"/>
      <c r="CI77" s="63"/>
      <c r="CJ77" s="63"/>
      <c r="CK77" s="63"/>
      <c r="CL77" s="63"/>
      <c r="CM77" s="166"/>
    </row>
    <row r="78" spans="1:91" s="5" customFormat="1" ht="15.95" customHeight="1">
      <c r="A78" s="77"/>
      <c r="B78" s="90"/>
      <c r="C78" s="61"/>
      <c r="D78" s="61"/>
      <c r="E78" s="63"/>
      <c r="F78" s="63"/>
      <c r="G78" s="63"/>
      <c r="H78" s="63"/>
      <c r="I78" s="63"/>
      <c r="J78" s="63"/>
      <c r="K78" s="166"/>
      <c r="L78" s="157"/>
      <c r="M78" s="61"/>
      <c r="N78" s="61"/>
      <c r="O78" s="63"/>
      <c r="P78" s="63"/>
      <c r="Q78" s="63"/>
      <c r="R78" s="63"/>
      <c r="S78" s="63"/>
      <c r="T78" s="63"/>
      <c r="U78" s="166"/>
      <c r="V78" s="55"/>
      <c r="W78" s="61"/>
      <c r="X78" s="61"/>
      <c r="Y78" s="63"/>
      <c r="Z78" s="63"/>
      <c r="AA78" s="63"/>
      <c r="AB78" s="63"/>
      <c r="AC78" s="63"/>
      <c r="AD78" s="63"/>
      <c r="AE78" s="166"/>
      <c r="AF78" s="55"/>
      <c r="AG78" s="61"/>
      <c r="AH78" s="61"/>
      <c r="AI78" s="63"/>
      <c r="AJ78" s="63"/>
      <c r="AK78" s="63"/>
      <c r="AL78" s="63"/>
      <c r="AM78" s="63"/>
      <c r="AN78" s="63"/>
      <c r="AO78" s="166"/>
      <c r="AP78" s="55"/>
      <c r="AQ78" s="61"/>
      <c r="AR78" s="61"/>
      <c r="AS78" s="63"/>
      <c r="AT78" s="63"/>
      <c r="AU78" s="63"/>
      <c r="AV78" s="63"/>
      <c r="AW78" s="63"/>
      <c r="AX78" s="63"/>
      <c r="AY78" s="166"/>
      <c r="AZ78" s="356"/>
      <c r="BA78" s="66"/>
      <c r="BB78" s="66"/>
      <c r="BC78" s="66"/>
      <c r="BD78" s="66"/>
      <c r="BE78" s="66"/>
      <c r="BF78" s="66"/>
      <c r="BG78" s="66"/>
      <c r="BH78" s="66"/>
      <c r="BI78" s="357"/>
      <c r="BJ78" s="243"/>
      <c r="BK78" s="66"/>
      <c r="BL78" s="66"/>
      <c r="BM78" s="63"/>
      <c r="BN78" s="63"/>
      <c r="BO78" s="63"/>
      <c r="BP78" s="63"/>
      <c r="BQ78" s="63"/>
      <c r="BR78" s="63"/>
      <c r="BS78" s="166"/>
      <c r="BT78" s="243"/>
      <c r="BU78" s="66"/>
      <c r="BV78" s="66"/>
      <c r="BW78" s="63"/>
      <c r="BX78" s="63"/>
      <c r="BY78" s="63"/>
      <c r="BZ78" s="63"/>
      <c r="CA78" s="63"/>
      <c r="CB78" s="63"/>
      <c r="CC78" s="166"/>
      <c r="CD78" s="243"/>
      <c r="CE78" s="66"/>
      <c r="CF78" s="66"/>
      <c r="CG78" s="63"/>
      <c r="CH78" s="63"/>
      <c r="CI78" s="63"/>
      <c r="CJ78" s="63"/>
      <c r="CK78" s="63"/>
      <c r="CL78" s="63"/>
      <c r="CM78" s="166"/>
    </row>
    <row r="79" spans="1:91" s="5" customFormat="1" ht="15.95" customHeight="1">
      <c r="A79" s="78" t="s">
        <v>51</v>
      </c>
      <c r="B79" s="90"/>
      <c r="C79" s="61"/>
      <c r="D79" s="61"/>
      <c r="E79" s="63"/>
      <c r="F79" s="63"/>
      <c r="G79" s="63"/>
      <c r="H79" s="63"/>
      <c r="I79" s="63"/>
      <c r="J79" s="63"/>
      <c r="K79" s="166"/>
      <c r="L79" s="157"/>
      <c r="M79" s="61"/>
      <c r="N79" s="61"/>
      <c r="O79" s="63"/>
      <c r="P79" s="63"/>
      <c r="Q79" s="63"/>
      <c r="R79" s="63"/>
      <c r="S79" s="63"/>
      <c r="T79" s="63"/>
      <c r="U79" s="166"/>
      <c r="V79" s="55"/>
      <c r="W79" s="61"/>
      <c r="X79" s="61"/>
      <c r="Y79" s="63"/>
      <c r="Z79" s="63"/>
      <c r="AA79" s="63"/>
      <c r="AB79" s="63"/>
      <c r="AC79" s="63"/>
      <c r="AD79" s="63"/>
      <c r="AE79" s="166"/>
      <c r="AF79" s="55"/>
      <c r="AG79" s="61"/>
      <c r="AH79" s="61"/>
      <c r="AI79" s="63"/>
      <c r="AJ79" s="63"/>
      <c r="AK79" s="63"/>
      <c r="AL79" s="63"/>
      <c r="AM79" s="63"/>
      <c r="AN79" s="63"/>
      <c r="AO79" s="166"/>
      <c r="AP79" s="55"/>
      <c r="AQ79" s="61"/>
      <c r="AR79" s="61"/>
      <c r="AS79" s="63"/>
      <c r="AT79" s="63"/>
      <c r="AU79" s="63"/>
      <c r="AV79" s="63"/>
      <c r="AW79" s="63"/>
      <c r="AX79" s="63"/>
      <c r="AY79" s="166"/>
      <c r="AZ79" s="356"/>
      <c r="BA79" s="66"/>
      <c r="BB79" s="66"/>
      <c r="BC79" s="66"/>
      <c r="BD79" s="66"/>
      <c r="BE79" s="66"/>
      <c r="BF79" s="66"/>
      <c r="BG79" s="66"/>
      <c r="BH79" s="66"/>
      <c r="BI79" s="357"/>
      <c r="BJ79" s="243"/>
      <c r="BK79" s="66"/>
      <c r="BL79" s="66"/>
      <c r="BM79" s="63"/>
      <c r="BN79" s="63"/>
      <c r="BO79" s="63"/>
      <c r="BP79" s="63"/>
      <c r="BQ79" s="63"/>
      <c r="BR79" s="63"/>
      <c r="BS79" s="166"/>
      <c r="BT79" s="243"/>
      <c r="BU79" s="66"/>
      <c r="BV79" s="66"/>
      <c r="BW79" s="63"/>
      <c r="BX79" s="63"/>
      <c r="BY79" s="63"/>
      <c r="BZ79" s="63"/>
      <c r="CA79" s="63"/>
      <c r="CB79" s="63"/>
      <c r="CC79" s="166"/>
      <c r="CD79" s="243"/>
      <c r="CE79" s="66"/>
      <c r="CF79" s="66"/>
      <c r="CG79" s="63"/>
      <c r="CH79" s="63"/>
      <c r="CI79" s="63"/>
      <c r="CJ79" s="63"/>
      <c r="CK79" s="63"/>
      <c r="CL79" s="63"/>
      <c r="CM79" s="166"/>
    </row>
    <row r="80" spans="1:91" s="58" customFormat="1" ht="15.75" customHeight="1">
      <c r="A80" s="143" t="s">
        <v>188</v>
      </c>
      <c r="B80" s="93">
        <v>33</v>
      </c>
      <c r="C80" s="66">
        <f t="shared" ref="C80:C91" si="189">SUM(E80:I80)</f>
        <v>308000</v>
      </c>
      <c r="D80" s="66">
        <f t="shared" ref="D80:D91" si="190">IFERROR(C80/B80,0)</f>
        <v>9333.3333333333339</v>
      </c>
      <c r="E80" s="69"/>
      <c r="F80" s="69"/>
      <c r="G80" s="69"/>
      <c r="H80" s="69">
        <v>308000</v>
      </c>
      <c r="I80" s="69"/>
      <c r="J80" s="69">
        <v>308000</v>
      </c>
      <c r="K80" s="68">
        <f t="shared" ref="K80:K91" si="191">IF(J80=0,0,(IF(E80&lt;=J80,E80,J80)))</f>
        <v>0</v>
      </c>
      <c r="L80" s="159">
        <v>19</v>
      </c>
      <c r="M80" s="66">
        <f t="shared" ref="M80:M91" si="192">SUM(O80:S80)</f>
        <v>167361</v>
      </c>
      <c r="N80" s="66">
        <f t="shared" ref="N80:N91" si="193">IFERROR(M80/L80,0)</f>
        <v>8808.4736842105267</v>
      </c>
      <c r="O80" s="69"/>
      <c r="P80" s="69"/>
      <c r="Q80" s="69"/>
      <c r="R80" s="69">
        <v>167361</v>
      </c>
      <c r="S80" s="69"/>
      <c r="T80" s="69">
        <v>167361</v>
      </c>
      <c r="U80" s="68">
        <f t="shared" ref="U80:U91" si="194">IF(T80=0,0,(IF(O80&lt;=T80,O80,T80)))</f>
        <v>0</v>
      </c>
      <c r="V80" s="59">
        <v>25</v>
      </c>
      <c r="W80" s="66">
        <f t="shared" ref="W80:W91" si="195">SUM(Y80:AC80)</f>
        <v>333500</v>
      </c>
      <c r="X80" s="66">
        <f t="shared" ref="X80:X91" si="196">IFERROR(W80/V80,0)</f>
        <v>13340</v>
      </c>
      <c r="Y80" s="69"/>
      <c r="Z80" s="69"/>
      <c r="AA80" s="69"/>
      <c r="AB80" s="69">
        <v>333500</v>
      </c>
      <c r="AC80" s="69"/>
      <c r="AD80" s="69">
        <v>333500</v>
      </c>
      <c r="AE80" s="68">
        <f t="shared" ref="AE80:AE91" si="197">IF(AD80=0,0,(IF(Y80&lt;=AD80,Y80,AD80)))</f>
        <v>0</v>
      </c>
      <c r="AF80" s="59">
        <v>22</v>
      </c>
      <c r="AG80" s="66">
        <f t="shared" ref="AG80:AG91" si="198">SUM(AI80:AM80)</f>
        <v>338800</v>
      </c>
      <c r="AH80" s="66">
        <f t="shared" ref="AH80:AH91" si="199">IFERROR(AG80/AF80,0)</f>
        <v>15400</v>
      </c>
      <c r="AI80" s="69"/>
      <c r="AJ80" s="69"/>
      <c r="AK80" s="69"/>
      <c r="AL80" s="69">
        <v>338800</v>
      </c>
      <c r="AM80" s="69"/>
      <c r="AN80" s="69">
        <v>338800</v>
      </c>
      <c r="AO80" s="68">
        <f t="shared" ref="AO80:AO91" si="200">IF(AN80=0,0,(IF(AI80&lt;=AN80,AI80,AN80)))</f>
        <v>0</v>
      </c>
      <c r="AP80" s="59">
        <v>21</v>
      </c>
      <c r="AQ80" s="66">
        <f t="shared" ref="AQ80:AQ91" si="201">SUM(AS80:AW80)</f>
        <v>357400</v>
      </c>
      <c r="AR80" s="66">
        <f t="shared" ref="AR80:AR91" si="202">IFERROR(AQ80/AP80,0)</f>
        <v>17019.047619047618</v>
      </c>
      <c r="AS80" s="69"/>
      <c r="AT80" s="69"/>
      <c r="AU80" s="69"/>
      <c r="AV80" s="69">
        <v>357400</v>
      </c>
      <c r="AW80" s="69"/>
      <c r="AX80" s="69">
        <v>357400</v>
      </c>
      <c r="AY80" s="68">
        <f t="shared" ref="AY80:AY91" si="203">IF(AX80=0,0,(IF(AS80&lt;=AX80,AS80,AX80)))</f>
        <v>0</v>
      </c>
      <c r="AZ80" s="356"/>
      <c r="BA80" s="66">
        <f t="shared" ref="BA80:BA85" si="204">SUM(BC80:BG80)</f>
        <v>0</v>
      </c>
      <c r="BB80" s="66">
        <f t="shared" ref="BB80:BB85" si="205">IFERROR(BA80/AZ80,0)</f>
        <v>0</v>
      </c>
      <c r="BC80" s="66"/>
      <c r="BD80" s="66"/>
      <c r="BE80" s="66"/>
      <c r="BF80" s="66"/>
      <c r="BG80" s="66"/>
      <c r="BH80" s="66"/>
      <c r="BI80" s="357">
        <f t="shared" ref="BI80:BI91" si="206">IF(BH80=0,0,(IF(BC80&lt;=BH80,BC80,BH80)))</f>
        <v>0</v>
      </c>
      <c r="BJ80" s="358">
        <v>0</v>
      </c>
      <c r="BK80" s="66">
        <f t="shared" ref="BK80:BK85" si="207">SUM(BM80:BQ80)</f>
        <v>0</v>
      </c>
      <c r="BL80" s="66">
        <f t="shared" ref="BL80:BL85" si="208">IFERROR(BK80/BJ80,0)</f>
        <v>0</v>
      </c>
      <c r="BM80" s="69"/>
      <c r="BN80" s="69"/>
      <c r="BO80" s="69"/>
      <c r="BP80" s="69"/>
      <c r="BQ80" s="69"/>
      <c r="BR80" s="69"/>
      <c r="BS80" s="68">
        <f t="shared" ref="BS80:BS91" si="209">IF(BR80=0,0,(IF(BM80&lt;=BR80,BM80,BR80)))</f>
        <v>0</v>
      </c>
      <c r="BT80" s="358"/>
      <c r="BU80" s="66">
        <f t="shared" ref="BU80:BU91" si="210">SUM(BW80:CA80)</f>
        <v>0</v>
      </c>
      <c r="BV80" s="66">
        <f t="shared" ref="BV80:BV91" si="211">IFERROR(BU80/BT80,0)</f>
        <v>0</v>
      </c>
      <c r="BW80" s="69"/>
      <c r="BX80" s="69"/>
      <c r="BY80" s="69"/>
      <c r="BZ80" s="69"/>
      <c r="CA80" s="69"/>
      <c r="CB80" s="69"/>
      <c r="CC80" s="68">
        <f t="shared" ref="CC80:CC91" si="212">IF(CB80=0,0,(IF(BW80&lt;=CB80,BW80,CB80)))</f>
        <v>0</v>
      </c>
      <c r="CD80" s="244"/>
      <c r="CE80" s="66">
        <f t="shared" ref="CE80:CE91" si="213">SUM(CG80:CK80)</f>
        <v>0</v>
      </c>
      <c r="CF80" s="66">
        <f t="shared" ref="CF80:CF91" si="214">IFERROR(CE80/CD80,0)</f>
        <v>0</v>
      </c>
      <c r="CG80" s="195"/>
      <c r="CH80" s="195"/>
      <c r="CI80" s="195"/>
      <c r="CJ80" s="195"/>
      <c r="CK80" s="195"/>
      <c r="CL80" s="195"/>
      <c r="CM80" s="403">
        <f t="shared" ref="CM80:CM91" si="215">IF(CL80=0,0,(IF(CG80&lt;=CL80,CG80,CL80)))</f>
        <v>0</v>
      </c>
    </row>
    <row r="81" spans="1:91" s="58" customFormat="1" ht="15.95" customHeight="1">
      <c r="A81" s="143" t="s">
        <v>189</v>
      </c>
      <c r="B81" s="93">
        <v>6</v>
      </c>
      <c r="C81" s="66">
        <f t="shared" si="189"/>
        <v>27506</v>
      </c>
      <c r="D81" s="66">
        <f t="shared" si="190"/>
        <v>4584.333333333333</v>
      </c>
      <c r="E81" s="69"/>
      <c r="F81" s="69"/>
      <c r="G81" s="69"/>
      <c r="H81" s="69">
        <v>27506</v>
      </c>
      <c r="I81" s="69"/>
      <c r="J81" s="69">
        <v>5485</v>
      </c>
      <c r="K81" s="68">
        <f t="shared" si="191"/>
        <v>0</v>
      </c>
      <c r="L81" s="159">
        <v>9</v>
      </c>
      <c r="M81" s="66">
        <f t="shared" si="192"/>
        <v>56826</v>
      </c>
      <c r="N81" s="66">
        <f t="shared" si="193"/>
        <v>6314</v>
      </c>
      <c r="O81" s="69"/>
      <c r="P81" s="69"/>
      <c r="Q81" s="69"/>
      <c r="R81" s="69">
        <v>56826</v>
      </c>
      <c r="S81" s="69"/>
      <c r="T81" s="69">
        <v>32261</v>
      </c>
      <c r="U81" s="68">
        <f t="shared" si="194"/>
        <v>0</v>
      </c>
      <c r="V81" s="59">
        <v>8</v>
      </c>
      <c r="W81" s="66">
        <f t="shared" si="195"/>
        <v>76417</v>
      </c>
      <c r="X81" s="66">
        <f t="shared" si="196"/>
        <v>9552.125</v>
      </c>
      <c r="Y81" s="69"/>
      <c r="Z81" s="69"/>
      <c r="AA81" s="69"/>
      <c r="AB81" s="69">
        <v>76417</v>
      </c>
      <c r="AC81" s="69"/>
      <c r="AD81" s="69">
        <v>25945</v>
      </c>
      <c r="AE81" s="68">
        <f t="shared" si="197"/>
        <v>0</v>
      </c>
      <c r="AF81" s="59">
        <v>8</v>
      </c>
      <c r="AG81" s="66">
        <f t="shared" si="198"/>
        <v>68875</v>
      </c>
      <c r="AH81" s="66">
        <f t="shared" si="199"/>
        <v>8609.375</v>
      </c>
      <c r="AI81" s="69"/>
      <c r="AJ81" s="69"/>
      <c r="AK81" s="69"/>
      <c r="AL81" s="69">
        <v>68875</v>
      </c>
      <c r="AM81" s="69"/>
      <c r="AN81" s="69">
        <v>31390</v>
      </c>
      <c r="AO81" s="68">
        <f t="shared" si="200"/>
        <v>0</v>
      </c>
      <c r="AP81" s="59">
        <v>8</v>
      </c>
      <c r="AQ81" s="66">
        <f t="shared" si="201"/>
        <v>53820</v>
      </c>
      <c r="AR81" s="66">
        <f t="shared" si="202"/>
        <v>6727.5</v>
      </c>
      <c r="AS81" s="69"/>
      <c r="AT81" s="69"/>
      <c r="AU81" s="69"/>
      <c r="AV81" s="69">
        <v>53820</v>
      </c>
      <c r="AW81" s="69"/>
      <c r="AX81" s="69">
        <v>29150</v>
      </c>
      <c r="AY81" s="68">
        <f t="shared" si="203"/>
        <v>0</v>
      </c>
      <c r="AZ81" s="356">
        <v>5</v>
      </c>
      <c r="BA81" s="66">
        <f t="shared" si="204"/>
        <v>29000</v>
      </c>
      <c r="BB81" s="66">
        <f t="shared" si="205"/>
        <v>5800</v>
      </c>
      <c r="BC81" s="66"/>
      <c r="BD81" s="66"/>
      <c r="BE81" s="66"/>
      <c r="BF81" s="66">
        <v>29000</v>
      </c>
      <c r="BG81" s="66"/>
      <c r="BH81" s="66">
        <v>14000</v>
      </c>
      <c r="BI81" s="357">
        <f t="shared" si="206"/>
        <v>0</v>
      </c>
      <c r="BJ81" s="358">
        <v>1</v>
      </c>
      <c r="BK81" s="66">
        <f t="shared" si="207"/>
        <v>3500</v>
      </c>
      <c r="BL81" s="66">
        <f t="shared" si="208"/>
        <v>3500</v>
      </c>
      <c r="BM81" s="69"/>
      <c r="BN81" s="69"/>
      <c r="BO81" s="69"/>
      <c r="BP81" s="69">
        <v>3500</v>
      </c>
      <c r="BQ81" s="69"/>
      <c r="BR81" s="69">
        <v>3500</v>
      </c>
      <c r="BS81" s="68">
        <f t="shared" si="209"/>
        <v>0</v>
      </c>
      <c r="BT81" s="358">
        <v>1</v>
      </c>
      <c r="BU81" s="66">
        <f t="shared" si="210"/>
        <v>1000</v>
      </c>
      <c r="BV81" s="66">
        <f t="shared" si="211"/>
        <v>1000</v>
      </c>
      <c r="BW81" s="69"/>
      <c r="BX81" s="69"/>
      <c r="BY81" s="69"/>
      <c r="BZ81" s="69">
        <v>1000</v>
      </c>
      <c r="CA81" s="69"/>
      <c r="CB81" s="69">
        <v>1000</v>
      </c>
      <c r="CC81" s="68">
        <f t="shared" si="212"/>
        <v>0</v>
      </c>
      <c r="CD81" s="244"/>
      <c r="CE81" s="66">
        <f t="shared" si="213"/>
        <v>0</v>
      </c>
      <c r="CF81" s="66">
        <f t="shared" si="214"/>
        <v>0</v>
      </c>
      <c r="CG81" s="195"/>
      <c r="CH81" s="195"/>
      <c r="CI81" s="195"/>
      <c r="CJ81" s="195"/>
      <c r="CK81" s="195"/>
      <c r="CL81" s="195"/>
      <c r="CM81" s="403">
        <f t="shared" si="215"/>
        <v>0</v>
      </c>
    </row>
    <row r="82" spans="1:91" s="58" customFormat="1" ht="15.95" customHeight="1">
      <c r="A82" s="143" t="s">
        <v>190</v>
      </c>
      <c r="B82" s="93">
        <v>39</v>
      </c>
      <c r="C82" s="66">
        <f t="shared" si="189"/>
        <v>78886</v>
      </c>
      <c r="D82" s="66">
        <f t="shared" si="190"/>
        <v>2022.7179487179487</v>
      </c>
      <c r="E82" s="69"/>
      <c r="F82" s="69">
        <v>19721</v>
      </c>
      <c r="G82" s="69"/>
      <c r="H82" s="69">
        <v>59165</v>
      </c>
      <c r="I82" s="69"/>
      <c r="J82" s="69">
        <v>62090</v>
      </c>
      <c r="K82" s="68">
        <f t="shared" si="191"/>
        <v>0</v>
      </c>
      <c r="L82" s="159">
        <v>39</v>
      </c>
      <c r="M82" s="66">
        <f t="shared" si="192"/>
        <v>122885</v>
      </c>
      <c r="N82" s="66">
        <f t="shared" si="193"/>
        <v>3150.897435897436</v>
      </c>
      <c r="O82" s="69"/>
      <c r="P82" s="69"/>
      <c r="Q82" s="69"/>
      <c r="R82" s="69">
        <v>122885</v>
      </c>
      <c r="S82" s="69"/>
      <c r="T82" s="69">
        <v>87385</v>
      </c>
      <c r="U82" s="68">
        <f t="shared" si="194"/>
        <v>0</v>
      </c>
      <c r="V82" s="59">
        <v>37</v>
      </c>
      <c r="W82" s="66">
        <f t="shared" si="195"/>
        <v>99877</v>
      </c>
      <c r="X82" s="66">
        <f t="shared" si="196"/>
        <v>2699.3783783783783</v>
      </c>
      <c r="Y82" s="69"/>
      <c r="Z82" s="69"/>
      <c r="AA82" s="69"/>
      <c r="AB82" s="69">
        <v>99877</v>
      </c>
      <c r="AC82" s="69"/>
      <c r="AD82" s="69">
        <v>80466</v>
      </c>
      <c r="AE82" s="68">
        <f t="shared" si="197"/>
        <v>0</v>
      </c>
      <c r="AF82" s="59">
        <v>27</v>
      </c>
      <c r="AG82" s="66">
        <f t="shared" si="198"/>
        <v>117940</v>
      </c>
      <c r="AH82" s="66">
        <f t="shared" si="199"/>
        <v>4368.1481481481478</v>
      </c>
      <c r="AI82" s="69"/>
      <c r="AJ82" s="69"/>
      <c r="AK82" s="69"/>
      <c r="AL82" s="69">
        <v>117940</v>
      </c>
      <c r="AM82" s="69"/>
      <c r="AN82" s="69">
        <v>97900</v>
      </c>
      <c r="AO82" s="68">
        <f t="shared" si="200"/>
        <v>0</v>
      </c>
      <c r="AP82" s="59">
        <v>26</v>
      </c>
      <c r="AQ82" s="66">
        <f t="shared" si="201"/>
        <v>99720</v>
      </c>
      <c r="AR82" s="66">
        <f t="shared" si="202"/>
        <v>3835.3846153846152</v>
      </c>
      <c r="AS82" s="69"/>
      <c r="AT82" s="69"/>
      <c r="AU82" s="69"/>
      <c r="AV82" s="69">
        <v>99720</v>
      </c>
      <c r="AW82" s="69"/>
      <c r="AX82" s="69">
        <v>79100</v>
      </c>
      <c r="AY82" s="68">
        <f t="shared" si="203"/>
        <v>0</v>
      </c>
      <c r="AZ82" s="356">
        <v>12</v>
      </c>
      <c r="BA82" s="66">
        <f t="shared" si="204"/>
        <v>36376.699999999997</v>
      </c>
      <c r="BB82" s="66">
        <f t="shared" si="205"/>
        <v>3031.3916666666664</v>
      </c>
      <c r="BC82" s="66"/>
      <c r="BD82" s="66"/>
      <c r="BE82" s="66"/>
      <c r="BF82" s="66">
        <v>36376.699999999997</v>
      </c>
      <c r="BG82" s="66"/>
      <c r="BH82" s="66">
        <v>27029</v>
      </c>
      <c r="BI82" s="357">
        <f t="shared" si="206"/>
        <v>0</v>
      </c>
      <c r="BJ82" s="358">
        <v>7</v>
      </c>
      <c r="BK82" s="66">
        <f t="shared" si="207"/>
        <v>42278</v>
      </c>
      <c r="BL82" s="66">
        <f t="shared" si="208"/>
        <v>6039.7142857142853</v>
      </c>
      <c r="BM82" s="69"/>
      <c r="BN82" s="69"/>
      <c r="BO82" s="69"/>
      <c r="BP82" s="69">
        <v>42278</v>
      </c>
      <c r="BQ82" s="69"/>
      <c r="BR82" s="69">
        <v>29626</v>
      </c>
      <c r="BS82" s="68">
        <f t="shared" si="209"/>
        <v>0</v>
      </c>
      <c r="BT82" s="358">
        <v>28</v>
      </c>
      <c r="BU82" s="66">
        <f t="shared" si="210"/>
        <v>51583</v>
      </c>
      <c r="BV82" s="66">
        <f t="shared" si="211"/>
        <v>1842.25</v>
      </c>
      <c r="BW82" s="69"/>
      <c r="BX82" s="69"/>
      <c r="BY82" s="69"/>
      <c r="BZ82" s="69">
        <v>51583</v>
      </c>
      <c r="CA82" s="69"/>
      <c r="CB82" s="69">
        <v>40756</v>
      </c>
      <c r="CC82" s="68">
        <f t="shared" si="212"/>
        <v>0</v>
      </c>
      <c r="CD82" s="244">
        <v>41</v>
      </c>
      <c r="CE82" s="66">
        <f t="shared" si="213"/>
        <v>24760</v>
      </c>
      <c r="CF82" s="66">
        <f t="shared" si="214"/>
        <v>603.90243902439022</v>
      </c>
      <c r="CG82" s="195"/>
      <c r="CH82" s="195"/>
      <c r="CI82" s="195"/>
      <c r="CJ82" s="195">
        <v>24760</v>
      </c>
      <c r="CK82" s="195"/>
      <c r="CL82" s="195">
        <v>19828.810000000001</v>
      </c>
      <c r="CM82" s="403">
        <f t="shared" si="215"/>
        <v>0</v>
      </c>
    </row>
    <row r="83" spans="1:91" s="58" customFormat="1" ht="15.75" customHeight="1">
      <c r="A83" s="143" t="s">
        <v>191</v>
      </c>
      <c r="B83" s="93">
        <v>16</v>
      </c>
      <c r="C83" s="66">
        <f t="shared" si="189"/>
        <v>22176</v>
      </c>
      <c r="D83" s="66">
        <f t="shared" si="190"/>
        <v>1386</v>
      </c>
      <c r="E83" s="69"/>
      <c r="F83" s="69"/>
      <c r="G83" s="69">
        <v>22176</v>
      </c>
      <c r="H83" s="69"/>
      <c r="I83" s="69"/>
      <c r="J83" s="69">
        <v>22176</v>
      </c>
      <c r="K83" s="68">
        <f t="shared" si="191"/>
        <v>0</v>
      </c>
      <c r="L83" s="159">
        <v>8</v>
      </c>
      <c r="M83" s="66">
        <f t="shared" si="192"/>
        <v>13300</v>
      </c>
      <c r="N83" s="66">
        <f t="shared" si="193"/>
        <v>1662.5</v>
      </c>
      <c r="O83" s="69"/>
      <c r="P83" s="69"/>
      <c r="Q83" s="69">
        <v>13300</v>
      </c>
      <c r="R83" s="69"/>
      <c r="S83" s="69"/>
      <c r="T83" s="69">
        <v>13300</v>
      </c>
      <c r="U83" s="68">
        <f t="shared" si="194"/>
        <v>0</v>
      </c>
      <c r="V83" s="59">
        <v>6</v>
      </c>
      <c r="W83" s="66">
        <f t="shared" si="195"/>
        <v>22800</v>
      </c>
      <c r="X83" s="66">
        <f t="shared" si="196"/>
        <v>3800</v>
      </c>
      <c r="Y83" s="69"/>
      <c r="Z83" s="69"/>
      <c r="AA83" s="69">
        <v>22800</v>
      </c>
      <c r="AB83" s="69"/>
      <c r="AC83" s="69"/>
      <c r="AD83" s="69">
        <v>22800</v>
      </c>
      <c r="AE83" s="68">
        <f t="shared" si="197"/>
        <v>0</v>
      </c>
      <c r="AF83" s="59">
        <v>5</v>
      </c>
      <c r="AG83" s="66">
        <f t="shared" si="198"/>
        <v>17632</v>
      </c>
      <c r="AH83" s="66">
        <f t="shared" si="199"/>
        <v>3526.4</v>
      </c>
      <c r="AI83" s="69"/>
      <c r="AJ83" s="69"/>
      <c r="AK83" s="69">
        <v>17632</v>
      </c>
      <c r="AL83" s="69"/>
      <c r="AM83" s="69"/>
      <c r="AN83" s="69">
        <v>9132</v>
      </c>
      <c r="AO83" s="68">
        <f t="shared" si="200"/>
        <v>0</v>
      </c>
      <c r="AP83" s="59">
        <v>1</v>
      </c>
      <c r="AQ83" s="66">
        <f t="shared" si="201"/>
        <v>1625</v>
      </c>
      <c r="AR83" s="66">
        <f t="shared" si="202"/>
        <v>1625</v>
      </c>
      <c r="AS83" s="69"/>
      <c r="AT83" s="69"/>
      <c r="AU83" s="69">
        <v>1625</v>
      </c>
      <c r="AV83" s="69"/>
      <c r="AW83" s="69"/>
      <c r="AX83" s="69">
        <v>0</v>
      </c>
      <c r="AY83" s="68">
        <f t="shared" si="203"/>
        <v>0</v>
      </c>
      <c r="AZ83" s="356"/>
      <c r="BA83" s="66">
        <f t="shared" si="204"/>
        <v>0</v>
      </c>
      <c r="BB83" s="66">
        <f t="shared" si="205"/>
        <v>0</v>
      </c>
      <c r="BC83" s="66"/>
      <c r="BD83" s="66"/>
      <c r="BE83" s="66"/>
      <c r="BF83" s="66"/>
      <c r="BG83" s="66"/>
      <c r="BH83" s="66"/>
      <c r="BI83" s="357">
        <f t="shared" si="206"/>
        <v>0</v>
      </c>
      <c r="BJ83" s="358">
        <v>0</v>
      </c>
      <c r="BK83" s="66">
        <f t="shared" si="207"/>
        <v>0</v>
      </c>
      <c r="BL83" s="66">
        <f t="shared" si="208"/>
        <v>0</v>
      </c>
      <c r="BM83" s="69"/>
      <c r="BN83" s="69"/>
      <c r="BO83" s="69"/>
      <c r="BP83" s="69"/>
      <c r="BQ83" s="69"/>
      <c r="BR83" s="69"/>
      <c r="BS83" s="68">
        <f t="shared" si="209"/>
        <v>0</v>
      </c>
      <c r="BT83" s="358">
        <v>0</v>
      </c>
      <c r="BU83" s="66">
        <f t="shared" si="210"/>
        <v>0</v>
      </c>
      <c r="BV83" s="66">
        <f t="shared" si="211"/>
        <v>0</v>
      </c>
      <c r="BW83" s="69"/>
      <c r="BX83" s="69"/>
      <c r="BY83" s="69"/>
      <c r="BZ83" s="69"/>
      <c r="CA83" s="69"/>
      <c r="CB83" s="69"/>
      <c r="CC83" s="68">
        <f t="shared" si="212"/>
        <v>0</v>
      </c>
      <c r="CD83" s="244"/>
      <c r="CE83" s="66">
        <f t="shared" si="213"/>
        <v>0</v>
      </c>
      <c r="CF83" s="66">
        <f t="shared" si="214"/>
        <v>0</v>
      </c>
      <c r="CG83" s="195"/>
      <c r="CH83" s="195"/>
      <c r="CI83" s="195"/>
      <c r="CJ83" s="195"/>
      <c r="CK83" s="195"/>
      <c r="CL83" s="195"/>
      <c r="CM83" s="403">
        <f t="shared" si="215"/>
        <v>0</v>
      </c>
    </row>
    <row r="84" spans="1:91" s="58" customFormat="1" ht="15.95" customHeight="1">
      <c r="A84" s="143" t="s">
        <v>192</v>
      </c>
      <c r="B84" s="93">
        <v>8</v>
      </c>
      <c r="C84" s="66">
        <f t="shared" si="189"/>
        <v>140000</v>
      </c>
      <c r="D84" s="66">
        <f t="shared" si="190"/>
        <v>17500</v>
      </c>
      <c r="E84" s="69"/>
      <c r="F84" s="69"/>
      <c r="G84" s="69">
        <v>140000</v>
      </c>
      <c r="H84" s="69"/>
      <c r="I84" s="69"/>
      <c r="J84" s="69">
        <v>140000</v>
      </c>
      <c r="K84" s="68">
        <f t="shared" si="191"/>
        <v>0</v>
      </c>
      <c r="L84" s="159">
        <v>8</v>
      </c>
      <c r="M84" s="66">
        <f t="shared" si="192"/>
        <v>160000</v>
      </c>
      <c r="N84" s="66">
        <f t="shared" si="193"/>
        <v>20000</v>
      </c>
      <c r="O84" s="69"/>
      <c r="P84" s="69"/>
      <c r="Q84" s="69">
        <v>160000</v>
      </c>
      <c r="R84" s="69"/>
      <c r="S84" s="69"/>
      <c r="T84" s="69">
        <v>160000</v>
      </c>
      <c r="U84" s="68">
        <f t="shared" si="194"/>
        <v>0</v>
      </c>
      <c r="V84" s="59">
        <v>12</v>
      </c>
      <c r="W84" s="66">
        <f t="shared" si="195"/>
        <v>200000</v>
      </c>
      <c r="X84" s="66">
        <f t="shared" si="196"/>
        <v>16666.666666666668</v>
      </c>
      <c r="Y84" s="69"/>
      <c r="Z84" s="69"/>
      <c r="AA84" s="69">
        <v>200000</v>
      </c>
      <c r="AB84" s="69"/>
      <c r="AC84" s="69"/>
      <c r="AD84" s="69">
        <v>200000</v>
      </c>
      <c r="AE84" s="68">
        <f t="shared" si="197"/>
        <v>0</v>
      </c>
      <c r="AF84" s="59">
        <v>9</v>
      </c>
      <c r="AG84" s="66">
        <f t="shared" si="198"/>
        <v>140000</v>
      </c>
      <c r="AH84" s="66">
        <f t="shared" si="199"/>
        <v>15555.555555555555</v>
      </c>
      <c r="AI84" s="69"/>
      <c r="AJ84" s="69"/>
      <c r="AK84" s="69">
        <v>140000</v>
      </c>
      <c r="AL84" s="69"/>
      <c r="AM84" s="69"/>
      <c r="AN84" s="69">
        <v>140000</v>
      </c>
      <c r="AO84" s="68">
        <f t="shared" si="200"/>
        <v>0</v>
      </c>
      <c r="AP84" s="59">
        <v>2</v>
      </c>
      <c r="AQ84" s="66">
        <f t="shared" si="201"/>
        <v>40000</v>
      </c>
      <c r="AR84" s="66">
        <f t="shared" si="202"/>
        <v>20000</v>
      </c>
      <c r="AS84" s="69"/>
      <c r="AT84" s="69"/>
      <c r="AU84" s="69">
        <v>40000</v>
      </c>
      <c r="AV84" s="69"/>
      <c r="AW84" s="69"/>
      <c r="AX84" s="69">
        <v>40000</v>
      </c>
      <c r="AY84" s="68">
        <f t="shared" si="203"/>
        <v>0</v>
      </c>
      <c r="AZ84" s="356"/>
      <c r="BA84" s="66">
        <f t="shared" si="204"/>
        <v>0</v>
      </c>
      <c r="BB84" s="66">
        <f t="shared" si="205"/>
        <v>0</v>
      </c>
      <c r="BC84" s="66"/>
      <c r="BD84" s="66"/>
      <c r="BE84" s="66"/>
      <c r="BF84" s="66"/>
      <c r="BG84" s="66"/>
      <c r="BH84" s="66"/>
      <c r="BI84" s="357">
        <f t="shared" si="206"/>
        <v>0</v>
      </c>
      <c r="BJ84" s="358">
        <v>0</v>
      </c>
      <c r="BK84" s="66">
        <f t="shared" si="207"/>
        <v>0</v>
      </c>
      <c r="BL84" s="66">
        <f t="shared" si="208"/>
        <v>0</v>
      </c>
      <c r="BM84" s="69"/>
      <c r="BN84" s="69"/>
      <c r="BO84" s="69"/>
      <c r="BP84" s="69"/>
      <c r="BQ84" s="69"/>
      <c r="BR84" s="69"/>
      <c r="BS84" s="68">
        <f t="shared" si="209"/>
        <v>0</v>
      </c>
      <c r="BT84" s="358">
        <v>0</v>
      </c>
      <c r="BU84" s="66">
        <f t="shared" si="210"/>
        <v>0</v>
      </c>
      <c r="BV84" s="66">
        <f t="shared" si="211"/>
        <v>0</v>
      </c>
      <c r="BW84" s="69"/>
      <c r="BX84" s="69"/>
      <c r="BY84" s="69"/>
      <c r="BZ84" s="69"/>
      <c r="CA84" s="69"/>
      <c r="CB84" s="69"/>
      <c r="CC84" s="68">
        <f t="shared" si="212"/>
        <v>0</v>
      </c>
      <c r="CD84" s="244"/>
      <c r="CE84" s="66">
        <f t="shared" si="213"/>
        <v>0</v>
      </c>
      <c r="CF84" s="66">
        <f t="shared" si="214"/>
        <v>0</v>
      </c>
      <c r="CG84" s="195"/>
      <c r="CH84" s="195"/>
      <c r="CI84" s="195"/>
      <c r="CJ84" s="195"/>
      <c r="CK84" s="195"/>
      <c r="CL84" s="195"/>
      <c r="CM84" s="403">
        <f t="shared" si="215"/>
        <v>0</v>
      </c>
    </row>
    <row r="85" spans="1:91" s="58" customFormat="1" ht="15.75" customHeight="1">
      <c r="A85" s="143" t="s">
        <v>193</v>
      </c>
      <c r="B85" s="93">
        <v>3</v>
      </c>
      <c r="C85" s="66">
        <f t="shared" si="189"/>
        <v>9972</v>
      </c>
      <c r="D85" s="66">
        <f t="shared" si="190"/>
        <v>3324</v>
      </c>
      <c r="E85" s="69"/>
      <c r="F85" s="69"/>
      <c r="G85" s="69">
        <v>9972</v>
      </c>
      <c r="H85" s="69"/>
      <c r="I85" s="69"/>
      <c r="J85" s="69">
        <v>4608</v>
      </c>
      <c r="K85" s="68">
        <f t="shared" si="191"/>
        <v>0</v>
      </c>
      <c r="L85" s="159">
        <v>0</v>
      </c>
      <c r="M85" s="66">
        <f t="shared" si="192"/>
        <v>0</v>
      </c>
      <c r="N85" s="66">
        <f t="shared" si="193"/>
        <v>0</v>
      </c>
      <c r="O85" s="69"/>
      <c r="P85" s="69"/>
      <c r="Q85" s="69"/>
      <c r="R85" s="69"/>
      <c r="S85" s="69"/>
      <c r="T85" s="69">
        <v>0</v>
      </c>
      <c r="U85" s="68">
        <f t="shared" si="194"/>
        <v>0</v>
      </c>
      <c r="V85" s="59">
        <v>6</v>
      </c>
      <c r="W85" s="66">
        <f t="shared" si="195"/>
        <v>22800</v>
      </c>
      <c r="X85" s="66">
        <f t="shared" si="196"/>
        <v>3800</v>
      </c>
      <c r="Y85" s="69"/>
      <c r="Z85" s="69"/>
      <c r="AA85" s="69">
        <v>22800</v>
      </c>
      <c r="AB85" s="69"/>
      <c r="AC85" s="69"/>
      <c r="AD85" s="69">
        <v>22800</v>
      </c>
      <c r="AE85" s="68">
        <f t="shared" si="197"/>
        <v>0</v>
      </c>
      <c r="AF85" s="59">
        <v>0</v>
      </c>
      <c r="AG85" s="66">
        <f t="shared" si="198"/>
        <v>0</v>
      </c>
      <c r="AH85" s="66">
        <f t="shared" si="199"/>
        <v>0</v>
      </c>
      <c r="AI85" s="69"/>
      <c r="AJ85" s="69"/>
      <c r="AK85" s="69">
        <v>0</v>
      </c>
      <c r="AL85" s="69"/>
      <c r="AM85" s="69"/>
      <c r="AN85" s="69"/>
      <c r="AO85" s="68">
        <f t="shared" si="200"/>
        <v>0</v>
      </c>
      <c r="AP85" s="59">
        <v>0</v>
      </c>
      <c r="AQ85" s="66">
        <f t="shared" si="201"/>
        <v>0</v>
      </c>
      <c r="AR85" s="66">
        <f t="shared" si="202"/>
        <v>0</v>
      </c>
      <c r="AS85" s="69"/>
      <c r="AT85" s="69"/>
      <c r="AU85" s="69"/>
      <c r="AV85" s="69"/>
      <c r="AW85" s="69"/>
      <c r="AX85" s="69">
        <v>0</v>
      </c>
      <c r="AY85" s="68">
        <f t="shared" si="203"/>
        <v>0</v>
      </c>
      <c r="AZ85" s="356">
        <v>6</v>
      </c>
      <c r="BA85" s="66">
        <f t="shared" si="204"/>
        <v>87303</v>
      </c>
      <c r="BB85" s="66">
        <f t="shared" si="205"/>
        <v>14550.5</v>
      </c>
      <c r="BC85" s="66"/>
      <c r="BD85" s="66"/>
      <c r="BE85" s="66">
        <v>87303</v>
      </c>
      <c r="BF85" s="66"/>
      <c r="BG85" s="66"/>
      <c r="BH85" s="66">
        <v>83403</v>
      </c>
      <c r="BI85" s="357">
        <f t="shared" si="206"/>
        <v>0</v>
      </c>
      <c r="BJ85" s="358">
        <v>7</v>
      </c>
      <c r="BK85" s="66">
        <f t="shared" si="207"/>
        <v>131460</v>
      </c>
      <c r="BL85" s="66">
        <f t="shared" si="208"/>
        <v>18780</v>
      </c>
      <c r="BM85" s="69"/>
      <c r="BN85" s="69">
        <v>131460</v>
      </c>
      <c r="BO85" s="69"/>
      <c r="BP85" s="69"/>
      <c r="BQ85" s="69"/>
      <c r="BR85" s="69">
        <v>119122.75</v>
      </c>
      <c r="BS85" s="68">
        <f t="shared" si="209"/>
        <v>0</v>
      </c>
      <c r="BT85" s="358">
        <v>0</v>
      </c>
      <c r="BU85" s="66">
        <f t="shared" si="210"/>
        <v>0</v>
      </c>
      <c r="BV85" s="66">
        <f t="shared" si="211"/>
        <v>0</v>
      </c>
      <c r="BW85" s="69"/>
      <c r="BX85" s="69"/>
      <c r="BY85" s="69"/>
      <c r="BZ85" s="69"/>
      <c r="CA85" s="69"/>
      <c r="CB85" s="69"/>
      <c r="CC85" s="68">
        <f t="shared" si="212"/>
        <v>0</v>
      </c>
      <c r="CD85" s="244"/>
      <c r="CE85" s="66">
        <f t="shared" si="213"/>
        <v>0</v>
      </c>
      <c r="CF85" s="66">
        <f t="shared" si="214"/>
        <v>0</v>
      </c>
      <c r="CG85" s="195"/>
      <c r="CH85" s="195"/>
      <c r="CI85" s="195"/>
      <c r="CJ85" s="195"/>
      <c r="CK85" s="195"/>
      <c r="CL85" s="195"/>
      <c r="CM85" s="403">
        <f t="shared" si="215"/>
        <v>0</v>
      </c>
    </row>
    <row r="86" spans="1:91" s="58" customFormat="1" ht="15.95" customHeight="1">
      <c r="A86" s="367"/>
      <c r="B86" s="93"/>
      <c r="C86" s="66">
        <f t="shared" ref="C86:C88" si="216">SUM(E86:I86)</f>
        <v>0</v>
      </c>
      <c r="D86" s="66">
        <f t="shared" ref="D86:D88" si="217">IFERROR(C86/B86,0)</f>
        <v>0</v>
      </c>
      <c r="E86" s="69"/>
      <c r="F86" s="69"/>
      <c r="G86" s="69"/>
      <c r="H86" s="69"/>
      <c r="I86" s="69"/>
      <c r="J86" s="69"/>
      <c r="K86" s="68">
        <f t="shared" ref="K86:K88" si="218">IF(J86=0,0,(IF(E86&lt;=J86,E86,J86)))</f>
        <v>0</v>
      </c>
      <c r="L86" s="159"/>
      <c r="M86" s="66">
        <f t="shared" ref="M86:M88" si="219">SUM(O86:S86)</f>
        <v>0</v>
      </c>
      <c r="N86" s="66">
        <f t="shared" ref="N86:N88" si="220">IFERROR(M86/L86,0)</f>
        <v>0</v>
      </c>
      <c r="O86" s="69"/>
      <c r="P86" s="69"/>
      <c r="Q86" s="69"/>
      <c r="R86" s="69"/>
      <c r="S86" s="69"/>
      <c r="T86" s="69"/>
      <c r="U86" s="68">
        <f t="shared" ref="U86:U88" si="221">IF(T86=0,0,(IF(O86&lt;=T86,O86,T86)))</f>
        <v>0</v>
      </c>
      <c r="V86" s="59"/>
      <c r="W86" s="66">
        <f t="shared" ref="W86:W88" si="222">SUM(Y86:AC86)</f>
        <v>0</v>
      </c>
      <c r="X86" s="66">
        <f t="shared" ref="X86:X88" si="223">IFERROR(W86/V86,0)</f>
        <v>0</v>
      </c>
      <c r="Y86" s="69"/>
      <c r="Z86" s="69"/>
      <c r="AA86" s="69"/>
      <c r="AB86" s="69"/>
      <c r="AC86" s="69"/>
      <c r="AD86" s="69"/>
      <c r="AE86" s="68">
        <f t="shared" ref="AE86:AE88" si="224">IF(AD86=0,0,(IF(Y86&lt;=AD86,Y86,AD86)))</f>
        <v>0</v>
      </c>
      <c r="AF86" s="59"/>
      <c r="AG86" s="66">
        <f t="shared" ref="AG86:AG88" si="225">SUM(AI86:AM86)</f>
        <v>0</v>
      </c>
      <c r="AH86" s="66">
        <f t="shared" ref="AH86:AH88" si="226">IFERROR(AG86/AF86,0)</f>
        <v>0</v>
      </c>
      <c r="AI86" s="69"/>
      <c r="AJ86" s="69"/>
      <c r="AK86" s="69"/>
      <c r="AL86" s="69"/>
      <c r="AM86" s="69"/>
      <c r="AN86" s="69"/>
      <c r="AO86" s="68">
        <f t="shared" ref="AO86:AO88" si="227">IF(AN86=0,0,(IF(AI86&lt;=AN86,AI86,AN86)))</f>
        <v>0</v>
      </c>
      <c r="AP86" s="59"/>
      <c r="AQ86" s="66">
        <f t="shared" ref="AQ86:AQ88" si="228">SUM(AS86:AW86)</f>
        <v>0</v>
      </c>
      <c r="AR86" s="66">
        <f t="shared" ref="AR86:AR88" si="229">IFERROR(AQ86/AP86,0)</f>
        <v>0</v>
      </c>
      <c r="AS86" s="69"/>
      <c r="AT86" s="69"/>
      <c r="AU86" s="69"/>
      <c r="AV86" s="69"/>
      <c r="AW86" s="69"/>
      <c r="AX86" s="69"/>
      <c r="AY86" s="68">
        <f t="shared" ref="AY86:AY88" si="230">IF(AX86=0,0,(IF(AS86&lt;=AX86,AS86,AX86)))</f>
        <v>0</v>
      </c>
      <c r="AZ86" s="356"/>
      <c r="BA86" s="66">
        <f t="shared" ref="BA86:BA91" si="231">SUM(BC86:BG86)</f>
        <v>0</v>
      </c>
      <c r="BB86" s="66">
        <f t="shared" ref="BB86:BB91" si="232">IFERROR(BA86/AZ86,0)</f>
        <v>0</v>
      </c>
      <c r="BC86" s="66"/>
      <c r="BD86" s="66"/>
      <c r="BE86" s="66"/>
      <c r="BF86" s="66"/>
      <c r="BG86" s="66"/>
      <c r="BH86" s="66"/>
      <c r="BI86" s="357">
        <f t="shared" si="206"/>
        <v>0</v>
      </c>
      <c r="BJ86" s="358"/>
      <c r="BK86" s="66"/>
      <c r="BL86" s="66"/>
      <c r="BM86" s="69"/>
      <c r="BN86" s="69"/>
      <c r="BO86" s="69"/>
      <c r="BP86" s="69"/>
      <c r="BQ86" s="69"/>
      <c r="BR86" s="69"/>
      <c r="BS86" s="68">
        <f t="shared" si="209"/>
        <v>0</v>
      </c>
      <c r="BT86" s="358"/>
      <c r="BU86" s="66">
        <f t="shared" si="210"/>
        <v>0</v>
      </c>
      <c r="BV86" s="66">
        <f t="shared" si="211"/>
        <v>0</v>
      </c>
      <c r="BW86" s="69"/>
      <c r="BX86" s="69"/>
      <c r="BY86" s="69"/>
      <c r="BZ86" s="69"/>
      <c r="CA86" s="69"/>
      <c r="CB86" s="69"/>
      <c r="CC86" s="68">
        <f t="shared" si="212"/>
        <v>0</v>
      </c>
      <c r="CD86" s="244"/>
      <c r="CE86" s="66">
        <f t="shared" si="213"/>
        <v>0</v>
      </c>
      <c r="CF86" s="66">
        <f t="shared" si="214"/>
        <v>0</v>
      </c>
      <c r="CG86" s="195"/>
      <c r="CH86" s="195"/>
      <c r="CI86" s="195"/>
      <c r="CJ86" s="195"/>
      <c r="CK86" s="195"/>
      <c r="CL86" s="195"/>
      <c r="CM86" s="403">
        <f t="shared" si="215"/>
        <v>0</v>
      </c>
    </row>
    <row r="87" spans="1:91" s="58" customFormat="1" ht="15.95" customHeight="1">
      <c r="A87" s="367"/>
      <c r="B87" s="93"/>
      <c r="C87" s="66">
        <f t="shared" si="216"/>
        <v>0</v>
      </c>
      <c r="D87" s="66">
        <f t="shared" si="217"/>
        <v>0</v>
      </c>
      <c r="E87" s="69"/>
      <c r="F87" s="69"/>
      <c r="G87" s="69"/>
      <c r="H87" s="69"/>
      <c r="I87" s="69"/>
      <c r="J87" s="69"/>
      <c r="K87" s="68">
        <f t="shared" si="218"/>
        <v>0</v>
      </c>
      <c r="L87" s="159"/>
      <c r="M87" s="66">
        <f t="shared" si="219"/>
        <v>0</v>
      </c>
      <c r="N87" s="66">
        <f t="shared" si="220"/>
        <v>0</v>
      </c>
      <c r="O87" s="69"/>
      <c r="P87" s="69"/>
      <c r="Q87" s="69"/>
      <c r="R87" s="69"/>
      <c r="S87" s="69"/>
      <c r="T87" s="69"/>
      <c r="U87" s="68">
        <f t="shared" si="221"/>
        <v>0</v>
      </c>
      <c r="V87" s="59"/>
      <c r="W87" s="66">
        <f t="shared" si="222"/>
        <v>0</v>
      </c>
      <c r="X87" s="66">
        <f t="shared" si="223"/>
        <v>0</v>
      </c>
      <c r="Y87" s="69"/>
      <c r="Z87" s="69"/>
      <c r="AA87" s="69"/>
      <c r="AB87" s="69"/>
      <c r="AC87" s="69"/>
      <c r="AD87" s="69"/>
      <c r="AE87" s="68">
        <f t="shared" si="224"/>
        <v>0</v>
      </c>
      <c r="AF87" s="59"/>
      <c r="AG87" s="66">
        <f t="shared" si="225"/>
        <v>0</v>
      </c>
      <c r="AH87" s="66">
        <f t="shared" si="226"/>
        <v>0</v>
      </c>
      <c r="AI87" s="69"/>
      <c r="AJ87" s="69"/>
      <c r="AK87" s="69"/>
      <c r="AL87" s="69"/>
      <c r="AM87" s="69"/>
      <c r="AN87" s="69"/>
      <c r="AO87" s="68">
        <f t="shared" si="227"/>
        <v>0</v>
      </c>
      <c r="AP87" s="59"/>
      <c r="AQ87" s="66">
        <f t="shared" si="228"/>
        <v>0</v>
      </c>
      <c r="AR87" s="66">
        <f t="shared" si="229"/>
        <v>0</v>
      </c>
      <c r="AS87" s="69"/>
      <c r="AT87" s="69"/>
      <c r="AU87" s="69"/>
      <c r="AV87" s="69"/>
      <c r="AW87" s="69"/>
      <c r="AX87" s="69"/>
      <c r="AY87" s="68">
        <f t="shared" si="230"/>
        <v>0</v>
      </c>
      <c r="AZ87" s="356"/>
      <c r="BA87" s="66">
        <f t="shared" si="231"/>
        <v>0</v>
      </c>
      <c r="BB87" s="66">
        <f t="shared" si="232"/>
        <v>0</v>
      </c>
      <c r="BC87" s="66"/>
      <c r="BD87" s="66"/>
      <c r="BE87" s="66"/>
      <c r="BF87" s="66"/>
      <c r="BG87" s="66"/>
      <c r="BH87" s="66"/>
      <c r="BI87" s="357">
        <f t="shared" si="206"/>
        <v>0</v>
      </c>
      <c r="BJ87" s="358"/>
      <c r="BK87" s="66"/>
      <c r="BL87" s="66"/>
      <c r="BM87" s="69"/>
      <c r="BN87" s="69"/>
      <c r="BO87" s="69"/>
      <c r="BP87" s="69"/>
      <c r="BQ87" s="69"/>
      <c r="BR87" s="69"/>
      <c r="BS87" s="68">
        <f t="shared" si="209"/>
        <v>0</v>
      </c>
      <c r="BT87" s="358"/>
      <c r="BU87" s="66">
        <f t="shared" si="210"/>
        <v>0</v>
      </c>
      <c r="BV87" s="66">
        <f t="shared" si="211"/>
        <v>0</v>
      </c>
      <c r="BW87" s="69"/>
      <c r="BX87" s="69"/>
      <c r="BY87" s="69"/>
      <c r="BZ87" s="69"/>
      <c r="CA87" s="69"/>
      <c r="CB87" s="69"/>
      <c r="CC87" s="68">
        <f t="shared" si="212"/>
        <v>0</v>
      </c>
      <c r="CD87" s="244"/>
      <c r="CE87" s="66">
        <f t="shared" si="213"/>
        <v>0</v>
      </c>
      <c r="CF87" s="66">
        <f t="shared" si="214"/>
        <v>0</v>
      </c>
      <c r="CG87" s="195"/>
      <c r="CH87" s="195"/>
      <c r="CI87" s="195"/>
      <c r="CJ87" s="195"/>
      <c r="CK87" s="195"/>
      <c r="CL87" s="195"/>
      <c r="CM87" s="403">
        <f t="shared" si="215"/>
        <v>0</v>
      </c>
    </row>
    <row r="88" spans="1:91" s="58" customFormat="1" ht="15.95" customHeight="1">
      <c r="A88" s="367"/>
      <c r="B88" s="93"/>
      <c r="C88" s="66">
        <f t="shared" si="216"/>
        <v>0</v>
      </c>
      <c r="D88" s="66">
        <f t="shared" si="217"/>
        <v>0</v>
      </c>
      <c r="E88" s="69"/>
      <c r="F88" s="69"/>
      <c r="G88" s="69"/>
      <c r="H88" s="69"/>
      <c r="I88" s="69"/>
      <c r="J88" s="69"/>
      <c r="K88" s="68">
        <f t="shared" si="218"/>
        <v>0</v>
      </c>
      <c r="L88" s="159"/>
      <c r="M88" s="66">
        <f t="shared" si="219"/>
        <v>0</v>
      </c>
      <c r="N88" s="66">
        <f t="shared" si="220"/>
        <v>0</v>
      </c>
      <c r="O88" s="69"/>
      <c r="P88" s="69"/>
      <c r="Q88" s="69"/>
      <c r="R88" s="69"/>
      <c r="S88" s="69"/>
      <c r="T88" s="69"/>
      <c r="U88" s="68">
        <f t="shared" si="221"/>
        <v>0</v>
      </c>
      <c r="V88" s="59"/>
      <c r="W88" s="66">
        <f t="shared" si="222"/>
        <v>0</v>
      </c>
      <c r="X88" s="66">
        <f t="shared" si="223"/>
        <v>0</v>
      </c>
      <c r="Y88" s="69"/>
      <c r="Z88" s="69"/>
      <c r="AA88" s="69"/>
      <c r="AB88" s="69"/>
      <c r="AC88" s="69"/>
      <c r="AD88" s="69"/>
      <c r="AE88" s="68">
        <f t="shared" si="224"/>
        <v>0</v>
      </c>
      <c r="AF88" s="59"/>
      <c r="AG88" s="66">
        <f t="shared" si="225"/>
        <v>0</v>
      </c>
      <c r="AH88" s="66">
        <f t="shared" si="226"/>
        <v>0</v>
      </c>
      <c r="AI88" s="69"/>
      <c r="AJ88" s="69"/>
      <c r="AK88" s="69"/>
      <c r="AL88" s="69"/>
      <c r="AM88" s="69"/>
      <c r="AN88" s="69"/>
      <c r="AO88" s="68">
        <f t="shared" si="227"/>
        <v>0</v>
      </c>
      <c r="AP88" s="59"/>
      <c r="AQ88" s="66">
        <f t="shared" si="228"/>
        <v>0</v>
      </c>
      <c r="AR88" s="66">
        <f t="shared" si="229"/>
        <v>0</v>
      </c>
      <c r="AS88" s="69"/>
      <c r="AT88" s="69"/>
      <c r="AU88" s="69"/>
      <c r="AV88" s="69"/>
      <c r="AW88" s="69"/>
      <c r="AX88" s="69"/>
      <c r="AY88" s="68">
        <f t="shared" si="230"/>
        <v>0</v>
      </c>
      <c r="AZ88" s="356"/>
      <c r="BA88" s="66">
        <f t="shared" si="231"/>
        <v>0</v>
      </c>
      <c r="BB88" s="66">
        <f t="shared" si="232"/>
        <v>0</v>
      </c>
      <c r="BC88" s="66"/>
      <c r="BD88" s="66"/>
      <c r="BE88" s="66"/>
      <c r="BF88" s="66"/>
      <c r="BG88" s="66"/>
      <c r="BH88" s="66"/>
      <c r="BI88" s="357">
        <f t="shared" si="206"/>
        <v>0</v>
      </c>
      <c r="BJ88" s="358"/>
      <c r="BK88" s="66"/>
      <c r="BL88" s="66"/>
      <c r="BM88" s="69"/>
      <c r="BN88" s="69"/>
      <c r="BO88" s="69"/>
      <c r="BP88" s="69"/>
      <c r="BQ88" s="69"/>
      <c r="BR88" s="69"/>
      <c r="BS88" s="68">
        <f t="shared" si="209"/>
        <v>0</v>
      </c>
      <c r="BT88" s="358"/>
      <c r="BU88" s="66">
        <f t="shared" si="210"/>
        <v>0</v>
      </c>
      <c r="BV88" s="66">
        <f t="shared" si="211"/>
        <v>0</v>
      </c>
      <c r="BW88" s="69"/>
      <c r="BX88" s="69"/>
      <c r="BY88" s="69"/>
      <c r="BZ88" s="69"/>
      <c r="CA88" s="69"/>
      <c r="CB88" s="69"/>
      <c r="CC88" s="68">
        <f t="shared" si="212"/>
        <v>0</v>
      </c>
      <c r="CD88" s="244"/>
      <c r="CE88" s="66">
        <f t="shared" si="213"/>
        <v>0</v>
      </c>
      <c r="CF88" s="66">
        <f t="shared" si="214"/>
        <v>0</v>
      </c>
      <c r="CG88" s="195"/>
      <c r="CH88" s="195"/>
      <c r="CI88" s="195"/>
      <c r="CJ88" s="195"/>
      <c r="CK88" s="195"/>
      <c r="CL88" s="195"/>
      <c r="CM88" s="403">
        <f t="shared" si="215"/>
        <v>0</v>
      </c>
    </row>
    <row r="89" spans="1:91" s="58" customFormat="1" ht="15.95" customHeight="1">
      <c r="A89" s="367"/>
      <c r="B89" s="93"/>
      <c r="C89" s="66">
        <f t="shared" si="189"/>
        <v>0</v>
      </c>
      <c r="D89" s="66">
        <f t="shared" si="190"/>
        <v>0</v>
      </c>
      <c r="E89" s="69"/>
      <c r="F89" s="69"/>
      <c r="G89" s="69"/>
      <c r="H89" s="69"/>
      <c r="I89" s="69"/>
      <c r="J89" s="69"/>
      <c r="K89" s="68">
        <f t="shared" si="191"/>
        <v>0</v>
      </c>
      <c r="L89" s="159"/>
      <c r="M89" s="66">
        <f t="shared" si="192"/>
        <v>0</v>
      </c>
      <c r="N89" s="66">
        <f t="shared" si="193"/>
        <v>0</v>
      </c>
      <c r="O89" s="69"/>
      <c r="P89" s="69"/>
      <c r="Q89" s="69"/>
      <c r="R89" s="69"/>
      <c r="S89" s="69"/>
      <c r="T89" s="69"/>
      <c r="U89" s="68">
        <f t="shared" si="194"/>
        <v>0</v>
      </c>
      <c r="V89" s="59"/>
      <c r="W89" s="66">
        <f t="shared" si="195"/>
        <v>0</v>
      </c>
      <c r="X89" s="66">
        <f t="shared" si="196"/>
        <v>0</v>
      </c>
      <c r="Y89" s="69"/>
      <c r="Z89" s="69"/>
      <c r="AA89" s="69"/>
      <c r="AB89" s="69"/>
      <c r="AC89" s="69"/>
      <c r="AD89" s="69"/>
      <c r="AE89" s="68">
        <f t="shared" si="197"/>
        <v>0</v>
      </c>
      <c r="AF89" s="59"/>
      <c r="AG89" s="66">
        <f t="shared" si="198"/>
        <v>0</v>
      </c>
      <c r="AH89" s="66">
        <f t="shared" si="199"/>
        <v>0</v>
      </c>
      <c r="AI89" s="69"/>
      <c r="AJ89" s="69"/>
      <c r="AK89" s="69"/>
      <c r="AL89" s="69"/>
      <c r="AM89" s="69"/>
      <c r="AN89" s="69"/>
      <c r="AO89" s="68">
        <f t="shared" si="200"/>
        <v>0</v>
      </c>
      <c r="AP89" s="59"/>
      <c r="AQ89" s="66">
        <f t="shared" si="201"/>
        <v>0</v>
      </c>
      <c r="AR89" s="66">
        <f t="shared" si="202"/>
        <v>0</v>
      </c>
      <c r="AS89" s="69"/>
      <c r="AT89" s="69"/>
      <c r="AU89" s="69"/>
      <c r="AV89" s="69"/>
      <c r="AW89" s="69"/>
      <c r="AX89" s="69"/>
      <c r="AY89" s="68">
        <f t="shared" si="203"/>
        <v>0</v>
      </c>
      <c r="AZ89" s="356"/>
      <c r="BA89" s="66">
        <f t="shared" si="231"/>
        <v>0</v>
      </c>
      <c r="BB89" s="66">
        <f t="shared" si="232"/>
        <v>0</v>
      </c>
      <c r="BC89" s="66"/>
      <c r="BD89" s="66"/>
      <c r="BE89" s="66"/>
      <c r="BF89" s="66"/>
      <c r="BG89" s="66"/>
      <c r="BH89" s="66"/>
      <c r="BI89" s="357">
        <f t="shared" si="206"/>
        <v>0</v>
      </c>
      <c r="BJ89" s="358"/>
      <c r="BK89" s="66"/>
      <c r="BL89" s="66"/>
      <c r="BM89" s="69"/>
      <c r="BN89" s="69"/>
      <c r="BO89" s="69"/>
      <c r="BP89" s="69"/>
      <c r="BQ89" s="69"/>
      <c r="BR89" s="69"/>
      <c r="BS89" s="68">
        <f t="shared" si="209"/>
        <v>0</v>
      </c>
      <c r="BT89" s="358"/>
      <c r="BU89" s="66">
        <f t="shared" si="210"/>
        <v>0</v>
      </c>
      <c r="BV89" s="66">
        <f t="shared" si="211"/>
        <v>0</v>
      </c>
      <c r="BW89" s="69"/>
      <c r="BX89" s="69"/>
      <c r="BY89" s="69"/>
      <c r="BZ89" s="69"/>
      <c r="CA89" s="69"/>
      <c r="CB89" s="69"/>
      <c r="CC89" s="68">
        <f t="shared" si="212"/>
        <v>0</v>
      </c>
      <c r="CD89" s="244"/>
      <c r="CE89" s="66">
        <f t="shared" si="213"/>
        <v>0</v>
      </c>
      <c r="CF89" s="66">
        <f t="shared" si="214"/>
        <v>0</v>
      </c>
      <c r="CG89" s="195"/>
      <c r="CH89" s="195"/>
      <c r="CI89" s="195"/>
      <c r="CJ89" s="195"/>
      <c r="CK89" s="195"/>
      <c r="CL89" s="195"/>
      <c r="CM89" s="403">
        <f t="shared" si="215"/>
        <v>0</v>
      </c>
    </row>
    <row r="90" spans="1:91" s="58" customFormat="1" ht="15.95" customHeight="1">
      <c r="A90" s="367"/>
      <c r="B90" s="93"/>
      <c r="C90" s="66">
        <f t="shared" ref="C90" si="233">SUM(E90:I90)</f>
        <v>0</v>
      </c>
      <c r="D90" s="66">
        <f t="shared" si="190"/>
        <v>0</v>
      </c>
      <c r="E90" s="69"/>
      <c r="F90" s="69"/>
      <c r="G90" s="69"/>
      <c r="H90" s="69"/>
      <c r="I90" s="69"/>
      <c r="J90" s="69"/>
      <c r="K90" s="68">
        <f t="shared" si="191"/>
        <v>0</v>
      </c>
      <c r="L90" s="159"/>
      <c r="M90" s="66">
        <f t="shared" si="192"/>
        <v>0</v>
      </c>
      <c r="N90" s="66">
        <f t="shared" si="193"/>
        <v>0</v>
      </c>
      <c r="O90" s="69"/>
      <c r="P90" s="69"/>
      <c r="Q90" s="69"/>
      <c r="R90" s="69"/>
      <c r="S90" s="69"/>
      <c r="T90" s="69"/>
      <c r="U90" s="68">
        <f t="shared" si="194"/>
        <v>0</v>
      </c>
      <c r="V90" s="59"/>
      <c r="W90" s="66">
        <f t="shared" si="195"/>
        <v>0</v>
      </c>
      <c r="X90" s="66">
        <f t="shared" si="196"/>
        <v>0</v>
      </c>
      <c r="Y90" s="69"/>
      <c r="Z90" s="69"/>
      <c r="AA90" s="69"/>
      <c r="AB90" s="69"/>
      <c r="AC90" s="69"/>
      <c r="AD90" s="69"/>
      <c r="AE90" s="68">
        <f t="shared" si="197"/>
        <v>0</v>
      </c>
      <c r="AF90" s="59"/>
      <c r="AG90" s="66">
        <f t="shared" si="198"/>
        <v>0</v>
      </c>
      <c r="AH90" s="66">
        <f t="shared" si="199"/>
        <v>0</v>
      </c>
      <c r="AI90" s="69"/>
      <c r="AJ90" s="69"/>
      <c r="AK90" s="69"/>
      <c r="AL90" s="69"/>
      <c r="AM90" s="69"/>
      <c r="AN90" s="69"/>
      <c r="AO90" s="68">
        <f t="shared" si="200"/>
        <v>0</v>
      </c>
      <c r="AP90" s="59"/>
      <c r="AQ90" s="66">
        <f t="shared" si="201"/>
        <v>0</v>
      </c>
      <c r="AR90" s="66">
        <f t="shared" si="202"/>
        <v>0</v>
      </c>
      <c r="AS90" s="69"/>
      <c r="AT90" s="69"/>
      <c r="AU90" s="69"/>
      <c r="AV90" s="69"/>
      <c r="AW90" s="69"/>
      <c r="AX90" s="69"/>
      <c r="AY90" s="68">
        <f t="shared" si="203"/>
        <v>0</v>
      </c>
      <c r="AZ90" s="356"/>
      <c r="BA90" s="66">
        <f t="shared" si="231"/>
        <v>0</v>
      </c>
      <c r="BB90" s="66">
        <f t="shared" si="232"/>
        <v>0</v>
      </c>
      <c r="BC90" s="66"/>
      <c r="BD90" s="66"/>
      <c r="BE90" s="66"/>
      <c r="BF90" s="66"/>
      <c r="BG90" s="66"/>
      <c r="BH90" s="66"/>
      <c r="BI90" s="357">
        <f t="shared" si="206"/>
        <v>0</v>
      </c>
      <c r="BJ90" s="358"/>
      <c r="BK90" s="66"/>
      <c r="BL90" s="66"/>
      <c r="BM90" s="69"/>
      <c r="BN90" s="69"/>
      <c r="BO90" s="69"/>
      <c r="BP90" s="69"/>
      <c r="BQ90" s="69"/>
      <c r="BR90" s="69"/>
      <c r="BS90" s="68">
        <f t="shared" si="209"/>
        <v>0</v>
      </c>
      <c r="BT90" s="358"/>
      <c r="BU90" s="66">
        <f t="shared" si="210"/>
        <v>0</v>
      </c>
      <c r="BV90" s="66">
        <f t="shared" si="211"/>
        <v>0</v>
      </c>
      <c r="BW90" s="69"/>
      <c r="BX90" s="69"/>
      <c r="BY90" s="69"/>
      <c r="BZ90" s="69"/>
      <c r="CA90" s="69"/>
      <c r="CB90" s="69"/>
      <c r="CC90" s="68">
        <f t="shared" si="212"/>
        <v>0</v>
      </c>
      <c r="CD90" s="244"/>
      <c r="CE90" s="66">
        <f t="shared" si="213"/>
        <v>0</v>
      </c>
      <c r="CF90" s="66">
        <f t="shared" si="214"/>
        <v>0</v>
      </c>
      <c r="CG90" s="195"/>
      <c r="CH90" s="195"/>
      <c r="CI90" s="195"/>
      <c r="CJ90" s="195"/>
      <c r="CK90" s="195"/>
      <c r="CL90" s="195"/>
      <c r="CM90" s="403">
        <f t="shared" si="215"/>
        <v>0</v>
      </c>
    </row>
    <row r="91" spans="1:91" s="58" customFormat="1" ht="15.95" customHeight="1">
      <c r="A91" s="367"/>
      <c r="B91" s="93"/>
      <c r="C91" s="66">
        <f t="shared" si="189"/>
        <v>0</v>
      </c>
      <c r="D91" s="66">
        <f t="shared" si="190"/>
        <v>0</v>
      </c>
      <c r="E91" s="69"/>
      <c r="F91" s="69"/>
      <c r="G91" s="69"/>
      <c r="H91" s="69"/>
      <c r="I91" s="69"/>
      <c r="J91" s="69"/>
      <c r="K91" s="68">
        <f t="shared" si="191"/>
        <v>0</v>
      </c>
      <c r="L91" s="159"/>
      <c r="M91" s="66">
        <f t="shared" si="192"/>
        <v>0</v>
      </c>
      <c r="N91" s="66">
        <f t="shared" si="193"/>
        <v>0</v>
      </c>
      <c r="O91" s="69"/>
      <c r="P91" s="69"/>
      <c r="Q91" s="69"/>
      <c r="R91" s="69"/>
      <c r="S91" s="69"/>
      <c r="T91" s="69"/>
      <c r="U91" s="68">
        <f t="shared" si="194"/>
        <v>0</v>
      </c>
      <c r="V91" s="59"/>
      <c r="W91" s="66">
        <f t="shared" si="195"/>
        <v>0</v>
      </c>
      <c r="X91" s="66">
        <f t="shared" si="196"/>
        <v>0</v>
      </c>
      <c r="Y91" s="69"/>
      <c r="Z91" s="69"/>
      <c r="AA91" s="69"/>
      <c r="AB91" s="69"/>
      <c r="AC91" s="69"/>
      <c r="AD91" s="69"/>
      <c r="AE91" s="68">
        <f t="shared" si="197"/>
        <v>0</v>
      </c>
      <c r="AF91" s="59"/>
      <c r="AG91" s="66">
        <f t="shared" si="198"/>
        <v>0</v>
      </c>
      <c r="AH91" s="66">
        <f t="shared" si="199"/>
        <v>0</v>
      </c>
      <c r="AI91" s="69"/>
      <c r="AJ91" s="69"/>
      <c r="AK91" s="69"/>
      <c r="AL91" s="69"/>
      <c r="AM91" s="69"/>
      <c r="AN91" s="69"/>
      <c r="AO91" s="68">
        <f t="shared" si="200"/>
        <v>0</v>
      </c>
      <c r="AP91" s="59"/>
      <c r="AQ91" s="66">
        <f t="shared" si="201"/>
        <v>0</v>
      </c>
      <c r="AR91" s="66">
        <f t="shared" si="202"/>
        <v>0</v>
      </c>
      <c r="AS91" s="69"/>
      <c r="AT91" s="69"/>
      <c r="AU91" s="69"/>
      <c r="AV91" s="69"/>
      <c r="AW91" s="69"/>
      <c r="AX91" s="69"/>
      <c r="AY91" s="68">
        <f t="shared" si="203"/>
        <v>0</v>
      </c>
      <c r="AZ91" s="356"/>
      <c r="BA91" s="66">
        <f t="shared" si="231"/>
        <v>0</v>
      </c>
      <c r="BB91" s="66">
        <f t="shared" si="232"/>
        <v>0</v>
      </c>
      <c r="BC91" s="66"/>
      <c r="BD91" s="66"/>
      <c r="BE91" s="66"/>
      <c r="BF91" s="66"/>
      <c r="BG91" s="66"/>
      <c r="BH91" s="66"/>
      <c r="BI91" s="357">
        <f t="shared" si="206"/>
        <v>0</v>
      </c>
      <c r="BJ91" s="358"/>
      <c r="BK91" s="66"/>
      <c r="BL91" s="66"/>
      <c r="BM91" s="69"/>
      <c r="BN91" s="69"/>
      <c r="BO91" s="69"/>
      <c r="BP91" s="69"/>
      <c r="BQ91" s="69"/>
      <c r="BR91" s="69"/>
      <c r="BS91" s="68">
        <f t="shared" si="209"/>
        <v>0</v>
      </c>
      <c r="BT91" s="358"/>
      <c r="BU91" s="66">
        <f t="shared" si="210"/>
        <v>0</v>
      </c>
      <c r="BV91" s="66">
        <f t="shared" si="211"/>
        <v>0</v>
      </c>
      <c r="BW91" s="69"/>
      <c r="BX91" s="69"/>
      <c r="BY91" s="69"/>
      <c r="BZ91" s="69"/>
      <c r="CA91" s="69"/>
      <c r="CB91" s="69"/>
      <c r="CC91" s="68">
        <f t="shared" si="212"/>
        <v>0</v>
      </c>
      <c r="CD91" s="244"/>
      <c r="CE91" s="66">
        <f t="shared" si="213"/>
        <v>0</v>
      </c>
      <c r="CF91" s="66">
        <f t="shared" si="214"/>
        <v>0</v>
      </c>
      <c r="CG91" s="195"/>
      <c r="CH91" s="195"/>
      <c r="CI91" s="195"/>
      <c r="CJ91" s="195"/>
      <c r="CK91" s="195"/>
      <c r="CL91" s="195"/>
      <c r="CM91" s="403">
        <f t="shared" si="215"/>
        <v>0</v>
      </c>
    </row>
    <row r="92" spans="1:91" s="5" customFormat="1" ht="15.95" customHeight="1">
      <c r="A92" s="79" t="s">
        <v>164</v>
      </c>
      <c r="B92" s="90"/>
      <c r="C92" s="61"/>
      <c r="D92" s="61"/>
      <c r="E92" s="63"/>
      <c r="F92" s="63"/>
      <c r="G92" s="63"/>
      <c r="H92" s="63"/>
      <c r="I92" s="63"/>
      <c r="J92" s="63"/>
      <c r="K92" s="166"/>
      <c r="L92" s="157"/>
      <c r="M92" s="61"/>
      <c r="N92" s="61"/>
      <c r="O92" s="63"/>
      <c r="P92" s="63"/>
      <c r="Q92" s="63"/>
      <c r="R92" s="63"/>
      <c r="S92" s="63"/>
      <c r="T92" s="63"/>
      <c r="U92" s="166"/>
      <c r="V92" s="55"/>
      <c r="W92" s="61"/>
      <c r="X92" s="61"/>
      <c r="Y92" s="63"/>
      <c r="Z92" s="63"/>
      <c r="AA92" s="63"/>
      <c r="AB92" s="63"/>
      <c r="AC92" s="63"/>
      <c r="AD92" s="63"/>
      <c r="AE92" s="166"/>
      <c r="AF92" s="55"/>
      <c r="AG92" s="61"/>
      <c r="AH92" s="61"/>
      <c r="AI92" s="63"/>
      <c r="AJ92" s="63"/>
      <c r="AK92" s="63"/>
      <c r="AL92" s="63"/>
      <c r="AM92" s="63"/>
      <c r="AN92" s="63"/>
      <c r="AO92" s="166"/>
      <c r="AP92" s="55"/>
      <c r="AQ92" s="61"/>
      <c r="AR92" s="61"/>
      <c r="AS92" s="63"/>
      <c r="AT92" s="63"/>
      <c r="AU92" s="63"/>
      <c r="AV92" s="63"/>
      <c r="AW92" s="63"/>
      <c r="AX92" s="63"/>
      <c r="AY92" s="166"/>
      <c r="AZ92" s="356"/>
      <c r="BA92" s="66"/>
      <c r="BB92" s="66"/>
      <c r="BC92" s="66"/>
      <c r="BD92" s="66"/>
      <c r="BE92" s="66"/>
      <c r="BF92" s="66"/>
      <c r="BG92" s="66"/>
      <c r="BH92" s="66"/>
      <c r="BI92" s="357"/>
      <c r="BJ92" s="243"/>
      <c r="BK92" s="66"/>
      <c r="BL92" s="66"/>
      <c r="BM92" s="63"/>
      <c r="BN92" s="63"/>
      <c r="BO92" s="63"/>
      <c r="BP92" s="63"/>
      <c r="BQ92" s="63"/>
      <c r="BR92" s="63"/>
      <c r="BS92" s="166"/>
      <c r="BT92" s="243"/>
      <c r="BU92" s="66"/>
      <c r="BV92" s="66"/>
      <c r="BW92" s="63"/>
      <c r="BX92" s="63"/>
      <c r="BY92" s="63"/>
      <c r="BZ92" s="63"/>
      <c r="CA92" s="63"/>
      <c r="CB92" s="63"/>
      <c r="CC92" s="166"/>
      <c r="CD92" s="243"/>
      <c r="CE92" s="66"/>
      <c r="CF92" s="66"/>
      <c r="CG92" s="63"/>
      <c r="CH92" s="63"/>
      <c r="CI92" s="63"/>
      <c r="CJ92" s="63"/>
      <c r="CK92" s="63"/>
      <c r="CL92" s="63"/>
      <c r="CM92" s="166"/>
    </row>
    <row r="93" spans="1:91" s="58" customFormat="1" ht="15.95" customHeight="1">
      <c r="A93" s="80" t="s">
        <v>57</v>
      </c>
      <c r="B93" s="92">
        <f>SUM(B$79:B92)</f>
        <v>105</v>
      </c>
      <c r="C93" s="66">
        <f>SUM(C$79:C92)</f>
        <v>586540</v>
      </c>
      <c r="D93" s="66">
        <f>IFERROR(C93/B93,0)</f>
        <v>5586.0952380952385</v>
      </c>
      <c r="E93" s="67">
        <f>SUM(E$79:E92)</f>
        <v>0</v>
      </c>
      <c r="F93" s="67">
        <f>SUM(F$79:F92)</f>
        <v>19721</v>
      </c>
      <c r="G93" s="67">
        <f>SUM(G$79:G92)</f>
        <v>172148</v>
      </c>
      <c r="H93" s="67">
        <f>SUM(H$79:H92)</f>
        <v>394671</v>
      </c>
      <c r="I93" s="67">
        <f>SUM(I$79:I92)</f>
        <v>0</v>
      </c>
      <c r="J93" s="67">
        <f>SUM(J$79:J92)</f>
        <v>542359</v>
      </c>
      <c r="K93" s="68">
        <f>SUM(K$79:K92)</f>
        <v>0</v>
      </c>
      <c r="L93" s="160">
        <f>SUM(L$79:L92)</f>
        <v>83</v>
      </c>
      <c r="M93" s="66">
        <f>SUM(M$79:M92)</f>
        <v>520372</v>
      </c>
      <c r="N93" s="66">
        <f>IFERROR(M93/L93,0)</f>
        <v>6269.5421686746986</v>
      </c>
      <c r="O93" s="67">
        <f>SUM(O$79:O92)</f>
        <v>0</v>
      </c>
      <c r="P93" s="67">
        <f>SUM(P$79:P92)</f>
        <v>0</v>
      </c>
      <c r="Q93" s="67">
        <f>SUM(Q$79:Q92)</f>
        <v>173300</v>
      </c>
      <c r="R93" s="67">
        <f>SUM(R$79:R92)</f>
        <v>347072</v>
      </c>
      <c r="S93" s="67">
        <f>SUM(S$79:S92)</f>
        <v>0</v>
      </c>
      <c r="T93" s="67">
        <f>SUM(T$79:T92)</f>
        <v>460307</v>
      </c>
      <c r="U93" s="68">
        <f>SUM(U$79:U92)</f>
        <v>0</v>
      </c>
      <c r="V93" s="50">
        <f>SUM(V$79:V92)</f>
        <v>94</v>
      </c>
      <c r="W93" s="66">
        <f>SUM(W$79:W92)</f>
        <v>755394</v>
      </c>
      <c r="X93" s="66">
        <f>IFERROR(W93/V93,0)</f>
        <v>8036.1063829787236</v>
      </c>
      <c r="Y93" s="67">
        <f>SUM(Y$79:Y92)</f>
        <v>0</v>
      </c>
      <c r="Z93" s="67">
        <f>SUM(Z$79:Z92)</f>
        <v>0</v>
      </c>
      <c r="AA93" s="67">
        <f>SUM(AA$79:AA92)</f>
        <v>245600</v>
      </c>
      <c r="AB93" s="67">
        <f>SUM(AB$79:AB92)</f>
        <v>509794</v>
      </c>
      <c r="AC93" s="67">
        <f>SUM(AC$79:AC92)</f>
        <v>0</v>
      </c>
      <c r="AD93" s="67">
        <f>SUM(AD$79:AD92)</f>
        <v>685511</v>
      </c>
      <c r="AE93" s="68">
        <f>SUM(AE$79:AE92)</f>
        <v>0</v>
      </c>
      <c r="AF93" s="50">
        <f>SUM(AF$79:AF92)</f>
        <v>71</v>
      </c>
      <c r="AG93" s="66">
        <f>SUM(AG$79:AG92)</f>
        <v>683247</v>
      </c>
      <c r="AH93" s="66">
        <f>IFERROR(AG93/AF93,0)</f>
        <v>9623.1971830985913</v>
      </c>
      <c r="AI93" s="67">
        <f>SUM(AI$79:AI92)</f>
        <v>0</v>
      </c>
      <c r="AJ93" s="67">
        <f>SUM(AJ$79:AJ92)</f>
        <v>0</v>
      </c>
      <c r="AK93" s="67">
        <f>SUM(AK$79:AK92)</f>
        <v>157632</v>
      </c>
      <c r="AL93" s="67">
        <f>SUM(AL$79:AL92)</f>
        <v>525615</v>
      </c>
      <c r="AM93" s="67">
        <f>SUM(AM$79:AM92)</f>
        <v>0</v>
      </c>
      <c r="AN93" s="67">
        <f>SUM(AN$79:AN92)</f>
        <v>617222</v>
      </c>
      <c r="AO93" s="68">
        <f>SUM(AO$79:AO92)</f>
        <v>0</v>
      </c>
      <c r="AP93" s="50">
        <f>SUM(AP$79:AP92)</f>
        <v>58</v>
      </c>
      <c r="AQ93" s="66">
        <f>SUM(AQ$79:AQ92)</f>
        <v>552565</v>
      </c>
      <c r="AR93" s="66">
        <f>IFERROR(AQ93/AP93,0)</f>
        <v>9526.9827586206902</v>
      </c>
      <c r="AS93" s="67">
        <f>SUM(AS$79:AS92)</f>
        <v>0</v>
      </c>
      <c r="AT93" s="67">
        <f>SUM(AT$79:AT92)</f>
        <v>0</v>
      </c>
      <c r="AU93" s="67">
        <f>SUM(AU$79:AU92)</f>
        <v>41625</v>
      </c>
      <c r="AV93" s="67">
        <f>SUM(AV$79:AV92)</f>
        <v>510940</v>
      </c>
      <c r="AW93" s="67">
        <f>SUM(AW$79:AW92)</f>
        <v>0</v>
      </c>
      <c r="AX93" s="67">
        <f>SUM(AX$79:AX92)</f>
        <v>505650</v>
      </c>
      <c r="AY93" s="68">
        <f>SUM(AY$79:AY92)</f>
        <v>0</v>
      </c>
      <c r="AZ93" s="356">
        <f>SUM(AZ$79:AZ92)</f>
        <v>23</v>
      </c>
      <c r="BA93" s="66">
        <f>SUM(BA$79:BA92)</f>
        <v>152679.70000000001</v>
      </c>
      <c r="BB93" s="66">
        <f>IFERROR(BA93/AZ93,0)</f>
        <v>6638.2478260869566</v>
      </c>
      <c r="BC93" s="66">
        <f>SUM(BC$79:BC92)</f>
        <v>0</v>
      </c>
      <c r="BD93" s="66">
        <f>SUM(BD$79:BD92)</f>
        <v>0</v>
      </c>
      <c r="BE93" s="66">
        <f>SUM(BE$79:BE92)</f>
        <v>87303</v>
      </c>
      <c r="BF93" s="66">
        <f>SUM(BF$79:BF92)</f>
        <v>65376.7</v>
      </c>
      <c r="BG93" s="66">
        <f>SUM(BG$79:BG92)</f>
        <v>0</v>
      </c>
      <c r="BH93" s="66">
        <f>SUM(BH$79:BH92)</f>
        <v>124432</v>
      </c>
      <c r="BI93" s="357">
        <f>SUM(BI$79:BI92)</f>
        <v>0</v>
      </c>
      <c r="BJ93" s="364">
        <f>SUM(BJ$79:BJ92)</f>
        <v>15</v>
      </c>
      <c r="BK93" s="66">
        <f>SUM(BK$79:BK92)</f>
        <v>177238</v>
      </c>
      <c r="BL93" s="66">
        <f>IFERROR(BK93/BJ93,0)</f>
        <v>11815.866666666667</v>
      </c>
      <c r="BM93" s="67">
        <f>SUM(BM$79:BM92)</f>
        <v>0</v>
      </c>
      <c r="BN93" s="67">
        <f>SUM(BN$79:BN92)</f>
        <v>131460</v>
      </c>
      <c r="BO93" s="67">
        <f>SUM(BO$79:BO92)</f>
        <v>0</v>
      </c>
      <c r="BP93" s="67">
        <f>SUM(BP$79:BP92)</f>
        <v>45778</v>
      </c>
      <c r="BQ93" s="67">
        <f>SUM(BQ$79:BQ92)</f>
        <v>0</v>
      </c>
      <c r="BR93" s="67">
        <f>SUM(BR$79:BR92)</f>
        <v>152248.75</v>
      </c>
      <c r="BS93" s="68">
        <f>SUM(BS$79:BS92)</f>
        <v>0</v>
      </c>
      <c r="BT93" s="364">
        <f>SUM(BT$79:BT92)</f>
        <v>29</v>
      </c>
      <c r="BU93" s="66">
        <f>SUM(BU$79:BU92)</f>
        <v>52583</v>
      </c>
      <c r="BV93" s="66">
        <f>IFERROR(BU93/BT93,0)</f>
        <v>1813.2068965517242</v>
      </c>
      <c r="BW93" s="67">
        <f>SUM(BW$79:BW92)</f>
        <v>0</v>
      </c>
      <c r="BX93" s="67">
        <f>SUM(BX$79:BX92)</f>
        <v>0</v>
      </c>
      <c r="BY93" s="67">
        <f>SUM(BY$79:BY92)</f>
        <v>0</v>
      </c>
      <c r="BZ93" s="67">
        <f>SUM(BZ$79:BZ92)</f>
        <v>52583</v>
      </c>
      <c r="CA93" s="67">
        <f>SUM(CA$79:CA92)</f>
        <v>0</v>
      </c>
      <c r="CB93" s="67">
        <f>SUM(CB$79:CB92)</f>
        <v>41756</v>
      </c>
      <c r="CC93" s="68">
        <f>SUM(CC$79:CC92)</f>
        <v>0</v>
      </c>
      <c r="CD93" s="364">
        <f>SUM(CD$79:CD92)</f>
        <v>41</v>
      </c>
      <c r="CE93" s="66">
        <f>SUM(CE$79:CE92)</f>
        <v>24760</v>
      </c>
      <c r="CF93" s="66">
        <f>IFERROR(CE93/CD93,0)</f>
        <v>603.90243902439022</v>
      </c>
      <c r="CG93" s="67">
        <f>SUM(CG$79:CG92)</f>
        <v>0</v>
      </c>
      <c r="CH93" s="67">
        <f>SUM(CH$79:CH92)</f>
        <v>0</v>
      </c>
      <c r="CI93" s="67">
        <f>SUM(CI$79:CI92)</f>
        <v>0</v>
      </c>
      <c r="CJ93" s="67">
        <f>SUM(CJ$79:CJ92)</f>
        <v>24760</v>
      </c>
      <c r="CK93" s="67">
        <f>SUM(CK$79:CK92)</f>
        <v>0</v>
      </c>
      <c r="CL93" s="67">
        <f>SUM(CL$79:CL92)</f>
        <v>19828.810000000001</v>
      </c>
      <c r="CM93" s="68">
        <f>SUM(CM$79:CM92)</f>
        <v>0</v>
      </c>
    </row>
    <row r="94" spans="1:91" s="5" customFormat="1" ht="15.95" customHeight="1">
      <c r="A94" s="77"/>
      <c r="B94" s="90"/>
      <c r="C94" s="61"/>
      <c r="D94" s="61"/>
      <c r="E94" s="63"/>
      <c r="F94" s="63"/>
      <c r="G94" s="63"/>
      <c r="H94" s="63"/>
      <c r="I94" s="63"/>
      <c r="J94" s="63"/>
      <c r="K94" s="166"/>
      <c r="L94" s="157"/>
      <c r="M94" s="61"/>
      <c r="N94" s="61"/>
      <c r="O94" s="63"/>
      <c r="P94" s="63"/>
      <c r="Q94" s="63"/>
      <c r="R94" s="63"/>
      <c r="S94" s="63"/>
      <c r="T94" s="63"/>
      <c r="U94" s="166"/>
      <c r="V94" s="55"/>
      <c r="W94" s="61"/>
      <c r="X94" s="61"/>
      <c r="Y94" s="63"/>
      <c r="Z94" s="63"/>
      <c r="AA94" s="63"/>
      <c r="AB94" s="63"/>
      <c r="AC94" s="63"/>
      <c r="AD94" s="63"/>
      <c r="AE94" s="166"/>
      <c r="AF94" s="55"/>
      <c r="AG94" s="61"/>
      <c r="AH94" s="61"/>
      <c r="AI94" s="63"/>
      <c r="AJ94" s="63"/>
      <c r="AK94" s="63"/>
      <c r="AL94" s="63"/>
      <c r="AM94" s="63"/>
      <c r="AN94" s="63"/>
      <c r="AO94" s="166"/>
      <c r="AP94" s="55"/>
      <c r="AQ94" s="61"/>
      <c r="AR94" s="61"/>
      <c r="AS94" s="63"/>
      <c r="AT94" s="63"/>
      <c r="AU94" s="63"/>
      <c r="AV94" s="63"/>
      <c r="AW94" s="63"/>
      <c r="AX94" s="63"/>
      <c r="AY94" s="166"/>
      <c r="AZ94" s="356"/>
      <c r="BA94" s="66"/>
      <c r="BB94" s="66"/>
      <c r="BC94" s="66"/>
      <c r="BD94" s="66"/>
      <c r="BE94" s="66"/>
      <c r="BF94" s="66"/>
      <c r="BG94" s="66"/>
      <c r="BH94" s="66"/>
      <c r="BI94" s="357"/>
      <c r="BJ94" s="243"/>
      <c r="BK94" s="66"/>
      <c r="BL94" s="66"/>
      <c r="BM94" s="63"/>
      <c r="BN94" s="63"/>
      <c r="BO94" s="63"/>
      <c r="BP94" s="63"/>
      <c r="BQ94" s="63"/>
      <c r="BR94" s="63"/>
      <c r="BS94" s="166"/>
      <c r="BT94" s="243"/>
      <c r="BU94" s="66"/>
      <c r="BV94" s="66"/>
      <c r="BW94" s="63"/>
      <c r="BX94" s="63"/>
      <c r="BY94" s="63"/>
      <c r="BZ94" s="63"/>
      <c r="CA94" s="63"/>
      <c r="CB94" s="63"/>
      <c r="CC94" s="166"/>
      <c r="CD94" s="243"/>
      <c r="CE94" s="66"/>
      <c r="CF94" s="66"/>
      <c r="CG94" s="63"/>
      <c r="CH94" s="63"/>
      <c r="CI94" s="63"/>
      <c r="CJ94" s="63"/>
      <c r="CK94" s="63"/>
      <c r="CL94" s="63"/>
      <c r="CM94" s="166"/>
    </row>
    <row r="95" spans="1:91" s="5" customFormat="1" ht="15.95" customHeight="1">
      <c r="A95" s="78" t="s">
        <v>58</v>
      </c>
      <c r="B95" s="90"/>
      <c r="C95" s="61"/>
      <c r="D95" s="61"/>
      <c r="E95" s="63"/>
      <c r="F95" s="63"/>
      <c r="G95" s="63"/>
      <c r="H95" s="63"/>
      <c r="I95" s="63"/>
      <c r="J95" s="63"/>
      <c r="K95" s="166"/>
      <c r="L95" s="157"/>
      <c r="M95" s="61"/>
      <c r="N95" s="61"/>
      <c r="O95" s="63"/>
      <c r="P95" s="63"/>
      <c r="Q95" s="63"/>
      <c r="R95" s="63"/>
      <c r="S95" s="63"/>
      <c r="T95" s="63"/>
      <c r="U95" s="166"/>
      <c r="V95" s="55"/>
      <c r="W95" s="61"/>
      <c r="X95" s="61"/>
      <c r="Y95" s="63"/>
      <c r="Z95" s="63"/>
      <c r="AA95" s="63"/>
      <c r="AB95" s="63"/>
      <c r="AC95" s="63"/>
      <c r="AD95" s="63"/>
      <c r="AE95" s="166"/>
      <c r="AF95" s="55"/>
      <c r="AG95" s="61"/>
      <c r="AH95" s="61"/>
      <c r="AI95" s="63"/>
      <c r="AJ95" s="63"/>
      <c r="AK95" s="63"/>
      <c r="AL95" s="63"/>
      <c r="AM95" s="63"/>
      <c r="AN95" s="63"/>
      <c r="AO95" s="166"/>
      <c r="AP95" s="55"/>
      <c r="AQ95" s="61"/>
      <c r="AR95" s="61"/>
      <c r="AS95" s="63"/>
      <c r="AT95" s="63"/>
      <c r="AU95" s="63"/>
      <c r="AV95" s="63"/>
      <c r="AW95" s="63"/>
      <c r="AX95" s="63"/>
      <c r="AY95" s="166"/>
      <c r="AZ95" s="356"/>
      <c r="BA95" s="66"/>
      <c r="BB95" s="66"/>
      <c r="BC95" s="66"/>
      <c r="BD95" s="66"/>
      <c r="BE95" s="66"/>
      <c r="BF95" s="66"/>
      <c r="BG95" s="66"/>
      <c r="BH95" s="66"/>
      <c r="BI95" s="357"/>
      <c r="BJ95" s="243"/>
      <c r="BK95" s="66"/>
      <c r="BL95" s="66"/>
      <c r="BM95" s="63"/>
      <c r="BN95" s="63"/>
      <c r="BO95" s="63"/>
      <c r="BP95" s="63"/>
      <c r="BQ95" s="63"/>
      <c r="BR95" s="63"/>
      <c r="BS95" s="166"/>
      <c r="BT95" s="243"/>
      <c r="BU95" s="66"/>
      <c r="BV95" s="66"/>
      <c r="BW95" s="63"/>
      <c r="BX95" s="63"/>
      <c r="BY95" s="63"/>
      <c r="BZ95" s="63"/>
      <c r="CA95" s="63"/>
      <c r="CB95" s="63"/>
      <c r="CC95" s="166"/>
      <c r="CD95" s="243"/>
      <c r="CE95" s="66"/>
      <c r="CF95" s="66"/>
      <c r="CG95" s="63"/>
      <c r="CH95" s="63"/>
      <c r="CI95" s="63"/>
      <c r="CJ95" s="63"/>
      <c r="CK95" s="63"/>
      <c r="CL95" s="63"/>
      <c r="CM95" s="166"/>
    </row>
    <row r="96" spans="1:91" s="58" customFormat="1" ht="15.95" customHeight="1">
      <c r="A96" s="143" t="s">
        <v>172</v>
      </c>
      <c r="B96" s="93"/>
      <c r="C96" s="66">
        <f t="shared" ref="C96:C105" si="234">SUM(E96:I96)</f>
        <v>0</v>
      </c>
      <c r="D96" s="66">
        <f t="shared" ref="D96:D105" si="235">IFERROR(C96/B96,0)</f>
        <v>0</v>
      </c>
      <c r="E96" s="69"/>
      <c r="F96" s="69"/>
      <c r="G96" s="69"/>
      <c r="H96" s="69"/>
      <c r="I96" s="69"/>
      <c r="J96" s="69"/>
      <c r="K96" s="68">
        <f t="shared" ref="K96:K105" si="236">IF(J96=0,0,(IF(E96&lt;=J96,E96,J96)))</f>
        <v>0</v>
      </c>
      <c r="L96" s="159">
        <v>9</v>
      </c>
      <c r="M96" s="66">
        <f t="shared" ref="M96:M105" si="237">SUM(O96:S96)</f>
        <v>22654</v>
      </c>
      <c r="N96" s="66">
        <f t="shared" ref="N96:N105" si="238">IFERROR(M96/L96,0)</f>
        <v>2517.1111111111113</v>
      </c>
      <c r="O96" s="69"/>
      <c r="P96" s="69"/>
      <c r="Q96" s="69"/>
      <c r="R96" s="69">
        <v>22654</v>
      </c>
      <c r="S96" s="69"/>
      <c r="T96" s="69">
        <v>22654</v>
      </c>
      <c r="U96" s="68">
        <f t="shared" ref="U96:U105" si="239">IF(T96=0,0,(IF(O96&lt;=T96,O96,T96)))</f>
        <v>0</v>
      </c>
      <c r="V96" s="59">
        <v>6</v>
      </c>
      <c r="W96" s="66">
        <f t="shared" ref="W96:W105" si="240">SUM(Y96:AC96)</f>
        <v>13511</v>
      </c>
      <c r="X96" s="66">
        <f t="shared" ref="X96:X105" si="241">IFERROR(W96/V96,0)</f>
        <v>2251.8333333333335</v>
      </c>
      <c r="Y96" s="69"/>
      <c r="Z96" s="69"/>
      <c r="AA96" s="69"/>
      <c r="AB96" s="69">
        <v>13511</v>
      </c>
      <c r="AC96" s="69"/>
      <c r="AD96" s="69">
        <v>13511</v>
      </c>
      <c r="AE96" s="68">
        <f t="shared" ref="AE96:AE105" si="242">IF(AD96=0,0,(IF(Y96&lt;=AD96,Y96,AD96)))</f>
        <v>0</v>
      </c>
      <c r="AF96" s="59">
        <v>7</v>
      </c>
      <c r="AG96" s="66">
        <f t="shared" ref="AG96:AG105" si="243">SUM(AI96:AM96)</f>
        <v>19382</v>
      </c>
      <c r="AH96" s="66">
        <f t="shared" ref="AH96:AH105" si="244">IFERROR(AG96/AF96,0)</f>
        <v>2768.8571428571427</v>
      </c>
      <c r="AI96" s="69"/>
      <c r="AJ96" s="69"/>
      <c r="AK96" s="69"/>
      <c r="AL96" s="69">
        <v>19382</v>
      </c>
      <c r="AM96" s="69"/>
      <c r="AN96" s="69">
        <v>17982</v>
      </c>
      <c r="AO96" s="68">
        <f t="shared" ref="AO96:AO105" si="245">IF(AN96=0,0,(IF(AI96&lt;=AN96,AI96,AN96)))</f>
        <v>0</v>
      </c>
      <c r="AP96" s="59">
        <v>5</v>
      </c>
      <c r="AQ96" s="66">
        <f t="shared" ref="AQ96:AQ105" si="246">SUM(AS96:AW96)</f>
        <v>10768</v>
      </c>
      <c r="AR96" s="66">
        <f t="shared" ref="AR96:AR105" si="247">IFERROR(AQ96/AP96,0)</f>
        <v>2153.6</v>
      </c>
      <c r="AS96" s="69"/>
      <c r="AT96" s="69"/>
      <c r="AU96" s="69"/>
      <c r="AV96" s="69">
        <v>10768</v>
      </c>
      <c r="AW96" s="69"/>
      <c r="AX96" s="69">
        <v>10768</v>
      </c>
      <c r="AY96" s="68">
        <f t="shared" ref="AY96:AY105" si="248">IF(AX96=0,0,(IF(AS96&lt;=AX96,AS96,AX96)))</f>
        <v>0</v>
      </c>
      <c r="AZ96" s="356">
        <v>1</v>
      </c>
      <c r="BA96" s="66">
        <f t="shared" ref="BA96:BA104" si="249">SUM(BC96:BG96)</f>
        <v>1323</v>
      </c>
      <c r="BB96" s="66">
        <f t="shared" ref="BB96:BB104" si="250">IFERROR(BA96/AZ96,0)</f>
        <v>1323</v>
      </c>
      <c r="BC96" s="66"/>
      <c r="BD96" s="66"/>
      <c r="BE96" s="66"/>
      <c r="BF96" s="66">
        <v>1323</v>
      </c>
      <c r="BG96" s="66"/>
      <c r="BH96" s="66">
        <v>1323</v>
      </c>
      <c r="BI96" s="357">
        <f t="shared" ref="BI96:BI105" si="251">IF(BH96=0,0,(IF(BC96&lt;=BH96,BC96,BH96)))</f>
        <v>0</v>
      </c>
      <c r="BJ96" s="358">
        <v>1</v>
      </c>
      <c r="BK96" s="66">
        <f t="shared" ref="BK96:BK99" si="252">SUM(BM96:BQ96)</f>
        <v>12015</v>
      </c>
      <c r="BL96" s="66">
        <f t="shared" ref="BL96:BL99" si="253">IFERROR(BK96/BJ96,0)</f>
        <v>12015</v>
      </c>
      <c r="BM96" s="69"/>
      <c r="BN96" s="69"/>
      <c r="BO96" s="69"/>
      <c r="BP96" s="69">
        <v>12015</v>
      </c>
      <c r="BQ96" s="69"/>
      <c r="BR96" s="69">
        <v>0</v>
      </c>
      <c r="BS96" s="68">
        <f t="shared" ref="BS96:BS105" si="254">IF(BR96=0,0,(IF(BM96&lt;=BR96,BM96,BR96)))</f>
        <v>0</v>
      </c>
      <c r="BT96" s="358">
        <v>4</v>
      </c>
      <c r="BU96" s="66">
        <f t="shared" ref="BU96:BU105" si="255">SUM(BW96:CA96)</f>
        <v>17480</v>
      </c>
      <c r="BV96" s="66">
        <f t="shared" ref="BV96:BV105" si="256">IFERROR(BU96/BT96,0)</f>
        <v>4370</v>
      </c>
      <c r="BW96" s="69"/>
      <c r="BX96" s="69"/>
      <c r="BY96" s="69"/>
      <c r="BZ96" s="69">
        <v>17480</v>
      </c>
      <c r="CA96" s="69"/>
      <c r="CB96" s="69">
        <v>9295</v>
      </c>
      <c r="CC96" s="68">
        <f t="shared" ref="CC96:CC101" si="257">IF(CB96=0,0,(IF(BW96&lt;=CB96,BW96,CB96)))</f>
        <v>0</v>
      </c>
      <c r="CD96" s="244">
        <v>5</v>
      </c>
      <c r="CE96" s="66">
        <f t="shared" ref="CE96:CE105" si="258">SUM(CG96:CK96)</f>
        <v>19365</v>
      </c>
      <c r="CF96" s="66">
        <f t="shared" ref="CF96:CF105" si="259">IFERROR(CE96/CD96,0)</f>
        <v>3873</v>
      </c>
      <c r="CG96" s="195"/>
      <c r="CH96" s="195"/>
      <c r="CI96" s="195"/>
      <c r="CJ96" s="195">
        <v>19365</v>
      </c>
      <c r="CK96" s="195"/>
      <c r="CL96" s="195">
        <v>10860</v>
      </c>
      <c r="CM96" s="403">
        <f t="shared" ref="CM96:CM105" si="260">IF(CL96=0,0,(IF(CG96&lt;=CL96,CG96,CL96)))</f>
        <v>0</v>
      </c>
    </row>
    <row r="97" spans="1:91" s="58" customFormat="1" ht="15.95" customHeight="1">
      <c r="A97" s="143" t="s">
        <v>194</v>
      </c>
      <c r="B97" s="93">
        <v>40</v>
      </c>
      <c r="C97" s="66">
        <f t="shared" si="234"/>
        <v>282489</v>
      </c>
      <c r="D97" s="66">
        <f t="shared" si="235"/>
        <v>7062.2250000000004</v>
      </c>
      <c r="E97" s="69">
        <v>282489</v>
      </c>
      <c r="F97" s="69"/>
      <c r="G97" s="69"/>
      <c r="H97" s="69"/>
      <c r="I97" s="69"/>
      <c r="J97" s="69">
        <v>259105</v>
      </c>
      <c r="K97" s="68">
        <f t="shared" si="236"/>
        <v>259105</v>
      </c>
      <c r="L97" s="159">
        <v>0</v>
      </c>
      <c r="M97" s="66">
        <f t="shared" si="237"/>
        <v>0</v>
      </c>
      <c r="N97" s="66">
        <f t="shared" si="238"/>
        <v>0</v>
      </c>
      <c r="O97" s="69"/>
      <c r="P97" s="69"/>
      <c r="Q97" s="69"/>
      <c r="R97" s="69"/>
      <c r="S97" s="69"/>
      <c r="T97" s="69">
        <v>0</v>
      </c>
      <c r="U97" s="68">
        <f t="shared" si="239"/>
        <v>0</v>
      </c>
      <c r="V97" s="59">
        <v>44</v>
      </c>
      <c r="W97" s="66">
        <f t="shared" si="240"/>
        <v>290486</v>
      </c>
      <c r="X97" s="66">
        <f t="shared" si="241"/>
        <v>6601.954545454545</v>
      </c>
      <c r="Y97" s="69">
        <v>290486</v>
      </c>
      <c r="Z97" s="69"/>
      <c r="AA97" s="69"/>
      <c r="AB97" s="69"/>
      <c r="AC97" s="69"/>
      <c r="AD97" s="69">
        <v>290486</v>
      </c>
      <c r="AE97" s="68">
        <f t="shared" si="242"/>
        <v>290486</v>
      </c>
      <c r="AF97" s="59">
        <v>50</v>
      </c>
      <c r="AG97" s="66">
        <f t="shared" si="243"/>
        <v>394168</v>
      </c>
      <c r="AH97" s="66">
        <f t="shared" si="244"/>
        <v>7883.36</v>
      </c>
      <c r="AI97" s="69">
        <v>394168</v>
      </c>
      <c r="AJ97" s="69"/>
      <c r="AK97" s="69"/>
      <c r="AL97" s="69"/>
      <c r="AM97" s="69"/>
      <c r="AN97" s="69">
        <v>394168</v>
      </c>
      <c r="AO97" s="68">
        <f t="shared" si="245"/>
        <v>394168</v>
      </c>
      <c r="AP97" s="59">
        <v>54</v>
      </c>
      <c r="AQ97" s="66">
        <f t="shared" si="246"/>
        <v>438025</v>
      </c>
      <c r="AR97" s="66">
        <f t="shared" si="247"/>
        <v>8111.5740740740739</v>
      </c>
      <c r="AS97" s="69">
        <v>438025</v>
      </c>
      <c r="AT97" s="69"/>
      <c r="AU97" s="69"/>
      <c r="AV97" s="69"/>
      <c r="AW97" s="69"/>
      <c r="AX97" s="69">
        <v>438025</v>
      </c>
      <c r="AY97" s="68">
        <f t="shared" si="248"/>
        <v>438025</v>
      </c>
      <c r="AZ97" s="356">
        <v>60</v>
      </c>
      <c r="BA97" s="66">
        <f t="shared" si="249"/>
        <v>499042</v>
      </c>
      <c r="BB97" s="66">
        <f t="shared" si="250"/>
        <v>8317.3666666666668</v>
      </c>
      <c r="BC97" s="66">
        <v>499042</v>
      </c>
      <c r="BD97" s="66"/>
      <c r="BE97" s="66"/>
      <c r="BF97" s="66"/>
      <c r="BG97" s="66"/>
      <c r="BH97" s="66">
        <v>465984</v>
      </c>
      <c r="BI97" s="357">
        <f t="shared" si="251"/>
        <v>465984</v>
      </c>
      <c r="BJ97" s="358">
        <v>51</v>
      </c>
      <c r="BK97" s="66">
        <f t="shared" si="252"/>
        <v>626210</v>
      </c>
      <c r="BL97" s="66">
        <f t="shared" si="253"/>
        <v>12278.627450980392</v>
      </c>
      <c r="BM97" s="69">
        <v>626210</v>
      </c>
      <c r="BN97" s="69"/>
      <c r="BO97" s="69"/>
      <c r="BP97" s="69"/>
      <c r="BQ97" s="69"/>
      <c r="BR97" s="69">
        <v>544718</v>
      </c>
      <c r="BS97" s="68">
        <v>544718</v>
      </c>
      <c r="BT97" s="358">
        <v>56</v>
      </c>
      <c r="BU97" s="66">
        <f t="shared" si="255"/>
        <v>522084</v>
      </c>
      <c r="BV97" s="66">
        <f t="shared" si="256"/>
        <v>9322.9285714285706</v>
      </c>
      <c r="BW97" s="69">
        <v>522084</v>
      </c>
      <c r="BX97" s="69"/>
      <c r="BY97" s="69"/>
      <c r="BZ97" s="69"/>
      <c r="CA97" s="69"/>
      <c r="CB97" s="69">
        <v>465351</v>
      </c>
      <c r="CC97" s="68">
        <f t="shared" si="257"/>
        <v>465351</v>
      </c>
      <c r="CD97" s="244">
        <v>99</v>
      </c>
      <c r="CE97" s="66">
        <f t="shared" si="258"/>
        <v>448281</v>
      </c>
      <c r="CF97" s="66">
        <f t="shared" si="259"/>
        <v>4528.090909090909</v>
      </c>
      <c r="CG97" s="195">
        <v>448281</v>
      </c>
      <c r="CH97" s="195"/>
      <c r="CI97" s="195"/>
      <c r="CJ97" s="195"/>
      <c r="CK97" s="195"/>
      <c r="CL97" s="195">
        <v>443716</v>
      </c>
      <c r="CM97" s="403">
        <f t="shared" si="260"/>
        <v>443716</v>
      </c>
    </row>
    <row r="98" spans="1:91" s="58" customFormat="1" ht="15.95" customHeight="1">
      <c r="A98" s="143" t="s">
        <v>65</v>
      </c>
      <c r="B98" s="93">
        <v>353</v>
      </c>
      <c r="C98" s="66">
        <f t="shared" si="234"/>
        <v>4558124</v>
      </c>
      <c r="D98" s="66">
        <f t="shared" si="235"/>
        <v>12912.532577903683</v>
      </c>
      <c r="E98" s="69">
        <v>4558124</v>
      </c>
      <c r="F98" s="69"/>
      <c r="G98" s="69"/>
      <c r="H98" s="69"/>
      <c r="I98" s="69"/>
      <c r="J98" s="69">
        <v>2001021</v>
      </c>
      <c r="K98" s="68">
        <f t="shared" si="236"/>
        <v>2001021</v>
      </c>
      <c r="L98" s="159">
        <v>334</v>
      </c>
      <c r="M98" s="66">
        <f t="shared" si="237"/>
        <v>4170070</v>
      </c>
      <c r="N98" s="66">
        <f t="shared" si="238"/>
        <v>12485.239520958085</v>
      </c>
      <c r="O98" s="69">
        <v>4170070</v>
      </c>
      <c r="P98" s="69"/>
      <c r="Q98" s="69"/>
      <c r="R98" s="69"/>
      <c r="S98" s="69"/>
      <c r="T98" s="69">
        <v>414516</v>
      </c>
      <c r="U98" s="68">
        <f t="shared" si="239"/>
        <v>414516</v>
      </c>
      <c r="V98" s="59">
        <v>311</v>
      </c>
      <c r="W98" s="66">
        <f t="shared" si="240"/>
        <v>3039357</v>
      </c>
      <c r="X98" s="66">
        <f t="shared" si="241"/>
        <v>9772.8520900321546</v>
      </c>
      <c r="Y98" s="69">
        <v>3039357</v>
      </c>
      <c r="Z98" s="69"/>
      <c r="AA98" s="69"/>
      <c r="AB98" s="69"/>
      <c r="AC98" s="69"/>
      <c r="AD98" s="69">
        <v>330392</v>
      </c>
      <c r="AE98" s="68">
        <f t="shared" si="242"/>
        <v>330392</v>
      </c>
      <c r="AF98" s="59">
        <v>334</v>
      </c>
      <c r="AG98" s="66">
        <f t="shared" si="243"/>
        <v>3997528</v>
      </c>
      <c r="AH98" s="66">
        <f t="shared" si="244"/>
        <v>11968.646706586826</v>
      </c>
      <c r="AI98" s="69">
        <v>3997528</v>
      </c>
      <c r="AJ98" s="69"/>
      <c r="AK98" s="69"/>
      <c r="AL98" s="69"/>
      <c r="AM98" s="69"/>
      <c r="AN98" s="69">
        <v>445317</v>
      </c>
      <c r="AO98" s="68">
        <f t="shared" si="245"/>
        <v>445317</v>
      </c>
      <c r="AP98" s="59">
        <v>308</v>
      </c>
      <c r="AQ98" s="66">
        <f t="shared" si="246"/>
        <v>3260031</v>
      </c>
      <c r="AR98" s="66">
        <f t="shared" si="247"/>
        <v>10584.516233766233</v>
      </c>
      <c r="AS98" s="69">
        <v>3260031</v>
      </c>
      <c r="AT98" s="69"/>
      <c r="AU98" s="69"/>
      <c r="AV98" s="69"/>
      <c r="AW98" s="69"/>
      <c r="AX98" s="69">
        <v>319795</v>
      </c>
      <c r="AY98" s="68">
        <f t="shared" si="248"/>
        <v>319795</v>
      </c>
      <c r="AZ98" s="356">
        <v>378</v>
      </c>
      <c r="BA98" s="66">
        <f t="shared" si="249"/>
        <v>4800419</v>
      </c>
      <c r="BB98" s="66">
        <f t="shared" si="250"/>
        <v>12699.521164021164</v>
      </c>
      <c r="BC98" s="66">
        <v>4800419</v>
      </c>
      <c r="BD98" s="66"/>
      <c r="BE98" s="66"/>
      <c r="BF98" s="66"/>
      <c r="BG98" s="66"/>
      <c r="BH98" s="66">
        <v>542803</v>
      </c>
      <c r="BI98" s="357">
        <f t="shared" si="251"/>
        <v>542803</v>
      </c>
      <c r="BJ98" s="358">
        <v>404</v>
      </c>
      <c r="BK98" s="66">
        <f t="shared" si="252"/>
        <v>4919589</v>
      </c>
      <c r="BL98" s="66">
        <f t="shared" si="253"/>
        <v>12177.200495049505</v>
      </c>
      <c r="BM98" s="69">
        <v>4919589</v>
      </c>
      <c r="BN98" s="69"/>
      <c r="BO98" s="69"/>
      <c r="BP98" s="69"/>
      <c r="BQ98" s="69"/>
      <c r="BR98" s="69">
        <v>625745</v>
      </c>
      <c r="BS98" s="68">
        <v>625745</v>
      </c>
      <c r="BT98" s="358">
        <v>440</v>
      </c>
      <c r="BU98" s="66">
        <f t="shared" si="255"/>
        <v>5161779</v>
      </c>
      <c r="BV98" s="66">
        <f t="shared" si="256"/>
        <v>11731.315909090908</v>
      </c>
      <c r="BW98" s="69">
        <v>5161779</v>
      </c>
      <c r="BX98" s="69"/>
      <c r="BY98" s="69"/>
      <c r="BZ98" s="69"/>
      <c r="CA98" s="69"/>
      <c r="CB98" s="69">
        <v>690998</v>
      </c>
      <c r="CC98" s="68">
        <f t="shared" si="257"/>
        <v>690998</v>
      </c>
      <c r="CD98" s="244">
        <v>381</v>
      </c>
      <c r="CE98" s="66">
        <f t="shared" si="258"/>
        <v>4112442</v>
      </c>
      <c r="CF98" s="66">
        <f t="shared" si="259"/>
        <v>10793.811023622047</v>
      </c>
      <c r="CG98" s="195">
        <v>4112442</v>
      </c>
      <c r="CH98" s="195"/>
      <c r="CI98" s="195"/>
      <c r="CJ98" s="195"/>
      <c r="CK98" s="195"/>
      <c r="CL98" s="195">
        <v>635320</v>
      </c>
      <c r="CM98" s="403">
        <f t="shared" si="260"/>
        <v>635320</v>
      </c>
    </row>
    <row r="99" spans="1:91" s="58" customFormat="1" ht="15.95" customHeight="1">
      <c r="A99" s="143" t="s">
        <v>296</v>
      </c>
      <c r="B99" s="93"/>
      <c r="C99" s="66">
        <f t="shared" si="234"/>
        <v>0</v>
      </c>
      <c r="D99" s="66">
        <f t="shared" si="235"/>
        <v>0</v>
      </c>
      <c r="E99" s="69"/>
      <c r="F99" s="69"/>
      <c r="G99" s="69"/>
      <c r="H99" s="69"/>
      <c r="I99" s="69"/>
      <c r="J99" s="69"/>
      <c r="K99" s="68">
        <f t="shared" si="236"/>
        <v>0</v>
      </c>
      <c r="L99" s="159"/>
      <c r="M99" s="66">
        <f t="shared" si="237"/>
        <v>0</v>
      </c>
      <c r="N99" s="66">
        <f t="shared" si="238"/>
        <v>0</v>
      </c>
      <c r="O99" s="69"/>
      <c r="P99" s="69"/>
      <c r="Q99" s="69"/>
      <c r="R99" s="69"/>
      <c r="S99" s="69"/>
      <c r="T99" s="69"/>
      <c r="U99" s="68">
        <f t="shared" si="239"/>
        <v>0</v>
      </c>
      <c r="V99" s="59"/>
      <c r="W99" s="66">
        <f t="shared" si="240"/>
        <v>0</v>
      </c>
      <c r="X99" s="66">
        <f t="shared" si="241"/>
        <v>0</v>
      </c>
      <c r="Y99" s="69"/>
      <c r="Z99" s="69"/>
      <c r="AA99" s="69"/>
      <c r="AB99" s="69"/>
      <c r="AC99" s="69"/>
      <c r="AD99" s="69"/>
      <c r="AE99" s="68">
        <f t="shared" si="242"/>
        <v>0</v>
      </c>
      <c r="AF99" s="59"/>
      <c r="AG99" s="66">
        <f t="shared" si="243"/>
        <v>0</v>
      </c>
      <c r="AH99" s="66">
        <f t="shared" si="244"/>
        <v>0</v>
      </c>
      <c r="AI99" s="69"/>
      <c r="AJ99" s="69"/>
      <c r="AK99" s="69"/>
      <c r="AL99" s="69"/>
      <c r="AM99" s="69"/>
      <c r="AN99" s="69"/>
      <c r="AO99" s="68">
        <f t="shared" si="245"/>
        <v>0</v>
      </c>
      <c r="AP99" s="59"/>
      <c r="AQ99" s="66">
        <f t="shared" si="246"/>
        <v>0</v>
      </c>
      <c r="AR99" s="66">
        <f t="shared" si="247"/>
        <v>0</v>
      </c>
      <c r="AS99" s="69"/>
      <c r="AT99" s="69"/>
      <c r="AU99" s="69"/>
      <c r="AV99" s="69"/>
      <c r="AW99" s="69"/>
      <c r="AX99" s="69"/>
      <c r="AY99" s="68">
        <f t="shared" si="248"/>
        <v>0</v>
      </c>
      <c r="AZ99" s="356">
        <v>22</v>
      </c>
      <c r="BA99" s="66">
        <f t="shared" si="249"/>
        <v>225163</v>
      </c>
      <c r="BB99" s="66">
        <f t="shared" si="250"/>
        <v>10234.681818181818</v>
      </c>
      <c r="BC99" s="66">
        <v>225163</v>
      </c>
      <c r="BD99" s="66"/>
      <c r="BE99" s="66"/>
      <c r="BF99" s="66"/>
      <c r="BG99" s="66"/>
      <c r="BH99" s="66"/>
      <c r="BI99" s="357">
        <f t="shared" si="251"/>
        <v>0</v>
      </c>
      <c r="BJ99" s="358">
        <v>13</v>
      </c>
      <c r="BK99" s="66">
        <f t="shared" si="252"/>
        <v>80655</v>
      </c>
      <c r="BL99" s="66">
        <f t="shared" si="253"/>
        <v>6204.2307692307695</v>
      </c>
      <c r="BM99" s="69">
        <v>80655</v>
      </c>
      <c r="BN99" s="69"/>
      <c r="BO99" s="69"/>
      <c r="BP99" s="69"/>
      <c r="BQ99" s="69"/>
      <c r="BR99" s="69">
        <v>66993</v>
      </c>
      <c r="BS99" s="68">
        <v>66993</v>
      </c>
      <c r="BT99" s="358">
        <v>8</v>
      </c>
      <c r="BU99" s="66">
        <f t="shared" si="255"/>
        <v>55347</v>
      </c>
      <c r="BV99" s="66">
        <f t="shared" si="256"/>
        <v>6918.375</v>
      </c>
      <c r="BW99" s="69">
        <v>55347</v>
      </c>
      <c r="BX99" s="69"/>
      <c r="BY99" s="69"/>
      <c r="BZ99" s="69"/>
      <c r="CA99" s="69"/>
      <c r="CB99" s="69">
        <v>43461</v>
      </c>
      <c r="CC99" s="68">
        <f t="shared" si="257"/>
        <v>43461</v>
      </c>
      <c r="CD99" s="244">
        <v>3</v>
      </c>
      <c r="CE99" s="66">
        <f t="shared" si="258"/>
        <v>21372</v>
      </c>
      <c r="CF99" s="66">
        <f t="shared" si="259"/>
        <v>7124</v>
      </c>
      <c r="CG99" s="195">
        <v>21372</v>
      </c>
      <c r="CH99" s="195"/>
      <c r="CI99" s="195"/>
      <c r="CJ99" s="195"/>
      <c r="CK99" s="195"/>
      <c r="CL99" s="195">
        <v>0</v>
      </c>
      <c r="CM99" s="403">
        <f t="shared" si="260"/>
        <v>0</v>
      </c>
    </row>
    <row r="100" spans="1:91" s="58" customFormat="1" ht="15.95" customHeight="1">
      <c r="A100" s="143" t="s">
        <v>328</v>
      </c>
      <c r="B100" s="93"/>
      <c r="C100" s="66">
        <f t="shared" ref="C100:C103" si="261">SUM(E100:I100)</f>
        <v>0</v>
      </c>
      <c r="D100" s="66">
        <f t="shared" ref="D100:D103" si="262">IFERROR(C100/B100,0)</f>
        <v>0</v>
      </c>
      <c r="E100" s="69"/>
      <c r="F100" s="69"/>
      <c r="G100" s="69"/>
      <c r="H100" s="69"/>
      <c r="I100" s="69"/>
      <c r="J100" s="69"/>
      <c r="K100" s="68">
        <f t="shared" ref="K100:K103" si="263">IF(J100=0,0,(IF(E100&lt;=J100,E100,J100)))</f>
        <v>0</v>
      </c>
      <c r="L100" s="159"/>
      <c r="M100" s="66">
        <f t="shared" ref="M100:M103" si="264">SUM(O100:S100)</f>
        <v>0</v>
      </c>
      <c r="N100" s="66">
        <f t="shared" ref="N100:N103" si="265">IFERROR(M100/L100,0)</f>
        <v>0</v>
      </c>
      <c r="O100" s="69"/>
      <c r="P100" s="69"/>
      <c r="Q100" s="69"/>
      <c r="R100" s="69"/>
      <c r="S100" s="69"/>
      <c r="T100" s="69"/>
      <c r="U100" s="68">
        <f t="shared" ref="U100:U103" si="266">IF(T100=0,0,(IF(O100&lt;=T100,O100,T100)))</f>
        <v>0</v>
      </c>
      <c r="V100" s="59"/>
      <c r="W100" s="66">
        <f t="shared" ref="W100:W103" si="267">SUM(Y100:AC100)</f>
        <v>0</v>
      </c>
      <c r="X100" s="66">
        <f t="shared" ref="X100:X103" si="268">IFERROR(W100/V100,0)</f>
        <v>0</v>
      </c>
      <c r="Y100" s="69"/>
      <c r="Z100" s="69"/>
      <c r="AA100" s="69"/>
      <c r="AB100" s="69"/>
      <c r="AC100" s="69"/>
      <c r="AD100" s="69"/>
      <c r="AE100" s="68">
        <f t="shared" ref="AE100:AE103" si="269">IF(AD100=0,0,(IF(Y100&lt;=AD100,Y100,AD100)))</f>
        <v>0</v>
      </c>
      <c r="AF100" s="59"/>
      <c r="AG100" s="66">
        <f t="shared" ref="AG100:AG103" si="270">SUM(AI100:AM100)</f>
        <v>0</v>
      </c>
      <c r="AH100" s="66">
        <f t="shared" ref="AH100:AH103" si="271">IFERROR(AG100/AF100,0)</f>
        <v>0</v>
      </c>
      <c r="AI100" s="69"/>
      <c r="AJ100" s="69"/>
      <c r="AK100" s="69"/>
      <c r="AL100" s="69"/>
      <c r="AM100" s="69"/>
      <c r="AN100" s="69"/>
      <c r="AO100" s="68">
        <f t="shared" ref="AO100:AO103" si="272">IF(AN100=0,0,(IF(AI100&lt;=AN100,AI100,AN100)))</f>
        <v>0</v>
      </c>
      <c r="AP100" s="59"/>
      <c r="AQ100" s="66">
        <f t="shared" ref="AQ100:AQ103" si="273">SUM(AS100:AW100)</f>
        <v>0</v>
      </c>
      <c r="AR100" s="66">
        <f t="shared" ref="AR100:AR103" si="274">IFERROR(AQ100/AP100,0)</f>
        <v>0</v>
      </c>
      <c r="AS100" s="69"/>
      <c r="AT100" s="69"/>
      <c r="AU100" s="69"/>
      <c r="AV100" s="69"/>
      <c r="AW100" s="69"/>
      <c r="AX100" s="69"/>
      <c r="AY100" s="68">
        <f t="shared" ref="AY100:AY103" si="275">IF(AX100=0,0,(IF(AS100&lt;=AX100,AS100,AX100)))</f>
        <v>0</v>
      </c>
      <c r="AZ100" s="356"/>
      <c r="BA100" s="66">
        <f t="shared" si="249"/>
        <v>0</v>
      </c>
      <c r="BB100" s="66">
        <f t="shared" si="250"/>
        <v>0</v>
      </c>
      <c r="BC100" s="66"/>
      <c r="BD100" s="66"/>
      <c r="BE100" s="66"/>
      <c r="BF100" s="66"/>
      <c r="BG100" s="66"/>
      <c r="BH100" s="66"/>
      <c r="BI100" s="357">
        <f t="shared" si="251"/>
        <v>0</v>
      </c>
      <c r="BJ100" s="358"/>
      <c r="BK100" s="66"/>
      <c r="BL100" s="66"/>
      <c r="BM100" s="69"/>
      <c r="BN100" s="69"/>
      <c r="BO100" s="69"/>
      <c r="BP100" s="69"/>
      <c r="BQ100" s="69"/>
      <c r="BR100" s="69"/>
      <c r="BS100" s="68">
        <f t="shared" si="254"/>
        <v>0</v>
      </c>
      <c r="BT100" s="358">
        <v>417</v>
      </c>
      <c r="BU100" s="66">
        <f t="shared" si="255"/>
        <v>1419680</v>
      </c>
      <c r="BV100" s="66">
        <f t="shared" si="256"/>
        <v>3404.5083932853718</v>
      </c>
      <c r="BW100" s="69"/>
      <c r="BX100" s="69">
        <v>1419680</v>
      </c>
      <c r="BY100" s="69"/>
      <c r="BZ100" s="69"/>
      <c r="CA100" s="69"/>
      <c r="CB100" s="69"/>
      <c r="CC100" s="68">
        <f t="shared" si="257"/>
        <v>0</v>
      </c>
      <c r="CD100" s="244">
        <v>357</v>
      </c>
      <c r="CE100" s="66">
        <f t="shared" si="258"/>
        <v>1075475</v>
      </c>
      <c r="CF100" s="66">
        <f t="shared" si="259"/>
        <v>3012.5350140056021</v>
      </c>
      <c r="CG100" s="195"/>
      <c r="CH100" s="195">
        <v>1075475</v>
      </c>
      <c r="CI100" s="195"/>
      <c r="CJ100" s="195"/>
      <c r="CK100" s="195"/>
      <c r="CL100" s="195">
        <v>273977</v>
      </c>
      <c r="CM100" s="403">
        <f t="shared" si="260"/>
        <v>0</v>
      </c>
    </row>
    <row r="101" spans="1:91" s="58" customFormat="1" ht="15.95" customHeight="1">
      <c r="A101" s="143" t="s">
        <v>329</v>
      </c>
      <c r="B101" s="93"/>
      <c r="C101" s="66">
        <f t="shared" si="261"/>
        <v>0</v>
      </c>
      <c r="D101" s="66">
        <f t="shared" si="262"/>
        <v>0</v>
      </c>
      <c r="E101" s="69"/>
      <c r="F101" s="69"/>
      <c r="G101" s="69"/>
      <c r="H101" s="69"/>
      <c r="I101" s="69"/>
      <c r="J101" s="69"/>
      <c r="K101" s="68">
        <f t="shared" si="263"/>
        <v>0</v>
      </c>
      <c r="L101" s="159"/>
      <c r="M101" s="66">
        <f t="shared" si="264"/>
        <v>0</v>
      </c>
      <c r="N101" s="66">
        <f t="shared" si="265"/>
        <v>0</v>
      </c>
      <c r="O101" s="69"/>
      <c r="P101" s="69"/>
      <c r="Q101" s="69"/>
      <c r="R101" s="69"/>
      <c r="S101" s="69"/>
      <c r="T101" s="69"/>
      <c r="U101" s="68">
        <f t="shared" si="266"/>
        <v>0</v>
      </c>
      <c r="V101" s="59"/>
      <c r="W101" s="66">
        <f t="shared" si="267"/>
        <v>0</v>
      </c>
      <c r="X101" s="66">
        <f t="shared" si="268"/>
        <v>0</v>
      </c>
      <c r="Y101" s="69"/>
      <c r="Z101" s="69"/>
      <c r="AA101" s="69"/>
      <c r="AB101" s="69"/>
      <c r="AC101" s="69"/>
      <c r="AD101" s="69"/>
      <c r="AE101" s="68">
        <f t="shared" si="269"/>
        <v>0</v>
      </c>
      <c r="AF101" s="59"/>
      <c r="AG101" s="66">
        <f t="shared" si="270"/>
        <v>0</v>
      </c>
      <c r="AH101" s="66">
        <f t="shared" si="271"/>
        <v>0</v>
      </c>
      <c r="AI101" s="69"/>
      <c r="AJ101" s="69"/>
      <c r="AK101" s="69"/>
      <c r="AL101" s="69"/>
      <c r="AM101" s="69"/>
      <c r="AN101" s="69"/>
      <c r="AO101" s="68">
        <f t="shared" si="272"/>
        <v>0</v>
      </c>
      <c r="AP101" s="59"/>
      <c r="AQ101" s="66">
        <f t="shared" si="273"/>
        <v>0</v>
      </c>
      <c r="AR101" s="66">
        <f t="shared" si="274"/>
        <v>0</v>
      </c>
      <c r="AS101" s="69"/>
      <c r="AT101" s="69"/>
      <c r="AU101" s="69"/>
      <c r="AV101" s="69"/>
      <c r="AW101" s="69"/>
      <c r="AX101" s="69"/>
      <c r="AY101" s="68">
        <f t="shared" si="275"/>
        <v>0</v>
      </c>
      <c r="AZ101" s="356"/>
      <c r="BA101" s="66">
        <f t="shared" si="249"/>
        <v>0</v>
      </c>
      <c r="BB101" s="66">
        <f t="shared" si="250"/>
        <v>0</v>
      </c>
      <c r="BC101" s="66"/>
      <c r="BD101" s="66"/>
      <c r="BE101" s="66"/>
      <c r="BF101" s="66"/>
      <c r="BG101" s="66"/>
      <c r="BH101" s="66"/>
      <c r="BI101" s="357">
        <f t="shared" si="251"/>
        <v>0</v>
      </c>
      <c r="BJ101" s="358"/>
      <c r="BK101" s="66"/>
      <c r="BL101" s="66"/>
      <c r="BM101" s="69"/>
      <c r="BN101" s="69"/>
      <c r="BO101" s="69"/>
      <c r="BP101" s="69"/>
      <c r="BQ101" s="69"/>
      <c r="BR101" s="69"/>
      <c r="BS101" s="68">
        <f t="shared" si="254"/>
        <v>0</v>
      </c>
      <c r="BT101" s="358">
        <v>11</v>
      </c>
      <c r="BU101" s="66">
        <f t="shared" si="255"/>
        <v>19216</v>
      </c>
      <c r="BV101" s="66">
        <f t="shared" si="256"/>
        <v>1746.909090909091</v>
      </c>
      <c r="BW101" s="69"/>
      <c r="BX101" s="69">
        <v>19216</v>
      </c>
      <c r="BY101" s="69"/>
      <c r="BZ101" s="69"/>
      <c r="CA101" s="69"/>
      <c r="CB101" s="69">
        <v>6984</v>
      </c>
      <c r="CC101" s="68">
        <f t="shared" si="257"/>
        <v>0</v>
      </c>
      <c r="CD101" s="244">
        <v>34</v>
      </c>
      <c r="CE101" s="66">
        <f t="shared" si="258"/>
        <v>123167</v>
      </c>
      <c r="CF101" s="66">
        <f t="shared" si="259"/>
        <v>3622.5588235294117</v>
      </c>
      <c r="CG101" s="195"/>
      <c r="CH101" s="195">
        <v>123167</v>
      </c>
      <c r="CI101" s="195"/>
      <c r="CJ101" s="195"/>
      <c r="CK101" s="195"/>
      <c r="CL101" s="195">
        <v>40932</v>
      </c>
      <c r="CM101" s="403">
        <f t="shared" si="260"/>
        <v>0</v>
      </c>
    </row>
    <row r="102" spans="1:91" s="58" customFormat="1" ht="15.95" customHeight="1">
      <c r="A102" s="367"/>
      <c r="B102" s="93"/>
      <c r="C102" s="66">
        <f t="shared" si="261"/>
        <v>0</v>
      </c>
      <c r="D102" s="66">
        <f t="shared" si="262"/>
        <v>0</v>
      </c>
      <c r="E102" s="69"/>
      <c r="F102" s="69"/>
      <c r="G102" s="69"/>
      <c r="H102" s="69"/>
      <c r="I102" s="69"/>
      <c r="J102" s="69"/>
      <c r="K102" s="68">
        <f t="shared" si="263"/>
        <v>0</v>
      </c>
      <c r="L102" s="159"/>
      <c r="M102" s="66">
        <f t="shared" si="264"/>
        <v>0</v>
      </c>
      <c r="N102" s="66">
        <f t="shared" si="265"/>
        <v>0</v>
      </c>
      <c r="O102" s="69"/>
      <c r="P102" s="69"/>
      <c r="Q102" s="69"/>
      <c r="R102" s="69"/>
      <c r="S102" s="69"/>
      <c r="T102" s="69"/>
      <c r="U102" s="68">
        <f t="shared" si="266"/>
        <v>0</v>
      </c>
      <c r="V102" s="59"/>
      <c r="W102" s="66">
        <f t="shared" si="267"/>
        <v>0</v>
      </c>
      <c r="X102" s="66">
        <f t="shared" si="268"/>
        <v>0</v>
      </c>
      <c r="Y102" s="69"/>
      <c r="Z102" s="69"/>
      <c r="AA102" s="69"/>
      <c r="AB102" s="69"/>
      <c r="AC102" s="69"/>
      <c r="AD102" s="69"/>
      <c r="AE102" s="68">
        <f t="shared" si="269"/>
        <v>0</v>
      </c>
      <c r="AF102" s="59"/>
      <c r="AG102" s="66">
        <f t="shared" si="270"/>
        <v>0</v>
      </c>
      <c r="AH102" s="66">
        <f t="shared" si="271"/>
        <v>0</v>
      </c>
      <c r="AI102" s="69"/>
      <c r="AJ102" s="69"/>
      <c r="AK102" s="69"/>
      <c r="AL102" s="69"/>
      <c r="AM102" s="69"/>
      <c r="AN102" s="69"/>
      <c r="AO102" s="68">
        <f t="shared" si="272"/>
        <v>0</v>
      </c>
      <c r="AP102" s="59"/>
      <c r="AQ102" s="66">
        <f t="shared" si="273"/>
        <v>0</v>
      </c>
      <c r="AR102" s="66">
        <f t="shared" si="274"/>
        <v>0</v>
      </c>
      <c r="AS102" s="69"/>
      <c r="AT102" s="69"/>
      <c r="AU102" s="69"/>
      <c r="AV102" s="69"/>
      <c r="AW102" s="69"/>
      <c r="AX102" s="69"/>
      <c r="AY102" s="68">
        <f t="shared" si="275"/>
        <v>0</v>
      </c>
      <c r="AZ102" s="356"/>
      <c r="BA102" s="66">
        <f t="shared" si="249"/>
        <v>0</v>
      </c>
      <c r="BB102" s="66">
        <f t="shared" si="250"/>
        <v>0</v>
      </c>
      <c r="BC102" s="66"/>
      <c r="BD102" s="66"/>
      <c r="BE102" s="66"/>
      <c r="BF102" s="66"/>
      <c r="BG102" s="66"/>
      <c r="BH102" s="66"/>
      <c r="BI102" s="357">
        <f t="shared" si="251"/>
        <v>0</v>
      </c>
      <c r="BJ102" s="358"/>
      <c r="BK102" s="66"/>
      <c r="BL102" s="66"/>
      <c r="BM102" s="69"/>
      <c r="BN102" s="69"/>
      <c r="BO102" s="69"/>
      <c r="BP102" s="69"/>
      <c r="BQ102" s="69"/>
      <c r="BR102" s="69"/>
      <c r="BS102" s="68">
        <f t="shared" si="254"/>
        <v>0</v>
      </c>
      <c r="BT102" s="358"/>
      <c r="BU102" s="66">
        <f t="shared" si="255"/>
        <v>0</v>
      </c>
      <c r="BV102" s="66">
        <f t="shared" si="256"/>
        <v>0</v>
      </c>
      <c r="BW102" s="69"/>
      <c r="BX102" s="69"/>
      <c r="BY102" s="69"/>
      <c r="BZ102" s="69"/>
      <c r="CA102" s="69"/>
      <c r="CB102" s="69"/>
      <c r="CC102" s="68">
        <f t="shared" ref="CC102:CC105" si="276">IF(CB102=0,0,(IF(BW102&lt;=CB102,BW102,CB102)))</f>
        <v>0</v>
      </c>
      <c r="CD102" s="244"/>
      <c r="CE102" s="66">
        <f t="shared" si="258"/>
        <v>0</v>
      </c>
      <c r="CF102" s="66">
        <f t="shared" si="259"/>
        <v>0</v>
      </c>
      <c r="CG102" s="195"/>
      <c r="CH102" s="195"/>
      <c r="CI102" s="195"/>
      <c r="CJ102" s="195"/>
      <c r="CK102" s="195"/>
      <c r="CL102" s="195"/>
      <c r="CM102" s="403">
        <f t="shared" si="260"/>
        <v>0</v>
      </c>
    </row>
    <row r="103" spans="1:91" s="58" customFormat="1" ht="15.95" customHeight="1">
      <c r="A103" s="367"/>
      <c r="B103" s="93"/>
      <c r="C103" s="66">
        <f t="shared" si="261"/>
        <v>0</v>
      </c>
      <c r="D103" s="66">
        <f t="shared" si="262"/>
        <v>0</v>
      </c>
      <c r="E103" s="69"/>
      <c r="F103" s="69"/>
      <c r="G103" s="69"/>
      <c r="H103" s="69"/>
      <c r="I103" s="69"/>
      <c r="J103" s="69"/>
      <c r="K103" s="68">
        <f t="shared" si="263"/>
        <v>0</v>
      </c>
      <c r="L103" s="159"/>
      <c r="M103" s="66">
        <f t="shared" si="264"/>
        <v>0</v>
      </c>
      <c r="N103" s="66">
        <f t="shared" si="265"/>
        <v>0</v>
      </c>
      <c r="O103" s="69"/>
      <c r="P103" s="69"/>
      <c r="Q103" s="69"/>
      <c r="R103" s="69"/>
      <c r="S103" s="69"/>
      <c r="T103" s="69"/>
      <c r="U103" s="68">
        <f t="shared" si="266"/>
        <v>0</v>
      </c>
      <c r="V103" s="59"/>
      <c r="W103" s="66">
        <f t="shared" si="267"/>
        <v>0</v>
      </c>
      <c r="X103" s="66">
        <f t="shared" si="268"/>
        <v>0</v>
      </c>
      <c r="Y103" s="69"/>
      <c r="Z103" s="69"/>
      <c r="AA103" s="69"/>
      <c r="AB103" s="69"/>
      <c r="AC103" s="69"/>
      <c r="AD103" s="69"/>
      <c r="AE103" s="68">
        <f t="shared" si="269"/>
        <v>0</v>
      </c>
      <c r="AF103" s="59"/>
      <c r="AG103" s="66">
        <f t="shared" si="270"/>
        <v>0</v>
      </c>
      <c r="AH103" s="66">
        <f t="shared" si="271"/>
        <v>0</v>
      </c>
      <c r="AI103" s="69"/>
      <c r="AJ103" s="69"/>
      <c r="AK103" s="69"/>
      <c r="AL103" s="69"/>
      <c r="AM103" s="69"/>
      <c r="AN103" s="69"/>
      <c r="AO103" s="68">
        <f t="shared" si="272"/>
        <v>0</v>
      </c>
      <c r="AP103" s="59"/>
      <c r="AQ103" s="66">
        <f t="shared" si="273"/>
        <v>0</v>
      </c>
      <c r="AR103" s="66">
        <f t="shared" si="274"/>
        <v>0</v>
      </c>
      <c r="AS103" s="69"/>
      <c r="AT103" s="69"/>
      <c r="AU103" s="69"/>
      <c r="AV103" s="69"/>
      <c r="AW103" s="69"/>
      <c r="AX103" s="69"/>
      <c r="AY103" s="68">
        <f t="shared" si="275"/>
        <v>0</v>
      </c>
      <c r="AZ103" s="356"/>
      <c r="BA103" s="66">
        <f t="shared" si="249"/>
        <v>0</v>
      </c>
      <c r="BB103" s="66">
        <f t="shared" si="250"/>
        <v>0</v>
      </c>
      <c r="BC103" s="66"/>
      <c r="BD103" s="66"/>
      <c r="BE103" s="66"/>
      <c r="BF103" s="66"/>
      <c r="BG103" s="66"/>
      <c r="BH103" s="66"/>
      <c r="BI103" s="357">
        <f t="shared" si="251"/>
        <v>0</v>
      </c>
      <c r="BJ103" s="358"/>
      <c r="BK103" s="66"/>
      <c r="BL103" s="66"/>
      <c r="BM103" s="69"/>
      <c r="BN103" s="69"/>
      <c r="BO103" s="69"/>
      <c r="BP103" s="69"/>
      <c r="BQ103" s="69"/>
      <c r="BR103" s="69"/>
      <c r="BS103" s="68">
        <f t="shared" si="254"/>
        <v>0</v>
      </c>
      <c r="BT103" s="358"/>
      <c r="BU103" s="66">
        <f t="shared" si="255"/>
        <v>0</v>
      </c>
      <c r="BV103" s="66">
        <f t="shared" si="256"/>
        <v>0</v>
      </c>
      <c r="BW103" s="69"/>
      <c r="BX103" s="69"/>
      <c r="BY103" s="69"/>
      <c r="BZ103" s="69"/>
      <c r="CA103" s="69"/>
      <c r="CB103" s="69"/>
      <c r="CC103" s="68">
        <f t="shared" si="276"/>
        <v>0</v>
      </c>
      <c r="CD103" s="244"/>
      <c r="CE103" s="66">
        <f t="shared" si="258"/>
        <v>0</v>
      </c>
      <c r="CF103" s="66">
        <f t="shared" si="259"/>
        <v>0</v>
      </c>
      <c r="CG103" s="195"/>
      <c r="CH103" s="195"/>
      <c r="CI103" s="195"/>
      <c r="CJ103" s="195"/>
      <c r="CK103" s="195"/>
      <c r="CL103" s="195"/>
      <c r="CM103" s="403">
        <f t="shared" si="260"/>
        <v>0</v>
      </c>
    </row>
    <row r="104" spans="1:91" s="58" customFormat="1" ht="15.95" customHeight="1">
      <c r="A104" s="367"/>
      <c r="B104" s="93"/>
      <c r="C104" s="66">
        <f t="shared" si="234"/>
        <v>0</v>
      </c>
      <c r="D104" s="66">
        <f t="shared" si="235"/>
        <v>0</v>
      </c>
      <c r="E104" s="69"/>
      <c r="F104" s="69"/>
      <c r="G104" s="69"/>
      <c r="H104" s="69"/>
      <c r="I104" s="69"/>
      <c r="J104" s="69"/>
      <c r="K104" s="68">
        <f t="shared" si="236"/>
        <v>0</v>
      </c>
      <c r="L104" s="159"/>
      <c r="M104" s="66">
        <f t="shared" si="237"/>
        <v>0</v>
      </c>
      <c r="N104" s="66">
        <f t="shared" si="238"/>
        <v>0</v>
      </c>
      <c r="O104" s="69"/>
      <c r="P104" s="69"/>
      <c r="Q104" s="69"/>
      <c r="R104" s="69"/>
      <c r="S104" s="69"/>
      <c r="T104" s="69"/>
      <c r="U104" s="68">
        <f t="shared" si="239"/>
        <v>0</v>
      </c>
      <c r="V104" s="59"/>
      <c r="W104" s="66">
        <f t="shared" si="240"/>
        <v>0</v>
      </c>
      <c r="X104" s="66">
        <f t="shared" si="241"/>
        <v>0</v>
      </c>
      <c r="Y104" s="69"/>
      <c r="Z104" s="69"/>
      <c r="AA104" s="69"/>
      <c r="AB104" s="69"/>
      <c r="AC104" s="69"/>
      <c r="AD104" s="69"/>
      <c r="AE104" s="68">
        <f t="shared" si="242"/>
        <v>0</v>
      </c>
      <c r="AF104" s="59"/>
      <c r="AG104" s="66">
        <f t="shared" si="243"/>
        <v>0</v>
      </c>
      <c r="AH104" s="66">
        <f t="shared" si="244"/>
        <v>0</v>
      </c>
      <c r="AI104" s="69"/>
      <c r="AJ104" s="69"/>
      <c r="AK104" s="69"/>
      <c r="AL104" s="69"/>
      <c r="AM104" s="69"/>
      <c r="AN104" s="69"/>
      <c r="AO104" s="68">
        <f t="shared" si="245"/>
        <v>0</v>
      </c>
      <c r="AP104" s="59"/>
      <c r="AQ104" s="66">
        <f t="shared" si="246"/>
        <v>0</v>
      </c>
      <c r="AR104" s="66">
        <f t="shared" si="247"/>
        <v>0</v>
      </c>
      <c r="AS104" s="69"/>
      <c r="AT104" s="69"/>
      <c r="AU104" s="69"/>
      <c r="AV104" s="69"/>
      <c r="AW104" s="69"/>
      <c r="AX104" s="69"/>
      <c r="AY104" s="68">
        <f t="shared" si="248"/>
        <v>0</v>
      </c>
      <c r="AZ104" s="356"/>
      <c r="BA104" s="66">
        <f t="shared" si="249"/>
        <v>0</v>
      </c>
      <c r="BB104" s="66">
        <f t="shared" si="250"/>
        <v>0</v>
      </c>
      <c r="BC104" s="66"/>
      <c r="BD104" s="66"/>
      <c r="BE104" s="66"/>
      <c r="BF104" s="66"/>
      <c r="BG104" s="66"/>
      <c r="BH104" s="66"/>
      <c r="BI104" s="357">
        <f t="shared" si="251"/>
        <v>0</v>
      </c>
      <c r="BJ104" s="358"/>
      <c r="BK104" s="66"/>
      <c r="BL104" s="66"/>
      <c r="BM104" s="69"/>
      <c r="BN104" s="69"/>
      <c r="BO104" s="69"/>
      <c r="BP104" s="69"/>
      <c r="BQ104" s="69"/>
      <c r="BR104" s="69"/>
      <c r="BS104" s="68">
        <f t="shared" si="254"/>
        <v>0</v>
      </c>
      <c r="BT104" s="358"/>
      <c r="BU104" s="66">
        <f t="shared" si="255"/>
        <v>0</v>
      </c>
      <c r="BV104" s="66">
        <f t="shared" si="256"/>
        <v>0</v>
      </c>
      <c r="BW104" s="69"/>
      <c r="BX104" s="69"/>
      <c r="BY104" s="69"/>
      <c r="BZ104" s="69"/>
      <c r="CA104" s="69"/>
      <c r="CB104" s="69"/>
      <c r="CC104" s="68">
        <f t="shared" si="276"/>
        <v>0</v>
      </c>
      <c r="CD104" s="244"/>
      <c r="CE104" s="66">
        <f t="shared" si="258"/>
        <v>0</v>
      </c>
      <c r="CF104" s="66">
        <f t="shared" si="259"/>
        <v>0</v>
      </c>
      <c r="CG104" s="195"/>
      <c r="CH104" s="195"/>
      <c r="CI104" s="195"/>
      <c r="CJ104" s="195"/>
      <c r="CK104" s="195"/>
      <c r="CL104" s="195"/>
      <c r="CM104" s="403">
        <f t="shared" si="260"/>
        <v>0</v>
      </c>
    </row>
    <row r="105" spans="1:91" s="58" customFormat="1" ht="15.95" customHeight="1">
      <c r="A105" s="367"/>
      <c r="B105" s="93"/>
      <c r="C105" s="66">
        <f t="shared" si="234"/>
        <v>0</v>
      </c>
      <c r="D105" s="66">
        <f t="shared" si="235"/>
        <v>0</v>
      </c>
      <c r="E105" s="69"/>
      <c r="F105" s="69"/>
      <c r="G105" s="69"/>
      <c r="H105" s="69"/>
      <c r="I105" s="69"/>
      <c r="J105" s="69"/>
      <c r="K105" s="68">
        <f t="shared" si="236"/>
        <v>0</v>
      </c>
      <c r="L105" s="159"/>
      <c r="M105" s="66">
        <f t="shared" si="237"/>
        <v>0</v>
      </c>
      <c r="N105" s="66">
        <f t="shared" si="238"/>
        <v>0</v>
      </c>
      <c r="O105" s="69"/>
      <c r="P105" s="69"/>
      <c r="Q105" s="69"/>
      <c r="R105" s="69"/>
      <c r="S105" s="69"/>
      <c r="T105" s="69"/>
      <c r="U105" s="68">
        <f t="shared" si="239"/>
        <v>0</v>
      </c>
      <c r="V105" s="59"/>
      <c r="W105" s="66">
        <f t="shared" si="240"/>
        <v>0</v>
      </c>
      <c r="X105" s="66">
        <f t="shared" si="241"/>
        <v>0</v>
      </c>
      <c r="Y105" s="69"/>
      <c r="Z105" s="69"/>
      <c r="AA105" s="69"/>
      <c r="AB105" s="69"/>
      <c r="AC105" s="69"/>
      <c r="AD105" s="69"/>
      <c r="AE105" s="68">
        <f t="shared" si="242"/>
        <v>0</v>
      </c>
      <c r="AF105" s="59"/>
      <c r="AG105" s="66">
        <f t="shared" si="243"/>
        <v>0</v>
      </c>
      <c r="AH105" s="66">
        <f t="shared" si="244"/>
        <v>0</v>
      </c>
      <c r="AI105" s="69"/>
      <c r="AJ105" s="69"/>
      <c r="AK105" s="69"/>
      <c r="AL105" s="69"/>
      <c r="AM105" s="69"/>
      <c r="AN105" s="69"/>
      <c r="AO105" s="68">
        <f t="shared" si="245"/>
        <v>0</v>
      </c>
      <c r="AP105" s="59"/>
      <c r="AQ105" s="66">
        <f t="shared" si="246"/>
        <v>0</v>
      </c>
      <c r="AR105" s="66">
        <f t="shared" si="247"/>
        <v>0</v>
      </c>
      <c r="AS105" s="69"/>
      <c r="AT105" s="69"/>
      <c r="AU105" s="69"/>
      <c r="AV105" s="69"/>
      <c r="AW105" s="69"/>
      <c r="AX105" s="69"/>
      <c r="AY105" s="68">
        <f t="shared" si="248"/>
        <v>0</v>
      </c>
      <c r="AZ105" s="356"/>
      <c r="BA105" s="66">
        <f t="shared" ref="BA105" si="277">SUM(BC105:BG105)</f>
        <v>0</v>
      </c>
      <c r="BB105" s="66">
        <f t="shared" ref="BB105" si="278">IFERROR(BA105/AZ105,0)</f>
        <v>0</v>
      </c>
      <c r="BC105" s="66"/>
      <c r="BD105" s="66"/>
      <c r="BE105" s="66"/>
      <c r="BF105" s="66"/>
      <c r="BG105" s="66"/>
      <c r="BH105" s="66"/>
      <c r="BI105" s="357">
        <f t="shared" si="251"/>
        <v>0</v>
      </c>
      <c r="BJ105" s="358"/>
      <c r="BK105" s="66"/>
      <c r="BL105" s="66"/>
      <c r="BM105" s="69"/>
      <c r="BN105" s="69"/>
      <c r="BO105" s="69"/>
      <c r="BP105" s="69"/>
      <c r="BQ105" s="69"/>
      <c r="BR105" s="69"/>
      <c r="BS105" s="68">
        <f t="shared" si="254"/>
        <v>0</v>
      </c>
      <c r="BT105" s="358"/>
      <c r="BU105" s="66">
        <f t="shared" si="255"/>
        <v>0</v>
      </c>
      <c r="BV105" s="66">
        <f t="shared" si="256"/>
        <v>0</v>
      </c>
      <c r="BW105" s="69"/>
      <c r="BX105" s="69"/>
      <c r="BY105" s="69"/>
      <c r="BZ105" s="69"/>
      <c r="CA105" s="69"/>
      <c r="CB105" s="69"/>
      <c r="CC105" s="68">
        <f t="shared" si="276"/>
        <v>0</v>
      </c>
      <c r="CD105" s="244"/>
      <c r="CE105" s="66">
        <f t="shared" si="258"/>
        <v>0</v>
      </c>
      <c r="CF105" s="66">
        <f t="shared" si="259"/>
        <v>0</v>
      </c>
      <c r="CG105" s="195"/>
      <c r="CH105" s="195"/>
      <c r="CI105" s="195"/>
      <c r="CJ105" s="195"/>
      <c r="CK105" s="195"/>
      <c r="CL105" s="195"/>
      <c r="CM105" s="403">
        <f t="shared" si="260"/>
        <v>0</v>
      </c>
    </row>
    <row r="106" spans="1:91" s="5" customFormat="1" ht="15.95" customHeight="1">
      <c r="A106" s="79" t="s">
        <v>164</v>
      </c>
      <c r="B106" s="90"/>
      <c r="C106" s="61"/>
      <c r="D106" s="61"/>
      <c r="E106" s="63"/>
      <c r="F106" s="63"/>
      <c r="G106" s="63"/>
      <c r="H106" s="63"/>
      <c r="I106" s="63"/>
      <c r="J106" s="63"/>
      <c r="K106" s="166"/>
      <c r="L106" s="157"/>
      <c r="M106" s="61"/>
      <c r="N106" s="61"/>
      <c r="O106" s="63"/>
      <c r="P106" s="63"/>
      <c r="Q106" s="63"/>
      <c r="R106" s="63"/>
      <c r="S106" s="63"/>
      <c r="T106" s="63"/>
      <c r="U106" s="166"/>
      <c r="V106" s="55"/>
      <c r="W106" s="61"/>
      <c r="X106" s="61"/>
      <c r="Y106" s="63"/>
      <c r="Z106" s="63"/>
      <c r="AA106" s="63"/>
      <c r="AB106" s="63"/>
      <c r="AC106" s="63"/>
      <c r="AD106" s="63"/>
      <c r="AE106" s="166"/>
      <c r="AF106" s="55"/>
      <c r="AG106" s="61"/>
      <c r="AH106" s="61"/>
      <c r="AI106" s="63"/>
      <c r="AJ106" s="63"/>
      <c r="AK106" s="63"/>
      <c r="AL106" s="63"/>
      <c r="AM106" s="63"/>
      <c r="AN106" s="63"/>
      <c r="AO106" s="166"/>
      <c r="AP106" s="55"/>
      <c r="AQ106" s="61"/>
      <c r="AR106" s="61"/>
      <c r="AS106" s="63"/>
      <c r="AT106" s="63"/>
      <c r="AU106" s="63"/>
      <c r="AV106" s="63"/>
      <c r="AW106" s="63"/>
      <c r="AX106" s="63"/>
      <c r="AY106" s="166"/>
      <c r="AZ106" s="356"/>
      <c r="BA106" s="66"/>
      <c r="BB106" s="66"/>
      <c r="BC106" s="66"/>
      <c r="BD106" s="66"/>
      <c r="BE106" s="66"/>
      <c r="BF106" s="66"/>
      <c r="BG106" s="66"/>
      <c r="BH106" s="66"/>
      <c r="BI106" s="357"/>
      <c r="BJ106" s="243"/>
      <c r="BK106" s="66"/>
      <c r="BL106" s="66"/>
      <c r="BM106" s="63"/>
      <c r="BN106" s="63"/>
      <c r="BO106" s="63"/>
      <c r="BP106" s="63"/>
      <c r="BQ106" s="63"/>
      <c r="BR106" s="63"/>
      <c r="BS106" s="166"/>
      <c r="BT106" s="243"/>
      <c r="BU106" s="66"/>
      <c r="BV106" s="66"/>
      <c r="BW106" s="63"/>
      <c r="BX106" s="63"/>
      <c r="BY106" s="63"/>
      <c r="BZ106" s="63"/>
      <c r="CA106" s="63"/>
      <c r="CB106" s="63"/>
      <c r="CC106" s="166"/>
      <c r="CD106" s="243"/>
      <c r="CE106" s="66"/>
      <c r="CF106" s="66"/>
      <c r="CG106" s="63"/>
      <c r="CH106" s="63"/>
      <c r="CI106" s="63"/>
      <c r="CJ106" s="63"/>
      <c r="CK106" s="63"/>
      <c r="CL106" s="63"/>
      <c r="CM106" s="166"/>
    </row>
    <row r="107" spans="1:91" s="58" customFormat="1" ht="15.95" customHeight="1">
      <c r="A107" s="80" t="s">
        <v>60</v>
      </c>
      <c r="B107" s="92">
        <f>SUM(B$95:B106)</f>
        <v>393</v>
      </c>
      <c r="C107" s="66">
        <f>SUM(C$95:C106)</f>
        <v>4840613</v>
      </c>
      <c r="D107" s="66">
        <f>IFERROR(C107/B107,0)</f>
        <v>12317.081424936387</v>
      </c>
      <c r="E107" s="67">
        <f>SUM(E$95:E106)</f>
        <v>4840613</v>
      </c>
      <c r="F107" s="67">
        <f>SUM(F$95:F106)</f>
        <v>0</v>
      </c>
      <c r="G107" s="67">
        <f>SUM(G$95:G106)</f>
        <v>0</v>
      </c>
      <c r="H107" s="67">
        <f>SUM(H$95:H106)</f>
        <v>0</v>
      </c>
      <c r="I107" s="67">
        <f>SUM(I$95:I106)</f>
        <v>0</v>
      </c>
      <c r="J107" s="67">
        <f>SUM(J$95:J106)</f>
        <v>2260126</v>
      </c>
      <c r="K107" s="68">
        <f>SUM(K$95:K106)</f>
        <v>2260126</v>
      </c>
      <c r="L107" s="160">
        <f>SUM(L$95:L106)</f>
        <v>343</v>
      </c>
      <c r="M107" s="66">
        <f>SUM(M$95:M106)</f>
        <v>4192724</v>
      </c>
      <c r="N107" s="66">
        <f>IFERROR(M107/L107,0)</f>
        <v>12223.685131195336</v>
      </c>
      <c r="O107" s="67">
        <f>SUM(O$95:O106)</f>
        <v>4170070</v>
      </c>
      <c r="P107" s="67">
        <f>SUM(P$95:P106)</f>
        <v>0</v>
      </c>
      <c r="Q107" s="67">
        <f>SUM(Q$95:Q106)</f>
        <v>0</v>
      </c>
      <c r="R107" s="67">
        <f>SUM(R$95:R106)</f>
        <v>22654</v>
      </c>
      <c r="S107" s="67">
        <f>SUM(S$95:S106)</f>
        <v>0</v>
      </c>
      <c r="T107" s="67">
        <f>SUM(T$95:T106)</f>
        <v>437170</v>
      </c>
      <c r="U107" s="68">
        <f>SUM(U$95:U106)</f>
        <v>414516</v>
      </c>
      <c r="V107" s="50">
        <f>SUM(V$95:V106)</f>
        <v>361</v>
      </c>
      <c r="W107" s="66">
        <f>SUM(W$95:W106)</f>
        <v>3343354</v>
      </c>
      <c r="X107" s="66">
        <f>IFERROR(W107/V107,0)</f>
        <v>9261.3684210526317</v>
      </c>
      <c r="Y107" s="67">
        <f>SUM(Y$95:Y106)</f>
        <v>3329843</v>
      </c>
      <c r="Z107" s="67">
        <f>SUM(Z$95:Z106)</f>
        <v>0</v>
      </c>
      <c r="AA107" s="67">
        <f>SUM(AA$95:AA106)</f>
        <v>0</v>
      </c>
      <c r="AB107" s="67">
        <f>SUM(AB$95:AB106)</f>
        <v>13511</v>
      </c>
      <c r="AC107" s="67">
        <f>SUM(AC$95:AC106)</f>
        <v>0</v>
      </c>
      <c r="AD107" s="67">
        <f>SUM(AD$95:AD106)</f>
        <v>634389</v>
      </c>
      <c r="AE107" s="68">
        <f>SUM(AE$95:AE106)</f>
        <v>620878</v>
      </c>
      <c r="AF107" s="50">
        <f>SUM(AF$95:AF106)</f>
        <v>391</v>
      </c>
      <c r="AG107" s="66">
        <f>SUM(AG$95:AG106)</f>
        <v>4411078</v>
      </c>
      <c r="AH107" s="66">
        <f>IFERROR(AG107/AF107,0)</f>
        <v>11281.529411764706</v>
      </c>
      <c r="AI107" s="67">
        <f>SUM(AI$95:AI106)</f>
        <v>4391696</v>
      </c>
      <c r="AJ107" s="67">
        <f>SUM(AJ$95:AJ106)</f>
        <v>0</v>
      </c>
      <c r="AK107" s="67">
        <f>SUM(AK$95:AK106)</f>
        <v>0</v>
      </c>
      <c r="AL107" s="67">
        <f>SUM(AL$95:AL106)</f>
        <v>19382</v>
      </c>
      <c r="AM107" s="67">
        <f>SUM(AM$95:AM106)</f>
        <v>0</v>
      </c>
      <c r="AN107" s="67">
        <f>SUM(AN$95:AN106)</f>
        <v>857467</v>
      </c>
      <c r="AO107" s="68">
        <f>SUM(AO$95:AO106)</f>
        <v>839485</v>
      </c>
      <c r="AP107" s="50">
        <f>SUM(AP$95:AP106)</f>
        <v>367</v>
      </c>
      <c r="AQ107" s="66">
        <f>SUM(AQ$95:AQ106)</f>
        <v>3708824</v>
      </c>
      <c r="AR107" s="66">
        <f>IFERROR(AQ107/AP107,0)</f>
        <v>10105.787465940055</v>
      </c>
      <c r="AS107" s="67">
        <f>SUM(AS$95:AS106)</f>
        <v>3698056</v>
      </c>
      <c r="AT107" s="67">
        <f>SUM(AT$95:AT106)</f>
        <v>0</v>
      </c>
      <c r="AU107" s="67">
        <f>SUM(AU$95:AU106)</f>
        <v>0</v>
      </c>
      <c r="AV107" s="67">
        <f>SUM(AV$95:AV106)</f>
        <v>10768</v>
      </c>
      <c r="AW107" s="67">
        <f>SUM(AW$95:AW106)</f>
        <v>0</v>
      </c>
      <c r="AX107" s="67">
        <f>SUM(AX$95:AX106)</f>
        <v>768588</v>
      </c>
      <c r="AY107" s="68">
        <f>SUM(AY$95:AY106)</f>
        <v>757820</v>
      </c>
      <c r="AZ107" s="356">
        <f>SUM(AZ$95:AZ106)</f>
        <v>461</v>
      </c>
      <c r="BA107" s="66">
        <f>SUM(BA$95:BA106)</f>
        <v>5525947</v>
      </c>
      <c r="BB107" s="66">
        <f>IFERROR(BA107/AZ107,0)</f>
        <v>11986.869848156182</v>
      </c>
      <c r="BC107" s="66">
        <f>SUM(BC$95:BC106)</f>
        <v>5524624</v>
      </c>
      <c r="BD107" s="66">
        <f>SUM(BD$95:BD106)</f>
        <v>0</v>
      </c>
      <c r="BE107" s="66">
        <f>SUM(BE$95:BE106)</f>
        <v>0</v>
      </c>
      <c r="BF107" s="66">
        <f>SUM(BF$95:BF106)</f>
        <v>1323</v>
      </c>
      <c r="BG107" s="66">
        <f>SUM(BG$95:BG106)</f>
        <v>0</v>
      </c>
      <c r="BH107" s="66">
        <f>SUM(BH$95:BH106)</f>
        <v>1010110</v>
      </c>
      <c r="BI107" s="357">
        <f>SUM(BI$95:BI106)</f>
        <v>1008787</v>
      </c>
      <c r="BJ107" s="364">
        <f>SUM(BJ$95:BJ106)</f>
        <v>469</v>
      </c>
      <c r="BK107" s="66">
        <f>SUM(BK$95:BK106)</f>
        <v>5638469</v>
      </c>
      <c r="BL107" s="66">
        <f>IFERROR(BK107/BJ107,0)</f>
        <v>12022.32196162047</v>
      </c>
      <c r="BM107" s="67">
        <f>SUM(BM$95:BM106)</f>
        <v>5626454</v>
      </c>
      <c r="BN107" s="67">
        <f>SUM(BN$95:BN106)</f>
        <v>0</v>
      </c>
      <c r="BO107" s="67">
        <f>SUM(BO$95:BO106)</f>
        <v>0</v>
      </c>
      <c r="BP107" s="67">
        <f>SUM(BP$95:BP106)</f>
        <v>12015</v>
      </c>
      <c r="BQ107" s="67">
        <f>SUM(BQ$95:BQ106)</f>
        <v>0</v>
      </c>
      <c r="BR107" s="67">
        <f>SUM(BR$95:BR106)</f>
        <v>1237456</v>
      </c>
      <c r="BS107" s="68">
        <f>SUM(BS$95:BS106)</f>
        <v>1237456</v>
      </c>
      <c r="BT107" s="364">
        <f>SUM(BT$95:BT106)</f>
        <v>936</v>
      </c>
      <c r="BU107" s="66">
        <f>SUM(BU$95:BU106)</f>
        <v>7195586</v>
      </c>
      <c r="BV107" s="66">
        <f>IFERROR(BU107/BT107,0)</f>
        <v>7687.5918803418799</v>
      </c>
      <c r="BW107" s="67">
        <f>SUM(BW$95:BW106)</f>
        <v>5739210</v>
      </c>
      <c r="BX107" s="67">
        <f>SUM(BX$95:BX106)</f>
        <v>1438896</v>
      </c>
      <c r="BY107" s="67">
        <f>SUM(BY$95:BY106)</f>
        <v>0</v>
      </c>
      <c r="BZ107" s="67">
        <f>SUM(BZ$95:BZ106)</f>
        <v>17480</v>
      </c>
      <c r="CA107" s="67">
        <f>SUM(CA$95:CA106)</f>
        <v>0</v>
      </c>
      <c r="CB107" s="67">
        <f>SUM(CB$95:CB106)</f>
        <v>1216089</v>
      </c>
      <c r="CC107" s="68">
        <f>SUM(CC$95:CC106)</f>
        <v>1199810</v>
      </c>
      <c r="CD107" s="364">
        <f>SUM(CD$95:CD106)</f>
        <v>879</v>
      </c>
      <c r="CE107" s="66">
        <f>SUM(CE$95:CE106)</f>
        <v>5800102</v>
      </c>
      <c r="CF107" s="66">
        <f>IFERROR(CE107/CD107,0)</f>
        <v>6598.523321956769</v>
      </c>
      <c r="CG107" s="67">
        <f>SUM(CG$95:CG106)</f>
        <v>4582095</v>
      </c>
      <c r="CH107" s="67">
        <f>SUM(CH$95:CH106)</f>
        <v>1198642</v>
      </c>
      <c r="CI107" s="67">
        <f>SUM(CI$95:CI106)</f>
        <v>0</v>
      </c>
      <c r="CJ107" s="67">
        <f>SUM(CJ$95:CJ106)</f>
        <v>19365</v>
      </c>
      <c r="CK107" s="67">
        <f>SUM(CK$95:CK106)</f>
        <v>0</v>
      </c>
      <c r="CL107" s="67">
        <f>SUM(CL$95:CL106)</f>
        <v>1404805</v>
      </c>
      <c r="CM107" s="68">
        <f>SUM(CM$95:CM106)</f>
        <v>1079036</v>
      </c>
    </row>
    <row r="108" spans="1:91" s="58" customFormat="1" ht="15.95" customHeight="1">
      <c r="A108" s="77"/>
      <c r="B108" s="93"/>
      <c r="C108" s="66"/>
      <c r="D108" s="66"/>
      <c r="E108" s="69"/>
      <c r="F108" s="69"/>
      <c r="G108" s="69"/>
      <c r="H108" s="69"/>
      <c r="I108" s="69"/>
      <c r="J108" s="69"/>
      <c r="K108" s="68"/>
      <c r="L108" s="159"/>
      <c r="M108" s="66"/>
      <c r="N108" s="66"/>
      <c r="O108" s="69"/>
      <c r="P108" s="69"/>
      <c r="Q108" s="69"/>
      <c r="R108" s="69"/>
      <c r="S108" s="69"/>
      <c r="T108" s="69"/>
      <c r="U108" s="68"/>
      <c r="V108" s="59"/>
      <c r="W108" s="66"/>
      <c r="X108" s="66"/>
      <c r="Y108" s="69"/>
      <c r="Z108" s="69"/>
      <c r="AA108" s="69"/>
      <c r="AB108" s="69"/>
      <c r="AC108" s="69"/>
      <c r="AD108" s="69"/>
      <c r="AE108" s="68"/>
      <c r="AF108" s="59"/>
      <c r="AG108" s="66"/>
      <c r="AH108" s="66"/>
      <c r="AI108" s="69"/>
      <c r="AJ108" s="69"/>
      <c r="AK108" s="69"/>
      <c r="AL108" s="69"/>
      <c r="AM108" s="69"/>
      <c r="AN108" s="69"/>
      <c r="AO108" s="68"/>
      <c r="AP108" s="59"/>
      <c r="AQ108" s="66"/>
      <c r="AR108" s="66"/>
      <c r="AS108" s="69"/>
      <c r="AT108" s="69"/>
      <c r="AU108" s="69"/>
      <c r="AV108" s="69"/>
      <c r="AW108" s="69"/>
      <c r="AX108" s="69"/>
      <c r="AY108" s="68"/>
      <c r="AZ108" s="356"/>
      <c r="BA108" s="66"/>
      <c r="BB108" s="66"/>
      <c r="BC108" s="66"/>
      <c r="BD108" s="66"/>
      <c r="BE108" s="66"/>
      <c r="BF108" s="66"/>
      <c r="BG108" s="66"/>
      <c r="BH108" s="66"/>
      <c r="BI108" s="357"/>
      <c r="BJ108" s="358"/>
      <c r="BK108" s="66"/>
      <c r="BL108" s="66"/>
      <c r="BM108" s="69"/>
      <c r="BN108" s="69"/>
      <c r="BO108" s="69"/>
      <c r="BP108" s="69"/>
      <c r="BQ108" s="69"/>
      <c r="BR108" s="69"/>
      <c r="BS108" s="68"/>
      <c r="BT108" s="358"/>
      <c r="BU108" s="66"/>
      <c r="BV108" s="66"/>
      <c r="BW108" s="69"/>
      <c r="BX108" s="69"/>
      <c r="BY108" s="69"/>
      <c r="BZ108" s="69"/>
      <c r="CA108" s="69"/>
      <c r="CB108" s="69"/>
      <c r="CC108" s="68"/>
      <c r="CD108" s="358"/>
      <c r="CE108" s="66"/>
      <c r="CF108" s="66"/>
      <c r="CG108" s="69"/>
      <c r="CH108" s="69"/>
      <c r="CI108" s="69"/>
      <c r="CJ108" s="69"/>
      <c r="CK108" s="69"/>
      <c r="CL108" s="69"/>
      <c r="CM108" s="68"/>
    </row>
    <row r="109" spans="1:91" s="58" customFormat="1" ht="15.95" customHeight="1">
      <c r="A109" s="80" t="s">
        <v>66</v>
      </c>
      <c r="B109" s="92">
        <f>SUM(B107,B93)</f>
        <v>498</v>
      </c>
      <c r="C109" s="66">
        <f>SUM(C107,C93)</f>
        <v>5427153</v>
      </c>
      <c r="D109" s="66">
        <f>IFERROR(C109/B109,0)</f>
        <v>10897.897590361446</v>
      </c>
      <c r="E109" s="67">
        <f t="shared" ref="E109:M109" si="279">SUM(E107,E93)</f>
        <v>4840613</v>
      </c>
      <c r="F109" s="67">
        <f t="shared" si="279"/>
        <v>19721</v>
      </c>
      <c r="G109" s="67">
        <f t="shared" si="279"/>
        <v>172148</v>
      </c>
      <c r="H109" s="67">
        <f t="shared" si="279"/>
        <v>394671</v>
      </c>
      <c r="I109" s="67">
        <f t="shared" si="279"/>
        <v>0</v>
      </c>
      <c r="J109" s="67">
        <f t="shared" si="279"/>
        <v>2802485</v>
      </c>
      <c r="K109" s="68">
        <f t="shared" si="279"/>
        <v>2260126</v>
      </c>
      <c r="L109" s="160">
        <f t="shared" si="279"/>
        <v>426</v>
      </c>
      <c r="M109" s="66">
        <f t="shared" si="279"/>
        <v>4713096</v>
      </c>
      <c r="N109" s="66">
        <f>IFERROR(M109/L109,0)</f>
        <v>11063.605633802817</v>
      </c>
      <c r="O109" s="67">
        <f t="shared" ref="O109:W109" si="280">SUM(O107,O93)</f>
        <v>4170070</v>
      </c>
      <c r="P109" s="67">
        <f t="shared" si="280"/>
        <v>0</v>
      </c>
      <c r="Q109" s="67">
        <f t="shared" si="280"/>
        <v>173300</v>
      </c>
      <c r="R109" s="67">
        <f t="shared" si="280"/>
        <v>369726</v>
      </c>
      <c r="S109" s="67">
        <f t="shared" si="280"/>
        <v>0</v>
      </c>
      <c r="T109" s="67">
        <f t="shared" si="280"/>
        <v>897477</v>
      </c>
      <c r="U109" s="68">
        <f t="shared" si="280"/>
        <v>414516</v>
      </c>
      <c r="V109" s="50">
        <f t="shared" si="280"/>
        <v>455</v>
      </c>
      <c r="W109" s="66">
        <f t="shared" si="280"/>
        <v>4098748</v>
      </c>
      <c r="X109" s="66">
        <f>IFERROR(W109/V109,0)</f>
        <v>9008.2373626373628</v>
      </c>
      <c r="Y109" s="67">
        <f t="shared" ref="Y109:AG109" si="281">SUM(Y107,Y93)</f>
        <v>3329843</v>
      </c>
      <c r="Z109" s="67">
        <f t="shared" si="281"/>
        <v>0</v>
      </c>
      <c r="AA109" s="67">
        <f t="shared" si="281"/>
        <v>245600</v>
      </c>
      <c r="AB109" s="67">
        <f t="shared" si="281"/>
        <v>523305</v>
      </c>
      <c r="AC109" s="67">
        <f t="shared" si="281"/>
        <v>0</v>
      </c>
      <c r="AD109" s="67">
        <f t="shared" si="281"/>
        <v>1319900</v>
      </c>
      <c r="AE109" s="68">
        <f t="shared" si="281"/>
        <v>620878</v>
      </c>
      <c r="AF109" s="50">
        <f t="shared" si="281"/>
        <v>462</v>
      </c>
      <c r="AG109" s="66">
        <f t="shared" si="281"/>
        <v>5094325</v>
      </c>
      <c r="AH109" s="66">
        <f>IFERROR(AG109/AF109,0)</f>
        <v>11026.677489177489</v>
      </c>
      <c r="AI109" s="67">
        <f t="shared" ref="AI109:AQ109" si="282">SUM(AI107,AI93)</f>
        <v>4391696</v>
      </c>
      <c r="AJ109" s="67">
        <f t="shared" si="282"/>
        <v>0</v>
      </c>
      <c r="AK109" s="67">
        <f t="shared" si="282"/>
        <v>157632</v>
      </c>
      <c r="AL109" s="67">
        <f t="shared" si="282"/>
        <v>544997</v>
      </c>
      <c r="AM109" s="67">
        <f t="shared" si="282"/>
        <v>0</v>
      </c>
      <c r="AN109" s="67">
        <f t="shared" si="282"/>
        <v>1474689</v>
      </c>
      <c r="AO109" s="68">
        <f t="shared" si="282"/>
        <v>839485</v>
      </c>
      <c r="AP109" s="50">
        <f t="shared" si="282"/>
        <v>425</v>
      </c>
      <c r="AQ109" s="66">
        <f t="shared" si="282"/>
        <v>4261389</v>
      </c>
      <c r="AR109" s="66">
        <f>IFERROR(AQ109/AP109,0)</f>
        <v>10026.797647058824</v>
      </c>
      <c r="AS109" s="67">
        <f t="shared" ref="AS109:BA109" si="283">SUM(AS107,AS93)</f>
        <v>3698056</v>
      </c>
      <c r="AT109" s="67">
        <f t="shared" si="283"/>
        <v>0</v>
      </c>
      <c r="AU109" s="67">
        <f t="shared" si="283"/>
        <v>41625</v>
      </c>
      <c r="AV109" s="67">
        <f t="shared" si="283"/>
        <v>521708</v>
      </c>
      <c r="AW109" s="67">
        <f t="shared" si="283"/>
        <v>0</v>
      </c>
      <c r="AX109" s="67">
        <f t="shared" si="283"/>
        <v>1274238</v>
      </c>
      <c r="AY109" s="68">
        <f t="shared" si="283"/>
        <v>757820</v>
      </c>
      <c r="AZ109" s="356">
        <f t="shared" si="283"/>
        <v>484</v>
      </c>
      <c r="BA109" s="66">
        <f t="shared" si="283"/>
        <v>5678626.7000000002</v>
      </c>
      <c r="BB109" s="66">
        <f>IFERROR(BA109/AZ109,0)</f>
        <v>11732.69979338843</v>
      </c>
      <c r="BC109" s="66">
        <f t="shared" ref="BC109:BK109" si="284">SUM(BC107,BC93)</f>
        <v>5524624</v>
      </c>
      <c r="BD109" s="66">
        <f t="shared" si="284"/>
        <v>0</v>
      </c>
      <c r="BE109" s="66">
        <f t="shared" si="284"/>
        <v>87303</v>
      </c>
      <c r="BF109" s="66">
        <f t="shared" si="284"/>
        <v>66699.7</v>
      </c>
      <c r="BG109" s="66">
        <f t="shared" si="284"/>
        <v>0</v>
      </c>
      <c r="BH109" s="66">
        <f t="shared" si="284"/>
        <v>1134542</v>
      </c>
      <c r="BI109" s="357">
        <f t="shared" si="284"/>
        <v>1008787</v>
      </c>
      <c r="BJ109" s="364">
        <f t="shared" si="284"/>
        <v>484</v>
      </c>
      <c r="BK109" s="66">
        <f t="shared" si="284"/>
        <v>5815707</v>
      </c>
      <c r="BL109" s="66">
        <f>IFERROR(BK109/BJ109,0)</f>
        <v>12015.923553719009</v>
      </c>
      <c r="BM109" s="67">
        <f t="shared" ref="BM109:BU109" si="285">SUM(BM107,BM93)</f>
        <v>5626454</v>
      </c>
      <c r="BN109" s="67">
        <f t="shared" si="285"/>
        <v>131460</v>
      </c>
      <c r="BO109" s="67">
        <f t="shared" si="285"/>
        <v>0</v>
      </c>
      <c r="BP109" s="67">
        <f t="shared" si="285"/>
        <v>57793</v>
      </c>
      <c r="BQ109" s="67">
        <f t="shared" si="285"/>
        <v>0</v>
      </c>
      <c r="BR109" s="67">
        <f t="shared" si="285"/>
        <v>1389704.75</v>
      </c>
      <c r="BS109" s="68">
        <f t="shared" si="285"/>
        <v>1237456</v>
      </c>
      <c r="BT109" s="364">
        <f t="shared" si="285"/>
        <v>965</v>
      </c>
      <c r="BU109" s="66">
        <f t="shared" si="285"/>
        <v>7248169</v>
      </c>
      <c r="BV109" s="66">
        <f>IFERROR(BU109/BT109,0)</f>
        <v>7511.0559585492229</v>
      </c>
      <c r="BW109" s="67">
        <f t="shared" ref="BW109:CE109" si="286">SUM(BW107,BW93)</f>
        <v>5739210</v>
      </c>
      <c r="BX109" s="67">
        <f t="shared" si="286"/>
        <v>1438896</v>
      </c>
      <c r="BY109" s="67">
        <f t="shared" si="286"/>
        <v>0</v>
      </c>
      <c r="BZ109" s="67">
        <f t="shared" si="286"/>
        <v>70063</v>
      </c>
      <c r="CA109" s="67">
        <f t="shared" si="286"/>
        <v>0</v>
      </c>
      <c r="CB109" s="67">
        <f t="shared" si="286"/>
        <v>1257845</v>
      </c>
      <c r="CC109" s="68">
        <f t="shared" si="286"/>
        <v>1199810</v>
      </c>
      <c r="CD109" s="364">
        <f t="shared" si="286"/>
        <v>920</v>
      </c>
      <c r="CE109" s="66">
        <f t="shared" si="286"/>
        <v>5824862</v>
      </c>
      <c r="CF109" s="66">
        <f>IFERROR(CE109/CD109,0)</f>
        <v>6331.3717391304344</v>
      </c>
      <c r="CG109" s="67">
        <f t="shared" ref="CG109:CM109" si="287">SUM(CG107,CG93)</f>
        <v>4582095</v>
      </c>
      <c r="CH109" s="67">
        <f t="shared" si="287"/>
        <v>1198642</v>
      </c>
      <c r="CI109" s="67">
        <f t="shared" si="287"/>
        <v>0</v>
      </c>
      <c r="CJ109" s="67">
        <f t="shared" si="287"/>
        <v>44125</v>
      </c>
      <c r="CK109" s="67">
        <f t="shared" si="287"/>
        <v>0</v>
      </c>
      <c r="CL109" s="67">
        <f t="shared" si="287"/>
        <v>1424633.81</v>
      </c>
      <c r="CM109" s="68">
        <f t="shared" si="287"/>
        <v>1079036</v>
      </c>
    </row>
    <row r="110" spans="1:91" s="5" customFormat="1" ht="15.95" customHeight="1">
      <c r="A110" s="77"/>
      <c r="B110" s="90"/>
      <c r="C110" s="61"/>
      <c r="D110" s="61"/>
      <c r="E110" s="63"/>
      <c r="F110" s="63"/>
      <c r="G110" s="63"/>
      <c r="H110" s="63"/>
      <c r="I110" s="63"/>
      <c r="J110" s="63"/>
      <c r="K110" s="166"/>
      <c r="L110" s="157"/>
      <c r="M110" s="61"/>
      <c r="N110" s="61"/>
      <c r="O110" s="63"/>
      <c r="P110" s="63"/>
      <c r="Q110" s="63"/>
      <c r="R110" s="63"/>
      <c r="S110" s="63"/>
      <c r="T110" s="63"/>
      <c r="U110" s="166"/>
      <c r="V110" s="55"/>
      <c r="W110" s="61"/>
      <c r="X110" s="61"/>
      <c r="Y110" s="63"/>
      <c r="Z110" s="63"/>
      <c r="AA110" s="63"/>
      <c r="AB110" s="63"/>
      <c r="AC110" s="63"/>
      <c r="AD110" s="63"/>
      <c r="AE110" s="166"/>
      <c r="AF110" s="55"/>
      <c r="AG110" s="61"/>
      <c r="AH110" s="61"/>
      <c r="AI110" s="63"/>
      <c r="AJ110" s="63"/>
      <c r="AK110" s="63"/>
      <c r="AL110" s="63"/>
      <c r="AM110" s="63"/>
      <c r="AN110" s="63"/>
      <c r="AO110" s="166"/>
      <c r="AP110" s="55"/>
      <c r="AQ110" s="61"/>
      <c r="AR110" s="61"/>
      <c r="AS110" s="63"/>
      <c r="AT110" s="63"/>
      <c r="AU110" s="63"/>
      <c r="AV110" s="63"/>
      <c r="AW110" s="63"/>
      <c r="AX110" s="63"/>
      <c r="AY110" s="166"/>
      <c r="AZ110" s="356"/>
      <c r="BA110" s="66"/>
      <c r="BB110" s="66"/>
      <c r="BC110" s="66"/>
      <c r="BD110" s="66"/>
      <c r="BE110" s="66"/>
      <c r="BF110" s="66"/>
      <c r="BG110" s="66"/>
      <c r="BH110" s="66"/>
      <c r="BI110" s="357"/>
      <c r="BJ110" s="243"/>
      <c r="BK110" s="66"/>
      <c r="BL110" s="66"/>
      <c r="BM110" s="63"/>
      <c r="BN110" s="63"/>
      <c r="BO110" s="63"/>
      <c r="BP110" s="63"/>
      <c r="BQ110" s="63"/>
      <c r="BR110" s="63"/>
      <c r="BS110" s="166"/>
      <c r="BT110" s="243"/>
      <c r="BU110" s="66"/>
      <c r="BV110" s="66"/>
      <c r="BW110" s="63"/>
      <c r="BX110" s="63"/>
      <c r="BY110" s="63"/>
      <c r="BZ110" s="63"/>
      <c r="CA110" s="63"/>
      <c r="CB110" s="63"/>
      <c r="CC110" s="166"/>
      <c r="CD110" s="243"/>
      <c r="CE110" s="66"/>
      <c r="CF110" s="66"/>
      <c r="CG110" s="63"/>
      <c r="CH110" s="63"/>
      <c r="CI110" s="63"/>
      <c r="CJ110" s="63"/>
      <c r="CK110" s="63"/>
      <c r="CL110" s="63"/>
      <c r="CM110" s="166"/>
    </row>
    <row r="111" spans="1:91" s="5" customFormat="1" ht="15.95" customHeight="1">
      <c r="A111" s="76" t="s">
        <v>67</v>
      </c>
      <c r="B111" s="90"/>
      <c r="C111" s="61"/>
      <c r="D111" s="61"/>
      <c r="E111" s="63"/>
      <c r="F111" s="63"/>
      <c r="G111" s="63"/>
      <c r="H111" s="63"/>
      <c r="I111" s="63"/>
      <c r="J111" s="63"/>
      <c r="K111" s="166"/>
      <c r="L111" s="157"/>
      <c r="M111" s="61"/>
      <c r="N111" s="61"/>
      <c r="O111" s="63"/>
      <c r="P111" s="63"/>
      <c r="Q111" s="63"/>
      <c r="R111" s="63"/>
      <c r="S111" s="63"/>
      <c r="T111" s="63"/>
      <c r="U111" s="166"/>
      <c r="V111" s="55"/>
      <c r="W111" s="61"/>
      <c r="X111" s="61"/>
      <c r="Y111" s="63"/>
      <c r="Z111" s="63"/>
      <c r="AA111" s="63"/>
      <c r="AB111" s="63"/>
      <c r="AC111" s="63"/>
      <c r="AD111" s="63"/>
      <c r="AE111" s="166"/>
      <c r="AF111" s="55"/>
      <c r="AG111" s="61"/>
      <c r="AH111" s="61"/>
      <c r="AI111" s="63"/>
      <c r="AJ111" s="63"/>
      <c r="AK111" s="63"/>
      <c r="AL111" s="63"/>
      <c r="AM111" s="63"/>
      <c r="AN111" s="63"/>
      <c r="AO111" s="166"/>
      <c r="AP111" s="55"/>
      <c r="AQ111" s="61"/>
      <c r="AR111" s="61"/>
      <c r="AS111" s="63"/>
      <c r="AT111" s="63"/>
      <c r="AU111" s="63"/>
      <c r="AV111" s="63"/>
      <c r="AW111" s="63"/>
      <c r="AX111" s="63"/>
      <c r="AY111" s="166"/>
      <c r="AZ111" s="356"/>
      <c r="BA111" s="66"/>
      <c r="BB111" s="66"/>
      <c r="BC111" s="66"/>
      <c r="BD111" s="66"/>
      <c r="BE111" s="66"/>
      <c r="BF111" s="66"/>
      <c r="BG111" s="66"/>
      <c r="BH111" s="66"/>
      <c r="BI111" s="357"/>
      <c r="BJ111" s="243"/>
      <c r="BK111" s="66"/>
      <c r="BL111" s="66"/>
      <c r="BM111" s="63"/>
      <c r="BN111" s="63"/>
      <c r="BO111" s="63"/>
      <c r="BP111" s="63"/>
      <c r="BQ111" s="63"/>
      <c r="BR111" s="63"/>
      <c r="BS111" s="166"/>
      <c r="BT111" s="243"/>
      <c r="BU111" s="66"/>
      <c r="BV111" s="66"/>
      <c r="BW111" s="63"/>
      <c r="BX111" s="63"/>
      <c r="BY111" s="63"/>
      <c r="BZ111" s="63"/>
      <c r="CA111" s="63"/>
      <c r="CB111" s="63"/>
      <c r="CC111" s="166"/>
      <c r="CD111" s="243"/>
      <c r="CE111" s="66"/>
      <c r="CF111" s="66"/>
      <c r="CG111" s="63"/>
      <c r="CH111" s="63"/>
      <c r="CI111" s="63"/>
      <c r="CJ111" s="63"/>
      <c r="CK111" s="63"/>
      <c r="CL111" s="63"/>
      <c r="CM111" s="166"/>
    </row>
    <row r="112" spans="1:91" s="58" customFormat="1" ht="15.95" customHeight="1">
      <c r="A112" s="143" t="s">
        <v>68</v>
      </c>
      <c r="B112" s="93">
        <v>1677</v>
      </c>
      <c r="C112" s="66">
        <f t="shared" ref="C112:C122" si="288">SUM(E112:I112)</f>
        <v>36430912</v>
      </c>
      <c r="D112" s="66">
        <f t="shared" ref="D112:D122" si="289">IFERROR(C112/B112,0)</f>
        <v>21723.859272510435</v>
      </c>
      <c r="E112" s="69"/>
      <c r="F112" s="69"/>
      <c r="G112" s="69"/>
      <c r="H112" s="69">
        <v>36430912</v>
      </c>
      <c r="I112" s="69"/>
      <c r="J112" s="69">
        <v>30284182</v>
      </c>
      <c r="K112" s="68">
        <f t="shared" ref="K112:K122" si="290">IF(J112=0,0,(IF(E112&lt;=J112,E112,J112)))</f>
        <v>0</v>
      </c>
      <c r="L112" s="159">
        <v>1660</v>
      </c>
      <c r="M112" s="66">
        <f t="shared" ref="M112:M122" si="291">SUM(O112:S112)</f>
        <v>35621974</v>
      </c>
      <c r="N112" s="66">
        <f t="shared" ref="N112:N122" si="292">IFERROR(M112/L112,0)</f>
        <v>21459.02048192771</v>
      </c>
      <c r="O112" s="69"/>
      <c r="P112" s="69"/>
      <c r="Q112" s="69"/>
      <c r="R112" s="69">
        <v>35621974</v>
      </c>
      <c r="S112" s="69"/>
      <c r="T112" s="69">
        <v>30020297</v>
      </c>
      <c r="U112" s="68">
        <f t="shared" ref="U112:U122" si="293">IF(T112=0,0,(IF(O112&lt;=T112,O112,T112)))</f>
        <v>0</v>
      </c>
      <c r="V112" s="59">
        <v>1766</v>
      </c>
      <c r="W112" s="66">
        <f t="shared" ref="W112:W122" si="294">SUM(Y112:AC112)</f>
        <v>37741274</v>
      </c>
      <c r="X112" s="66">
        <f t="shared" ref="X112:X122" si="295">IFERROR(W112/V112,0)</f>
        <v>21371.049830124575</v>
      </c>
      <c r="Y112" s="69"/>
      <c r="Z112" s="69"/>
      <c r="AA112" s="69"/>
      <c r="AB112" s="69">
        <v>37741274</v>
      </c>
      <c r="AC112" s="69"/>
      <c r="AD112" s="69">
        <v>31508867</v>
      </c>
      <c r="AE112" s="68">
        <f t="shared" ref="AE112:AE122" si="296">IF(AD112=0,0,(IF(Y112&lt;=AD112,Y112,AD112)))</f>
        <v>0</v>
      </c>
      <c r="AF112" s="59">
        <v>1778</v>
      </c>
      <c r="AG112" s="66">
        <f t="shared" ref="AG112:AG122" si="297">SUM(AI112:AM112)</f>
        <v>39334581</v>
      </c>
      <c r="AH112" s="66">
        <f t="shared" ref="AH112:AH122" si="298">IFERROR(AG112/AF112,0)</f>
        <v>22122.93644544432</v>
      </c>
      <c r="AI112" s="69"/>
      <c r="AJ112" s="69"/>
      <c r="AK112" s="69"/>
      <c r="AL112" s="69">
        <v>39334581</v>
      </c>
      <c r="AM112" s="69"/>
      <c r="AN112" s="69">
        <v>33184970</v>
      </c>
      <c r="AO112" s="68">
        <f t="shared" ref="AO112:AO122" si="299">IF(AN112=0,0,(IF(AI112&lt;=AN112,AI112,AN112)))</f>
        <v>0</v>
      </c>
      <c r="AP112" s="59">
        <v>1755</v>
      </c>
      <c r="AQ112" s="66">
        <f t="shared" ref="AQ112:AQ122" si="300">SUM(AS112:AW112)</f>
        <v>38927791</v>
      </c>
      <c r="AR112" s="66">
        <f t="shared" ref="AR112:AR122" si="301">IFERROR(AQ112/AP112,0)</f>
        <v>22181.077492877492</v>
      </c>
      <c r="AS112" s="69"/>
      <c r="AT112" s="69"/>
      <c r="AU112" s="69"/>
      <c r="AV112" s="69">
        <v>38927791</v>
      </c>
      <c r="AW112" s="69"/>
      <c r="AX112" s="69">
        <v>32913877</v>
      </c>
      <c r="AY112" s="68">
        <f t="shared" ref="AY112:AY122" si="302">IF(AX112=0,0,(IF(AS112&lt;=AX112,AS112,AX112)))</f>
        <v>0</v>
      </c>
      <c r="AZ112" s="356">
        <v>1770</v>
      </c>
      <c r="BA112" s="66">
        <f t="shared" ref="BA112:BA116" si="303">SUM(BC112:BG112)</f>
        <v>39644742</v>
      </c>
      <c r="BB112" s="66">
        <f t="shared" ref="BB112:BB116" si="304">IFERROR(BA112/AZ112,0)</f>
        <v>22398.159322033898</v>
      </c>
      <c r="BC112" s="66"/>
      <c r="BD112" s="66"/>
      <c r="BE112" s="66"/>
      <c r="BF112" s="66">
        <v>39644742</v>
      </c>
      <c r="BG112" s="66"/>
      <c r="BH112" s="66">
        <v>33061247</v>
      </c>
      <c r="BI112" s="357">
        <f t="shared" ref="BI112:BI122" si="305">IF(BH112=0,0,(IF(BC112&lt;=BH112,BC112,BH112)))</f>
        <v>0</v>
      </c>
      <c r="BJ112" s="358">
        <v>1823</v>
      </c>
      <c r="BK112" s="66">
        <f t="shared" ref="BK112:BK116" si="306">SUM(BM112:BQ112)</f>
        <v>41740088</v>
      </c>
      <c r="BL112" s="66">
        <f t="shared" ref="BL112:BL116" si="307">IFERROR(BK112/BJ112,0)</f>
        <v>22896.373011519474</v>
      </c>
      <c r="BM112" s="69"/>
      <c r="BN112" s="69"/>
      <c r="BO112" s="69"/>
      <c r="BP112" s="69">
        <v>41740088</v>
      </c>
      <c r="BQ112" s="69"/>
      <c r="BR112" s="69">
        <v>34072128</v>
      </c>
      <c r="BS112" s="68">
        <f t="shared" ref="BS112:BS122" si="308">IF(BR112=0,0,(IF(BM112&lt;=BR112,BM112,BR112)))</f>
        <v>0</v>
      </c>
      <c r="BT112" s="358">
        <v>1849</v>
      </c>
      <c r="BU112" s="66">
        <f t="shared" ref="BU112:BU122" si="309">SUM(BW112:CA112)</f>
        <v>42617145</v>
      </c>
      <c r="BV112" s="66">
        <f t="shared" ref="BV112:BV122" si="310">IFERROR(BU112/BT112,0)</f>
        <v>23048.753380205515</v>
      </c>
      <c r="BW112" s="69"/>
      <c r="BX112" s="69"/>
      <c r="BY112" s="69"/>
      <c r="BZ112" s="69">
        <v>42617145</v>
      </c>
      <c r="CA112" s="69"/>
      <c r="CB112" s="69">
        <v>34046901</v>
      </c>
      <c r="CC112" s="68">
        <f t="shared" ref="CC112:CC122" si="311">IF(CB112=0,0,(IF(BW112&lt;=CB112,BW112,CB112)))</f>
        <v>0</v>
      </c>
      <c r="CD112" s="244">
        <v>1974</v>
      </c>
      <c r="CE112" s="66">
        <f t="shared" ref="CE112:CE122" si="312">SUM(CG112:CK112)</f>
        <v>41427291</v>
      </c>
      <c r="CF112" s="66">
        <f t="shared" ref="CF112:CF122" si="313">IFERROR(CE112/CD112,0)</f>
        <v>20986.469604863221</v>
      </c>
      <c r="CG112" s="195"/>
      <c r="CH112" s="195"/>
      <c r="CI112" s="195"/>
      <c r="CJ112" s="195">
        <v>41427291</v>
      </c>
      <c r="CK112" s="195"/>
      <c r="CL112" s="195">
        <v>33458690</v>
      </c>
      <c r="CM112" s="403">
        <f t="shared" ref="CM112:CM122" si="314">IF(CL112=0,0,(IF(CG112&lt;=CL112,CG112,CL112)))</f>
        <v>0</v>
      </c>
    </row>
    <row r="113" spans="1:91" s="58" customFormat="1" ht="15.95" customHeight="1">
      <c r="A113" s="143" t="s">
        <v>195</v>
      </c>
      <c r="B113" s="93">
        <v>599</v>
      </c>
      <c r="C113" s="66">
        <f t="shared" si="288"/>
        <v>6582336</v>
      </c>
      <c r="D113" s="66">
        <f t="shared" si="289"/>
        <v>10988.874791318865</v>
      </c>
      <c r="E113" s="69"/>
      <c r="F113" s="69"/>
      <c r="G113" s="69"/>
      <c r="H113" s="69">
        <v>6582336</v>
      </c>
      <c r="I113" s="69"/>
      <c r="J113" s="69">
        <v>4743109</v>
      </c>
      <c r="K113" s="68">
        <f t="shared" si="290"/>
        <v>0</v>
      </c>
      <c r="L113" s="159">
        <v>594</v>
      </c>
      <c r="M113" s="66">
        <f t="shared" si="291"/>
        <v>7119600</v>
      </c>
      <c r="N113" s="66">
        <f t="shared" si="292"/>
        <v>11985.858585858587</v>
      </c>
      <c r="O113" s="69"/>
      <c r="P113" s="69"/>
      <c r="Q113" s="69"/>
      <c r="R113" s="69">
        <v>7119600</v>
      </c>
      <c r="S113" s="69"/>
      <c r="T113" s="69">
        <v>5261858</v>
      </c>
      <c r="U113" s="68">
        <f t="shared" si="293"/>
        <v>0</v>
      </c>
      <c r="V113" s="59">
        <v>662</v>
      </c>
      <c r="W113" s="66">
        <f t="shared" si="294"/>
        <v>10183846</v>
      </c>
      <c r="X113" s="66">
        <f t="shared" si="295"/>
        <v>15383.453172205438</v>
      </c>
      <c r="Y113" s="69"/>
      <c r="Z113" s="69"/>
      <c r="AA113" s="69"/>
      <c r="AB113" s="69">
        <v>10183846</v>
      </c>
      <c r="AC113" s="69"/>
      <c r="AD113" s="69">
        <v>6939783</v>
      </c>
      <c r="AE113" s="68">
        <f t="shared" si="296"/>
        <v>0</v>
      </c>
      <c r="AF113" s="59">
        <v>726</v>
      </c>
      <c r="AG113" s="66">
        <f t="shared" si="297"/>
        <v>12390550</v>
      </c>
      <c r="AH113" s="66">
        <f t="shared" si="298"/>
        <v>17066.873278236915</v>
      </c>
      <c r="AI113" s="69"/>
      <c r="AJ113" s="69"/>
      <c r="AK113" s="69"/>
      <c r="AL113" s="69">
        <v>12390550</v>
      </c>
      <c r="AM113" s="69"/>
      <c r="AN113" s="69">
        <v>8689721</v>
      </c>
      <c r="AO113" s="68">
        <f t="shared" si="299"/>
        <v>0</v>
      </c>
      <c r="AP113" s="59">
        <v>752</v>
      </c>
      <c r="AQ113" s="66">
        <f t="shared" si="300"/>
        <v>13059856</v>
      </c>
      <c r="AR113" s="66">
        <f t="shared" si="301"/>
        <v>17366.829787234041</v>
      </c>
      <c r="AS113" s="69"/>
      <c r="AT113" s="69"/>
      <c r="AU113" s="69"/>
      <c r="AV113" s="69">
        <v>13059856</v>
      </c>
      <c r="AW113" s="69"/>
      <c r="AX113" s="69">
        <v>9170460</v>
      </c>
      <c r="AY113" s="68">
        <f t="shared" si="302"/>
        <v>0</v>
      </c>
      <c r="AZ113" s="356">
        <v>775</v>
      </c>
      <c r="BA113" s="66">
        <f t="shared" si="303"/>
        <v>14939172</v>
      </c>
      <c r="BB113" s="66">
        <f t="shared" si="304"/>
        <v>19276.350967741935</v>
      </c>
      <c r="BC113" s="66"/>
      <c r="BD113" s="66"/>
      <c r="BE113" s="66"/>
      <c r="BF113" s="66">
        <v>14939172</v>
      </c>
      <c r="BG113" s="66"/>
      <c r="BH113" s="66">
        <v>10213875</v>
      </c>
      <c r="BI113" s="357">
        <f t="shared" si="305"/>
        <v>0</v>
      </c>
      <c r="BJ113" s="358">
        <v>779</v>
      </c>
      <c r="BK113" s="66">
        <f t="shared" si="306"/>
        <v>16772196</v>
      </c>
      <c r="BL113" s="66">
        <f t="shared" si="307"/>
        <v>21530.418485237486</v>
      </c>
      <c r="BM113" s="69"/>
      <c r="BN113" s="69"/>
      <c r="BO113" s="69"/>
      <c r="BP113" s="69">
        <v>16772196</v>
      </c>
      <c r="BQ113" s="69"/>
      <c r="BR113" s="69">
        <v>11720053</v>
      </c>
      <c r="BS113" s="68">
        <f t="shared" si="308"/>
        <v>0</v>
      </c>
      <c r="BT113" s="358">
        <v>835</v>
      </c>
      <c r="BU113" s="66">
        <f t="shared" si="309"/>
        <v>18205177</v>
      </c>
      <c r="BV113" s="66">
        <f t="shared" si="310"/>
        <v>21802.607185628742</v>
      </c>
      <c r="BW113" s="69"/>
      <c r="BX113" s="69"/>
      <c r="BY113" s="69"/>
      <c r="BZ113" s="69">
        <v>18205177</v>
      </c>
      <c r="CA113" s="69"/>
      <c r="CB113" s="69">
        <v>12164611</v>
      </c>
      <c r="CC113" s="68">
        <f t="shared" si="311"/>
        <v>0</v>
      </c>
      <c r="CD113" s="244">
        <v>1053</v>
      </c>
      <c r="CE113" s="66">
        <f t="shared" si="312"/>
        <v>20659755</v>
      </c>
      <c r="CF113" s="66">
        <f t="shared" si="313"/>
        <v>19619.900284900286</v>
      </c>
      <c r="CG113" s="195"/>
      <c r="CH113" s="195"/>
      <c r="CI113" s="195"/>
      <c r="CJ113" s="195">
        <v>20659755</v>
      </c>
      <c r="CK113" s="195"/>
      <c r="CL113" s="195">
        <v>13998877</v>
      </c>
      <c r="CM113" s="403">
        <f t="shared" si="314"/>
        <v>0</v>
      </c>
    </row>
    <row r="114" spans="1:91" s="58" customFormat="1" ht="15.95" customHeight="1">
      <c r="A114" s="143" t="s">
        <v>69</v>
      </c>
      <c r="B114" s="93">
        <v>63</v>
      </c>
      <c r="C114" s="66">
        <f t="shared" si="288"/>
        <v>885851</v>
      </c>
      <c r="D114" s="66">
        <f t="shared" si="289"/>
        <v>14061.126984126984</v>
      </c>
      <c r="E114" s="69"/>
      <c r="F114" s="69"/>
      <c r="G114" s="69"/>
      <c r="H114" s="69">
        <v>885851</v>
      </c>
      <c r="I114" s="69"/>
      <c r="J114" s="69">
        <v>652110</v>
      </c>
      <c r="K114" s="68">
        <f t="shared" si="290"/>
        <v>0</v>
      </c>
      <c r="L114" s="159">
        <v>37</v>
      </c>
      <c r="M114" s="66">
        <f t="shared" si="291"/>
        <v>484602</v>
      </c>
      <c r="N114" s="66">
        <f t="shared" si="292"/>
        <v>13097.351351351352</v>
      </c>
      <c r="O114" s="69"/>
      <c r="P114" s="69"/>
      <c r="Q114" s="69"/>
      <c r="R114" s="69">
        <v>484602</v>
      </c>
      <c r="S114" s="69"/>
      <c r="T114" s="69">
        <v>404322</v>
      </c>
      <c r="U114" s="68">
        <f t="shared" si="293"/>
        <v>0</v>
      </c>
      <c r="V114" s="59">
        <v>28</v>
      </c>
      <c r="W114" s="66">
        <f t="shared" si="294"/>
        <v>454425</v>
      </c>
      <c r="X114" s="66">
        <f t="shared" si="295"/>
        <v>16229.464285714286</v>
      </c>
      <c r="Y114" s="69"/>
      <c r="Z114" s="69"/>
      <c r="AA114" s="69"/>
      <c r="AB114" s="69">
        <v>454425</v>
      </c>
      <c r="AC114" s="69"/>
      <c r="AD114" s="69">
        <v>277855</v>
      </c>
      <c r="AE114" s="68">
        <f t="shared" si="296"/>
        <v>0</v>
      </c>
      <c r="AF114" s="59">
        <v>32</v>
      </c>
      <c r="AG114" s="66">
        <f t="shared" si="297"/>
        <v>532680</v>
      </c>
      <c r="AH114" s="66">
        <f t="shared" si="298"/>
        <v>16646.25</v>
      </c>
      <c r="AI114" s="69"/>
      <c r="AJ114" s="69"/>
      <c r="AK114" s="69"/>
      <c r="AL114" s="69">
        <v>532680</v>
      </c>
      <c r="AM114" s="69"/>
      <c r="AN114" s="69">
        <v>479675</v>
      </c>
      <c r="AO114" s="68">
        <f t="shared" si="299"/>
        <v>0</v>
      </c>
      <c r="AP114" s="59">
        <v>33</v>
      </c>
      <c r="AQ114" s="66">
        <f t="shared" si="300"/>
        <v>483010</v>
      </c>
      <c r="AR114" s="66">
        <f t="shared" si="301"/>
        <v>14636.666666666666</v>
      </c>
      <c r="AS114" s="69"/>
      <c r="AT114" s="69"/>
      <c r="AU114" s="69"/>
      <c r="AV114" s="69">
        <v>483010</v>
      </c>
      <c r="AW114" s="69"/>
      <c r="AX114" s="69">
        <v>461410</v>
      </c>
      <c r="AY114" s="68">
        <f t="shared" si="302"/>
        <v>0</v>
      </c>
      <c r="AZ114" s="356">
        <v>31</v>
      </c>
      <c r="BA114" s="66">
        <f t="shared" si="303"/>
        <v>429758</v>
      </c>
      <c r="BB114" s="66">
        <f t="shared" si="304"/>
        <v>13863.161290322581</v>
      </c>
      <c r="BC114" s="66"/>
      <c r="BD114" s="66"/>
      <c r="BE114" s="66"/>
      <c r="BF114" s="66">
        <v>429758</v>
      </c>
      <c r="BG114" s="66"/>
      <c r="BH114" s="66">
        <v>395298</v>
      </c>
      <c r="BI114" s="357">
        <f t="shared" si="305"/>
        <v>0</v>
      </c>
      <c r="BJ114" s="358">
        <v>54</v>
      </c>
      <c r="BK114" s="66">
        <f t="shared" si="306"/>
        <v>1027732</v>
      </c>
      <c r="BL114" s="66">
        <f t="shared" si="307"/>
        <v>19032.074074074073</v>
      </c>
      <c r="BM114" s="69"/>
      <c r="BN114" s="69"/>
      <c r="BO114" s="69"/>
      <c r="BP114" s="69">
        <v>1027732</v>
      </c>
      <c r="BQ114" s="69"/>
      <c r="BR114" s="69">
        <v>931232</v>
      </c>
      <c r="BS114" s="68">
        <f t="shared" si="308"/>
        <v>0</v>
      </c>
      <c r="BT114" s="358">
        <v>69</v>
      </c>
      <c r="BU114" s="66">
        <f t="shared" si="309"/>
        <v>1282675</v>
      </c>
      <c r="BV114" s="66">
        <f t="shared" si="310"/>
        <v>18589.492753623188</v>
      </c>
      <c r="BW114" s="69"/>
      <c r="BX114" s="69"/>
      <c r="BY114" s="69"/>
      <c r="BZ114" s="69">
        <v>1282675</v>
      </c>
      <c r="CA114" s="69"/>
      <c r="CB114" s="69">
        <v>1052675</v>
      </c>
      <c r="CC114" s="68">
        <f t="shared" si="311"/>
        <v>0</v>
      </c>
      <c r="CD114" s="244">
        <v>87</v>
      </c>
      <c r="CE114" s="66">
        <f t="shared" si="312"/>
        <v>1535588</v>
      </c>
      <c r="CF114" s="66">
        <f t="shared" si="313"/>
        <v>17650.436781609194</v>
      </c>
      <c r="CG114" s="195"/>
      <c r="CH114" s="195"/>
      <c r="CI114" s="195"/>
      <c r="CJ114" s="195">
        <v>1535588</v>
      </c>
      <c r="CK114" s="195"/>
      <c r="CL114" s="195">
        <v>1169478</v>
      </c>
      <c r="CM114" s="403">
        <f t="shared" si="314"/>
        <v>0</v>
      </c>
    </row>
    <row r="115" spans="1:91" s="58" customFormat="1" ht="15.95" customHeight="1">
      <c r="A115" s="143" t="s">
        <v>196</v>
      </c>
      <c r="B115" s="93">
        <v>96</v>
      </c>
      <c r="C115" s="66">
        <f t="shared" si="288"/>
        <v>1189401</v>
      </c>
      <c r="D115" s="66">
        <f t="shared" si="289"/>
        <v>12389.59375</v>
      </c>
      <c r="E115" s="69"/>
      <c r="F115" s="69"/>
      <c r="G115" s="69"/>
      <c r="H115" s="69"/>
      <c r="I115" s="69">
        <v>1189401</v>
      </c>
      <c r="J115" s="69">
        <v>719591</v>
      </c>
      <c r="K115" s="68">
        <f t="shared" si="290"/>
        <v>0</v>
      </c>
      <c r="L115" s="159">
        <v>102</v>
      </c>
      <c r="M115" s="66">
        <f t="shared" si="291"/>
        <v>1396087</v>
      </c>
      <c r="N115" s="66">
        <f t="shared" si="292"/>
        <v>13687.127450980392</v>
      </c>
      <c r="O115" s="69"/>
      <c r="P115" s="69"/>
      <c r="Q115" s="69"/>
      <c r="R115" s="69"/>
      <c r="S115" s="69">
        <v>1396087</v>
      </c>
      <c r="T115" s="69">
        <v>899798</v>
      </c>
      <c r="U115" s="68">
        <f t="shared" si="293"/>
        <v>0</v>
      </c>
      <c r="V115" s="59">
        <v>124</v>
      </c>
      <c r="W115" s="66">
        <f t="shared" si="294"/>
        <v>1968029</v>
      </c>
      <c r="X115" s="66">
        <f t="shared" si="295"/>
        <v>15871.201612903225</v>
      </c>
      <c r="Y115" s="69"/>
      <c r="Z115" s="69"/>
      <c r="AA115" s="69"/>
      <c r="AB115" s="69"/>
      <c r="AC115" s="69">
        <v>1968029</v>
      </c>
      <c r="AD115" s="69">
        <v>1435770</v>
      </c>
      <c r="AE115" s="68">
        <f t="shared" si="296"/>
        <v>0</v>
      </c>
      <c r="AF115" s="59">
        <v>138</v>
      </c>
      <c r="AG115" s="66">
        <f t="shared" si="297"/>
        <v>1974147</v>
      </c>
      <c r="AH115" s="66">
        <f t="shared" si="298"/>
        <v>14305.41304347826</v>
      </c>
      <c r="AI115" s="69"/>
      <c r="AJ115" s="69"/>
      <c r="AK115" s="69"/>
      <c r="AL115" s="69"/>
      <c r="AM115" s="69">
        <v>1974147</v>
      </c>
      <c r="AN115" s="69">
        <v>1471242</v>
      </c>
      <c r="AO115" s="68">
        <f t="shared" si="299"/>
        <v>0</v>
      </c>
      <c r="AP115" s="59">
        <v>170</v>
      </c>
      <c r="AQ115" s="66">
        <f t="shared" si="300"/>
        <v>2789852</v>
      </c>
      <c r="AR115" s="66">
        <f t="shared" si="301"/>
        <v>16410.894117647058</v>
      </c>
      <c r="AS115" s="69"/>
      <c r="AT115" s="69"/>
      <c r="AU115" s="69"/>
      <c r="AV115" s="69"/>
      <c r="AW115" s="69">
        <v>2789852</v>
      </c>
      <c r="AX115" s="69">
        <v>1997702</v>
      </c>
      <c r="AY115" s="68">
        <f t="shared" si="302"/>
        <v>0</v>
      </c>
      <c r="AZ115" s="356">
        <v>196</v>
      </c>
      <c r="BA115" s="66">
        <f t="shared" si="303"/>
        <v>3418563</v>
      </c>
      <c r="BB115" s="66">
        <f t="shared" si="304"/>
        <v>17441.647959183672</v>
      </c>
      <c r="BC115" s="66"/>
      <c r="BD115" s="66"/>
      <c r="BE115" s="66"/>
      <c r="BF115" s="66"/>
      <c r="BG115" s="66">
        <v>3418563</v>
      </c>
      <c r="BH115" s="66">
        <v>2324463</v>
      </c>
      <c r="BI115" s="357">
        <f t="shared" si="305"/>
        <v>0</v>
      </c>
      <c r="BJ115" s="358">
        <v>198</v>
      </c>
      <c r="BK115" s="66">
        <f t="shared" si="306"/>
        <v>3421223</v>
      </c>
      <c r="BL115" s="66">
        <f t="shared" si="307"/>
        <v>17278.904040404039</v>
      </c>
      <c r="BM115" s="69"/>
      <c r="BN115" s="69"/>
      <c r="BO115" s="69"/>
      <c r="BP115" s="69"/>
      <c r="BQ115" s="69">
        <v>3421223</v>
      </c>
      <c r="BR115" s="69">
        <v>2440862</v>
      </c>
      <c r="BS115" s="68">
        <f t="shared" si="308"/>
        <v>0</v>
      </c>
      <c r="BT115" s="358">
        <v>161</v>
      </c>
      <c r="BU115" s="66">
        <f t="shared" si="309"/>
        <v>2907143</v>
      </c>
      <c r="BV115" s="66">
        <f t="shared" si="310"/>
        <v>18056.788819875776</v>
      </c>
      <c r="BW115" s="69"/>
      <c r="BX115" s="69"/>
      <c r="BY115" s="69"/>
      <c r="BZ115" s="69"/>
      <c r="CA115" s="69">
        <v>2907143</v>
      </c>
      <c r="CB115" s="69">
        <v>2166323</v>
      </c>
      <c r="CC115" s="68">
        <f t="shared" si="311"/>
        <v>0</v>
      </c>
      <c r="CD115" s="244">
        <v>184</v>
      </c>
      <c r="CE115" s="66">
        <f t="shared" si="312"/>
        <v>3173691</v>
      </c>
      <c r="CF115" s="66">
        <f t="shared" si="313"/>
        <v>17248.320652173912</v>
      </c>
      <c r="CG115" s="195"/>
      <c r="CH115" s="195"/>
      <c r="CI115" s="195"/>
      <c r="CJ115" s="195"/>
      <c r="CK115" s="195">
        <v>3173691</v>
      </c>
      <c r="CL115" s="195">
        <v>2172726</v>
      </c>
      <c r="CM115" s="403">
        <f t="shared" si="314"/>
        <v>0</v>
      </c>
    </row>
    <row r="116" spans="1:91" s="58" customFormat="1" ht="15.95" customHeight="1">
      <c r="A116" s="143" t="s">
        <v>197</v>
      </c>
      <c r="B116" s="93">
        <v>16</v>
      </c>
      <c r="C116" s="66">
        <f t="shared" si="288"/>
        <v>603849</v>
      </c>
      <c r="D116" s="66">
        <f t="shared" si="289"/>
        <v>37740.5625</v>
      </c>
      <c r="E116" s="69"/>
      <c r="F116" s="69"/>
      <c r="G116" s="69">
        <v>603849</v>
      </c>
      <c r="H116" s="69"/>
      <c r="I116" s="69"/>
      <c r="J116" s="69"/>
      <c r="K116" s="68">
        <f t="shared" si="290"/>
        <v>0</v>
      </c>
      <c r="L116" s="159">
        <v>15</v>
      </c>
      <c r="M116" s="66">
        <f t="shared" si="291"/>
        <v>570699</v>
      </c>
      <c r="N116" s="66">
        <f t="shared" si="292"/>
        <v>38046.6</v>
      </c>
      <c r="O116" s="69"/>
      <c r="P116" s="69"/>
      <c r="Q116" s="69"/>
      <c r="R116" s="69"/>
      <c r="S116" s="69">
        <v>570699</v>
      </c>
      <c r="T116" s="69">
        <v>0</v>
      </c>
      <c r="U116" s="68">
        <f t="shared" si="293"/>
        <v>0</v>
      </c>
      <c r="V116" s="59">
        <v>15</v>
      </c>
      <c r="W116" s="66">
        <f t="shared" si="294"/>
        <v>1196277</v>
      </c>
      <c r="X116" s="66">
        <f t="shared" si="295"/>
        <v>79751.8</v>
      </c>
      <c r="Y116" s="69"/>
      <c r="Z116" s="69"/>
      <c r="AA116" s="69"/>
      <c r="AB116" s="69"/>
      <c r="AC116" s="69">
        <v>1196277</v>
      </c>
      <c r="AD116" s="69">
        <v>0</v>
      </c>
      <c r="AE116" s="68">
        <f t="shared" si="296"/>
        <v>0</v>
      </c>
      <c r="AF116" s="59">
        <v>15</v>
      </c>
      <c r="AG116" s="66">
        <f t="shared" si="297"/>
        <v>1115684</v>
      </c>
      <c r="AH116" s="66">
        <f t="shared" si="298"/>
        <v>74378.933333333334</v>
      </c>
      <c r="AI116" s="69"/>
      <c r="AJ116" s="69"/>
      <c r="AK116" s="69"/>
      <c r="AL116" s="69"/>
      <c r="AM116" s="69">
        <v>1115684</v>
      </c>
      <c r="AN116" s="69">
        <v>0</v>
      </c>
      <c r="AO116" s="68">
        <f t="shared" si="299"/>
        <v>0</v>
      </c>
      <c r="AP116" s="59">
        <v>16</v>
      </c>
      <c r="AQ116" s="66">
        <f t="shared" si="300"/>
        <v>1257556</v>
      </c>
      <c r="AR116" s="66">
        <f t="shared" si="301"/>
        <v>78597.25</v>
      </c>
      <c r="AS116" s="69"/>
      <c r="AT116" s="69"/>
      <c r="AU116" s="69"/>
      <c r="AV116" s="69"/>
      <c r="AW116" s="69">
        <v>1257556</v>
      </c>
      <c r="AX116" s="69">
        <v>0</v>
      </c>
      <c r="AY116" s="68">
        <f t="shared" si="302"/>
        <v>0</v>
      </c>
      <c r="AZ116" s="356">
        <v>16</v>
      </c>
      <c r="BA116" s="66">
        <f t="shared" si="303"/>
        <v>1254567</v>
      </c>
      <c r="BB116" s="66">
        <f t="shared" si="304"/>
        <v>78410.4375</v>
      </c>
      <c r="BC116" s="66">
        <v>589517</v>
      </c>
      <c r="BD116" s="66"/>
      <c r="BE116" s="66"/>
      <c r="BF116" s="66"/>
      <c r="BG116" s="66">
        <v>665050</v>
      </c>
      <c r="BH116" s="66">
        <v>0</v>
      </c>
      <c r="BI116" s="357">
        <f t="shared" si="305"/>
        <v>0</v>
      </c>
      <c r="BJ116" s="358">
        <v>14</v>
      </c>
      <c r="BK116" s="66">
        <f t="shared" si="306"/>
        <v>1117810</v>
      </c>
      <c r="BL116" s="66">
        <f t="shared" si="307"/>
        <v>79843.571428571435</v>
      </c>
      <c r="BM116" s="69">
        <v>508995</v>
      </c>
      <c r="BN116" s="69"/>
      <c r="BO116" s="69"/>
      <c r="BP116" s="69"/>
      <c r="BQ116" s="69">
        <v>608815</v>
      </c>
      <c r="BR116" s="69">
        <v>0</v>
      </c>
      <c r="BS116" s="68">
        <v>0</v>
      </c>
      <c r="BT116" s="358">
        <v>13</v>
      </c>
      <c r="BU116" s="66">
        <f t="shared" si="309"/>
        <v>1006377</v>
      </c>
      <c r="BV116" s="66">
        <f t="shared" si="310"/>
        <v>77413.61538461539</v>
      </c>
      <c r="BW116" s="69">
        <v>466590</v>
      </c>
      <c r="BX116" s="69"/>
      <c r="BY116" s="69"/>
      <c r="BZ116" s="69"/>
      <c r="CA116" s="69">
        <v>539787</v>
      </c>
      <c r="CB116" s="69">
        <v>0</v>
      </c>
      <c r="CC116" s="68">
        <f t="shared" si="311"/>
        <v>0</v>
      </c>
      <c r="CD116" s="244">
        <v>19</v>
      </c>
      <c r="CE116" s="66">
        <f t="shared" si="312"/>
        <v>785251</v>
      </c>
      <c r="CF116" s="66">
        <f t="shared" si="313"/>
        <v>41329</v>
      </c>
      <c r="CG116" s="195"/>
      <c r="CH116" s="195"/>
      <c r="CI116" s="195"/>
      <c r="CJ116" s="195"/>
      <c r="CK116" s="195">
        <v>785251</v>
      </c>
      <c r="CL116" s="195">
        <v>0</v>
      </c>
      <c r="CM116" s="403">
        <f t="shared" si="314"/>
        <v>0</v>
      </c>
    </row>
    <row r="117" spans="1:91" s="58" customFormat="1" ht="15.95" customHeight="1">
      <c r="A117" s="367"/>
      <c r="B117" s="93"/>
      <c r="C117" s="66">
        <f t="shared" ref="C117:C119" si="315">SUM(E117:I117)</f>
        <v>0</v>
      </c>
      <c r="D117" s="66">
        <f t="shared" ref="D117:D119" si="316">IFERROR(C117/B117,0)</f>
        <v>0</v>
      </c>
      <c r="E117" s="69"/>
      <c r="F117" s="69"/>
      <c r="G117" s="69"/>
      <c r="H117" s="69"/>
      <c r="I117" s="69"/>
      <c r="J117" s="69"/>
      <c r="K117" s="68">
        <f t="shared" ref="K117:K119" si="317">IF(J117=0,0,(IF(E117&lt;=J117,E117,J117)))</f>
        <v>0</v>
      </c>
      <c r="L117" s="159"/>
      <c r="M117" s="66">
        <f t="shared" ref="M117:M119" si="318">SUM(O117:S117)</f>
        <v>0</v>
      </c>
      <c r="N117" s="66">
        <f t="shared" ref="N117:N119" si="319">IFERROR(M117/L117,0)</f>
        <v>0</v>
      </c>
      <c r="O117" s="69"/>
      <c r="P117" s="69"/>
      <c r="Q117" s="69"/>
      <c r="R117" s="69"/>
      <c r="S117" s="69"/>
      <c r="T117" s="69"/>
      <c r="U117" s="68">
        <f t="shared" ref="U117:U119" si="320">IF(T117=0,0,(IF(O117&lt;=T117,O117,T117)))</f>
        <v>0</v>
      </c>
      <c r="V117" s="59"/>
      <c r="W117" s="66">
        <f t="shared" ref="W117:W119" si="321">SUM(Y117:AC117)</f>
        <v>0</v>
      </c>
      <c r="X117" s="66">
        <f t="shared" ref="X117:X119" si="322">IFERROR(W117/V117,0)</f>
        <v>0</v>
      </c>
      <c r="Y117" s="69"/>
      <c r="Z117" s="69"/>
      <c r="AA117" s="69"/>
      <c r="AB117" s="69"/>
      <c r="AC117" s="69"/>
      <c r="AD117" s="69"/>
      <c r="AE117" s="68">
        <f t="shared" ref="AE117:AE119" si="323">IF(AD117=0,0,(IF(Y117&lt;=AD117,Y117,AD117)))</f>
        <v>0</v>
      </c>
      <c r="AF117" s="59"/>
      <c r="AG117" s="66">
        <f t="shared" ref="AG117:AG119" si="324">SUM(AI117:AM117)</f>
        <v>0</v>
      </c>
      <c r="AH117" s="66">
        <f t="shared" ref="AH117:AH119" si="325">IFERROR(AG117/AF117,0)</f>
        <v>0</v>
      </c>
      <c r="AI117" s="69"/>
      <c r="AJ117" s="69"/>
      <c r="AK117" s="69"/>
      <c r="AL117" s="69"/>
      <c r="AM117" s="69"/>
      <c r="AN117" s="69"/>
      <c r="AO117" s="68">
        <f t="shared" ref="AO117:AO119" si="326">IF(AN117=0,0,(IF(AI117&lt;=AN117,AI117,AN117)))</f>
        <v>0</v>
      </c>
      <c r="AP117" s="59"/>
      <c r="AQ117" s="66">
        <f t="shared" ref="AQ117:AQ119" si="327">SUM(AS117:AW117)</f>
        <v>0</v>
      </c>
      <c r="AR117" s="66">
        <f t="shared" ref="AR117:AR119" si="328">IFERROR(AQ117/AP117,0)</f>
        <v>0</v>
      </c>
      <c r="AS117" s="69"/>
      <c r="AT117" s="69"/>
      <c r="AU117" s="69"/>
      <c r="AV117" s="69"/>
      <c r="AW117" s="69"/>
      <c r="AX117" s="69"/>
      <c r="AY117" s="68">
        <f t="shared" ref="AY117:AY119" si="329">IF(AX117=0,0,(IF(AS117&lt;=AX117,AS117,AX117)))</f>
        <v>0</v>
      </c>
      <c r="AZ117" s="356"/>
      <c r="BA117" s="66">
        <f t="shared" ref="BA117:BA122" si="330">SUM(BC117:BG117)</f>
        <v>0</v>
      </c>
      <c r="BB117" s="66">
        <f t="shared" ref="BB117:BB122" si="331">IFERROR(BA117/AZ117,0)</f>
        <v>0</v>
      </c>
      <c r="BC117" s="66"/>
      <c r="BD117" s="66"/>
      <c r="BE117" s="66"/>
      <c r="BF117" s="66"/>
      <c r="BG117" s="66"/>
      <c r="BH117" s="66"/>
      <c r="BI117" s="357">
        <f t="shared" si="305"/>
        <v>0</v>
      </c>
      <c r="BJ117" s="358"/>
      <c r="BK117" s="66"/>
      <c r="BL117" s="66"/>
      <c r="BM117" s="69"/>
      <c r="BN117" s="69"/>
      <c r="BO117" s="69"/>
      <c r="BP117" s="69"/>
      <c r="BQ117" s="69"/>
      <c r="BR117" s="69"/>
      <c r="BS117" s="68">
        <f t="shared" si="308"/>
        <v>0</v>
      </c>
      <c r="BT117" s="358"/>
      <c r="BU117" s="66">
        <f t="shared" si="309"/>
        <v>0</v>
      </c>
      <c r="BV117" s="66">
        <f t="shared" si="310"/>
        <v>0</v>
      </c>
      <c r="BW117" s="69"/>
      <c r="BX117" s="69"/>
      <c r="BY117" s="69"/>
      <c r="BZ117" s="69"/>
      <c r="CA117" s="69"/>
      <c r="CB117" s="69"/>
      <c r="CC117" s="68">
        <f t="shared" si="311"/>
        <v>0</v>
      </c>
      <c r="CD117" s="244"/>
      <c r="CE117" s="66">
        <f t="shared" si="312"/>
        <v>0</v>
      </c>
      <c r="CF117" s="66">
        <f t="shared" si="313"/>
        <v>0</v>
      </c>
      <c r="CG117" s="195"/>
      <c r="CH117" s="195"/>
      <c r="CI117" s="195"/>
      <c r="CJ117" s="195"/>
      <c r="CK117" s="195"/>
      <c r="CL117" s="195"/>
      <c r="CM117" s="403">
        <f t="shared" si="314"/>
        <v>0</v>
      </c>
    </row>
    <row r="118" spans="1:91" s="58" customFormat="1" ht="15.95" customHeight="1">
      <c r="A118" s="367"/>
      <c r="B118" s="93"/>
      <c r="C118" s="66">
        <f t="shared" si="315"/>
        <v>0</v>
      </c>
      <c r="D118" s="66">
        <f t="shared" si="316"/>
        <v>0</v>
      </c>
      <c r="E118" s="69"/>
      <c r="F118" s="69"/>
      <c r="G118" s="69"/>
      <c r="H118" s="69"/>
      <c r="I118" s="69"/>
      <c r="J118" s="69"/>
      <c r="K118" s="68">
        <f t="shared" si="317"/>
        <v>0</v>
      </c>
      <c r="L118" s="159"/>
      <c r="M118" s="66">
        <f t="shared" si="318"/>
        <v>0</v>
      </c>
      <c r="N118" s="66">
        <f t="shared" si="319"/>
        <v>0</v>
      </c>
      <c r="O118" s="69"/>
      <c r="P118" s="69"/>
      <c r="Q118" s="69"/>
      <c r="R118" s="69"/>
      <c r="S118" s="69"/>
      <c r="T118" s="69"/>
      <c r="U118" s="68">
        <f t="shared" si="320"/>
        <v>0</v>
      </c>
      <c r="V118" s="59"/>
      <c r="W118" s="66">
        <f t="shared" si="321"/>
        <v>0</v>
      </c>
      <c r="X118" s="66">
        <f t="shared" si="322"/>
        <v>0</v>
      </c>
      <c r="Y118" s="69"/>
      <c r="Z118" s="69"/>
      <c r="AA118" s="69"/>
      <c r="AB118" s="69"/>
      <c r="AC118" s="69"/>
      <c r="AD118" s="69"/>
      <c r="AE118" s="68">
        <f t="shared" si="323"/>
        <v>0</v>
      </c>
      <c r="AF118" s="59"/>
      <c r="AG118" s="66">
        <f t="shared" si="324"/>
        <v>0</v>
      </c>
      <c r="AH118" s="66">
        <f t="shared" si="325"/>
        <v>0</v>
      </c>
      <c r="AI118" s="69"/>
      <c r="AJ118" s="69"/>
      <c r="AK118" s="69"/>
      <c r="AL118" s="69"/>
      <c r="AM118" s="69"/>
      <c r="AN118" s="69"/>
      <c r="AO118" s="68">
        <f t="shared" si="326"/>
        <v>0</v>
      </c>
      <c r="AP118" s="59"/>
      <c r="AQ118" s="66">
        <f t="shared" si="327"/>
        <v>0</v>
      </c>
      <c r="AR118" s="66">
        <f t="shared" si="328"/>
        <v>0</v>
      </c>
      <c r="AS118" s="69"/>
      <c r="AT118" s="69"/>
      <c r="AU118" s="69"/>
      <c r="AV118" s="69"/>
      <c r="AW118" s="69"/>
      <c r="AX118" s="69"/>
      <c r="AY118" s="68">
        <f t="shared" si="329"/>
        <v>0</v>
      </c>
      <c r="AZ118" s="356"/>
      <c r="BA118" s="66">
        <f t="shared" si="330"/>
        <v>0</v>
      </c>
      <c r="BB118" s="66">
        <f t="shared" si="331"/>
        <v>0</v>
      </c>
      <c r="BC118" s="66"/>
      <c r="BD118" s="66"/>
      <c r="BE118" s="66"/>
      <c r="BF118" s="66"/>
      <c r="BG118" s="66"/>
      <c r="BH118" s="66"/>
      <c r="BI118" s="357">
        <f t="shared" si="305"/>
        <v>0</v>
      </c>
      <c r="BJ118" s="358"/>
      <c r="BK118" s="66"/>
      <c r="BL118" s="66"/>
      <c r="BM118" s="69"/>
      <c r="BN118" s="69"/>
      <c r="BO118" s="69"/>
      <c r="BP118" s="69"/>
      <c r="BQ118" s="69"/>
      <c r="BR118" s="69"/>
      <c r="BS118" s="68">
        <f t="shared" si="308"/>
        <v>0</v>
      </c>
      <c r="BT118" s="358"/>
      <c r="BU118" s="66">
        <f t="shared" si="309"/>
        <v>0</v>
      </c>
      <c r="BV118" s="66">
        <f t="shared" si="310"/>
        <v>0</v>
      </c>
      <c r="BW118" s="69"/>
      <c r="BX118" s="69"/>
      <c r="BY118" s="69"/>
      <c r="BZ118" s="69"/>
      <c r="CA118" s="69"/>
      <c r="CB118" s="69"/>
      <c r="CC118" s="68">
        <f t="shared" si="311"/>
        <v>0</v>
      </c>
      <c r="CD118" s="244"/>
      <c r="CE118" s="66">
        <f t="shared" si="312"/>
        <v>0</v>
      </c>
      <c r="CF118" s="66">
        <f t="shared" si="313"/>
        <v>0</v>
      </c>
      <c r="CG118" s="195"/>
      <c r="CH118" s="195"/>
      <c r="CI118" s="195"/>
      <c r="CJ118" s="195"/>
      <c r="CK118" s="195"/>
      <c r="CL118" s="195"/>
      <c r="CM118" s="403">
        <f t="shared" si="314"/>
        <v>0</v>
      </c>
    </row>
    <row r="119" spans="1:91" s="58" customFormat="1" ht="15.95" customHeight="1">
      <c r="A119" s="367"/>
      <c r="B119" s="93"/>
      <c r="C119" s="66">
        <f t="shared" si="315"/>
        <v>0</v>
      </c>
      <c r="D119" s="66">
        <f t="shared" si="316"/>
        <v>0</v>
      </c>
      <c r="E119" s="69"/>
      <c r="F119" s="69"/>
      <c r="G119" s="69"/>
      <c r="H119" s="69"/>
      <c r="I119" s="69"/>
      <c r="J119" s="69"/>
      <c r="K119" s="68">
        <f t="shared" si="317"/>
        <v>0</v>
      </c>
      <c r="L119" s="159"/>
      <c r="M119" s="66">
        <f t="shared" si="318"/>
        <v>0</v>
      </c>
      <c r="N119" s="66">
        <f t="shared" si="319"/>
        <v>0</v>
      </c>
      <c r="O119" s="69"/>
      <c r="P119" s="69"/>
      <c r="Q119" s="69"/>
      <c r="R119" s="69"/>
      <c r="S119" s="69"/>
      <c r="T119" s="69"/>
      <c r="U119" s="68">
        <f t="shared" si="320"/>
        <v>0</v>
      </c>
      <c r="V119" s="59"/>
      <c r="W119" s="66">
        <f t="shared" si="321"/>
        <v>0</v>
      </c>
      <c r="X119" s="66">
        <f t="shared" si="322"/>
        <v>0</v>
      </c>
      <c r="Y119" s="69"/>
      <c r="Z119" s="69"/>
      <c r="AA119" s="69"/>
      <c r="AB119" s="69"/>
      <c r="AC119" s="69"/>
      <c r="AD119" s="69"/>
      <c r="AE119" s="68">
        <f t="shared" si="323"/>
        <v>0</v>
      </c>
      <c r="AF119" s="59"/>
      <c r="AG119" s="66">
        <f t="shared" si="324"/>
        <v>0</v>
      </c>
      <c r="AH119" s="66">
        <f t="shared" si="325"/>
        <v>0</v>
      </c>
      <c r="AI119" s="69"/>
      <c r="AJ119" s="69"/>
      <c r="AK119" s="69"/>
      <c r="AL119" s="69"/>
      <c r="AM119" s="69"/>
      <c r="AN119" s="69"/>
      <c r="AO119" s="68">
        <f t="shared" si="326"/>
        <v>0</v>
      </c>
      <c r="AP119" s="59"/>
      <c r="AQ119" s="66">
        <f t="shared" si="327"/>
        <v>0</v>
      </c>
      <c r="AR119" s="66">
        <f t="shared" si="328"/>
        <v>0</v>
      </c>
      <c r="AS119" s="69"/>
      <c r="AT119" s="69"/>
      <c r="AU119" s="69"/>
      <c r="AV119" s="69"/>
      <c r="AW119" s="69"/>
      <c r="AX119" s="69"/>
      <c r="AY119" s="68">
        <f t="shared" si="329"/>
        <v>0</v>
      </c>
      <c r="AZ119" s="356"/>
      <c r="BA119" s="66">
        <f t="shared" si="330"/>
        <v>0</v>
      </c>
      <c r="BB119" s="66">
        <f t="shared" si="331"/>
        <v>0</v>
      </c>
      <c r="BC119" s="66"/>
      <c r="BD119" s="66"/>
      <c r="BE119" s="66"/>
      <c r="BF119" s="66"/>
      <c r="BG119" s="66"/>
      <c r="BH119" s="66"/>
      <c r="BI119" s="357">
        <f t="shared" si="305"/>
        <v>0</v>
      </c>
      <c r="BJ119" s="358"/>
      <c r="BK119" s="66"/>
      <c r="BL119" s="66"/>
      <c r="BM119" s="69"/>
      <c r="BN119" s="69"/>
      <c r="BO119" s="69"/>
      <c r="BP119" s="69"/>
      <c r="BQ119" s="69"/>
      <c r="BR119" s="69"/>
      <c r="BS119" s="68">
        <f t="shared" si="308"/>
        <v>0</v>
      </c>
      <c r="BT119" s="358"/>
      <c r="BU119" s="66">
        <f t="shared" si="309"/>
        <v>0</v>
      </c>
      <c r="BV119" s="66">
        <f t="shared" si="310"/>
        <v>0</v>
      </c>
      <c r="BW119" s="69"/>
      <c r="BX119" s="69"/>
      <c r="BY119" s="69"/>
      <c r="BZ119" s="69"/>
      <c r="CA119" s="69"/>
      <c r="CB119" s="69"/>
      <c r="CC119" s="68">
        <f t="shared" si="311"/>
        <v>0</v>
      </c>
      <c r="CD119" s="244"/>
      <c r="CE119" s="66">
        <f t="shared" si="312"/>
        <v>0</v>
      </c>
      <c r="CF119" s="66">
        <f t="shared" si="313"/>
        <v>0</v>
      </c>
      <c r="CG119" s="195"/>
      <c r="CH119" s="195"/>
      <c r="CI119" s="195"/>
      <c r="CJ119" s="195"/>
      <c r="CK119" s="195"/>
      <c r="CL119" s="195"/>
      <c r="CM119" s="403">
        <f t="shared" si="314"/>
        <v>0</v>
      </c>
    </row>
    <row r="120" spans="1:91" s="58" customFormat="1" ht="15.95" customHeight="1">
      <c r="A120" s="367"/>
      <c r="B120" s="93"/>
      <c r="C120" s="66">
        <f t="shared" si="288"/>
        <v>0</v>
      </c>
      <c r="D120" s="66">
        <f t="shared" si="289"/>
        <v>0</v>
      </c>
      <c r="E120" s="69"/>
      <c r="F120" s="69"/>
      <c r="G120" s="69"/>
      <c r="H120" s="69"/>
      <c r="I120" s="69"/>
      <c r="J120" s="69"/>
      <c r="K120" s="68">
        <f t="shared" si="290"/>
        <v>0</v>
      </c>
      <c r="L120" s="159"/>
      <c r="M120" s="66">
        <f t="shared" si="291"/>
        <v>0</v>
      </c>
      <c r="N120" s="66">
        <f t="shared" si="292"/>
        <v>0</v>
      </c>
      <c r="O120" s="69"/>
      <c r="P120" s="69"/>
      <c r="Q120" s="69"/>
      <c r="R120" s="69"/>
      <c r="S120" s="69"/>
      <c r="T120" s="69"/>
      <c r="U120" s="68">
        <f t="shared" si="293"/>
        <v>0</v>
      </c>
      <c r="V120" s="59"/>
      <c r="W120" s="66">
        <f t="shared" si="294"/>
        <v>0</v>
      </c>
      <c r="X120" s="66">
        <f t="shared" si="295"/>
        <v>0</v>
      </c>
      <c r="Y120" s="69"/>
      <c r="Z120" s="69"/>
      <c r="AA120" s="69"/>
      <c r="AB120" s="69"/>
      <c r="AC120" s="69"/>
      <c r="AD120" s="69"/>
      <c r="AE120" s="68">
        <f t="shared" si="296"/>
        <v>0</v>
      </c>
      <c r="AF120" s="59"/>
      <c r="AG120" s="66">
        <f t="shared" si="297"/>
        <v>0</v>
      </c>
      <c r="AH120" s="66">
        <f t="shared" si="298"/>
        <v>0</v>
      </c>
      <c r="AI120" s="69"/>
      <c r="AJ120" s="69"/>
      <c r="AK120" s="69"/>
      <c r="AL120" s="69"/>
      <c r="AM120" s="69"/>
      <c r="AN120" s="69"/>
      <c r="AO120" s="68">
        <f t="shared" si="299"/>
        <v>0</v>
      </c>
      <c r="AP120" s="59"/>
      <c r="AQ120" s="66">
        <f t="shared" si="300"/>
        <v>0</v>
      </c>
      <c r="AR120" s="66">
        <f t="shared" si="301"/>
        <v>0</v>
      </c>
      <c r="AS120" s="69"/>
      <c r="AT120" s="69"/>
      <c r="AU120" s="69"/>
      <c r="AV120" s="69"/>
      <c r="AW120" s="69"/>
      <c r="AX120" s="69"/>
      <c r="AY120" s="68">
        <f t="shared" si="302"/>
        <v>0</v>
      </c>
      <c r="AZ120" s="356"/>
      <c r="BA120" s="66">
        <f t="shared" si="330"/>
        <v>0</v>
      </c>
      <c r="BB120" s="66">
        <f t="shared" si="331"/>
        <v>0</v>
      </c>
      <c r="BC120" s="66"/>
      <c r="BD120" s="66"/>
      <c r="BE120" s="66"/>
      <c r="BF120" s="66"/>
      <c r="BG120" s="66"/>
      <c r="BH120" s="66"/>
      <c r="BI120" s="357">
        <f t="shared" si="305"/>
        <v>0</v>
      </c>
      <c r="BJ120" s="358"/>
      <c r="BK120" s="66"/>
      <c r="BL120" s="66"/>
      <c r="BM120" s="69"/>
      <c r="BN120" s="69"/>
      <c r="BO120" s="69"/>
      <c r="BP120" s="69"/>
      <c r="BQ120" s="69"/>
      <c r="BR120" s="69"/>
      <c r="BS120" s="68">
        <f t="shared" si="308"/>
        <v>0</v>
      </c>
      <c r="BT120" s="358"/>
      <c r="BU120" s="66">
        <f t="shared" si="309"/>
        <v>0</v>
      </c>
      <c r="BV120" s="66">
        <f t="shared" si="310"/>
        <v>0</v>
      </c>
      <c r="BW120" s="69"/>
      <c r="BX120" s="69"/>
      <c r="BY120" s="69"/>
      <c r="BZ120" s="69"/>
      <c r="CA120" s="69"/>
      <c r="CB120" s="69"/>
      <c r="CC120" s="68">
        <f t="shared" si="311"/>
        <v>0</v>
      </c>
      <c r="CD120" s="244"/>
      <c r="CE120" s="66">
        <f t="shared" si="312"/>
        <v>0</v>
      </c>
      <c r="CF120" s="66">
        <f t="shared" si="313"/>
        <v>0</v>
      </c>
      <c r="CG120" s="195"/>
      <c r="CH120" s="195"/>
      <c r="CI120" s="195"/>
      <c r="CJ120" s="195"/>
      <c r="CK120" s="195"/>
      <c r="CL120" s="195"/>
      <c r="CM120" s="403">
        <f t="shared" si="314"/>
        <v>0</v>
      </c>
    </row>
    <row r="121" spans="1:91" s="58" customFormat="1" ht="15.95" customHeight="1">
      <c r="A121" s="367"/>
      <c r="B121" s="93"/>
      <c r="C121" s="66">
        <f t="shared" ref="C121" si="332">SUM(E121:I121)</f>
        <v>0</v>
      </c>
      <c r="D121" s="66">
        <f t="shared" si="289"/>
        <v>0</v>
      </c>
      <c r="E121" s="69"/>
      <c r="F121" s="69"/>
      <c r="G121" s="69"/>
      <c r="H121" s="69"/>
      <c r="I121" s="69"/>
      <c r="J121" s="69"/>
      <c r="K121" s="68">
        <f t="shared" si="290"/>
        <v>0</v>
      </c>
      <c r="L121" s="159"/>
      <c r="M121" s="66">
        <f t="shared" si="291"/>
        <v>0</v>
      </c>
      <c r="N121" s="66">
        <f t="shared" si="292"/>
        <v>0</v>
      </c>
      <c r="O121" s="69"/>
      <c r="P121" s="69"/>
      <c r="Q121" s="69"/>
      <c r="R121" s="69"/>
      <c r="S121" s="69"/>
      <c r="T121" s="69"/>
      <c r="U121" s="68">
        <f t="shared" si="293"/>
        <v>0</v>
      </c>
      <c r="V121" s="59"/>
      <c r="W121" s="66">
        <f t="shared" si="294"/>
        <v>0</v>
      </c>
      <c r="X121" s="66">
        <f t="shared" si="295"/>
        <v>0</v>
      </c>
      <c r="Y121" s="69"/>
      <c r="Z121" s="69"/>
      <c r="AA121" s="69"/>
      <c r="AB121" s="69"/>
      <c r="AC121" s="69"/>
      <c r="AD121" s="69"/>
      <c r="AE121" s="68">
        <f t="shared" si="296"/>
        <v>0</v>
      </c>
      <c r="AF121" s="59"/>
      <c r="AG121" s="66">
        <f t="shared" si="297"/>
        <v>0</v>
      </c>
      <c r="AH121" s="66">
        <f t="shared" si="298"/>
        <v>0</v>
      </c>
      <c r="AI121" s="69"/>
      <c r="AJ121" s="69"/>
      <c r="AK121" s="69"/>
      <c r="AL121" s="69"/>
      <c r="AM121" s="69"/>
      <c r="AN121" s="69"/>
      <c r="AO121" s="68">
        <f t="shared" si="299"/>
        <v>0</v>
      </c>
      <c r="AP121" s="59"/>
      <c r="AQ121" s="66">
        <f t="shared" si="300"/>
        <v>0</v>
      </c>
      <c r="AR121" s="66">
        <f t="shared" si="301"/>
        <v>0</v>
      </c>
      <c r="AS121" s="69"/>
      <c r="AT121" s="69"/>
      <c r="AU121" s="69"/>
      <c r="AV121" s="69"/>
      <c r="AW121" s="69"/>
      <c r="AX121" s="69"/>
      <c r="AY121" s="68">
        <f t="shared" si="302"/>
        <v>0</v>
      </c>
      <c r="AZ121" s="356"/>
      <c r="BA121" s="66">
        <f t="shared" si="330"/>
        <v>0</v>
      </c>
      <c r="BB121" s="66">
        <f t="shared" si="331"/>
        <v>0</v>
      </c>
      <c r="BC121" s="66"/>
      <c r="BD121" s="66"/>
      <c r="BE121" s="66"/>
      <c r="BF121" s="66"/>
      <c r="BG121" s="66"/>
      <c r="BH121" s="66"/>
      <c r="BI121" s="357">
        <f t="shared" si="305"/>
        <v>0</v>
      </c>
      <c r="BJ121" s="358"/>
      <c r="BK121" s="66"/>
      <c r="BL121" s="66"/>
      <c r="BM121" s="69"/>
      <c r="BN121" s="69"/>
      <c r="BO121" s="69"/>
      <c r="BP121" s="69"/>
      <c r="BQ121" s="69"/>
      <c r="BR121" s="69"/>
      <c r="BS121" s="68">
        <f t="shared" si="308"/>
        <v>0</v>
      </c>
      <c r="BT121" s="358"/>
      <c r="BU121" s="66">
        <f t="shared" si="309"/>
        <v>0</v>
      </c>
      <c r="BV121" s="66">
        <f t="shared" si="310"/>
        <v>0</v>
      </c>
      <c r="BW121" s="69"/>
      <c r="BX121" s="69"/>
      <c r="BY121" s="69"/>
      <c r="BZ121" s="69"/>
      <c r="CA121" s="69"/>
      <c r="CB121" s="69"/>
      <c r="CC121" s="68">
        <f t="shared" si="311"/>
        <v>0</v>
      </c>
      <c r="CD121" s="244"/>
      <c r="CE121" s="66">
        <f t="shared" si="312"/>
        <v>0</v>
      </c>
      <c r="CF121" s="66">
        <f t="shared" si="313"/>
        <v>0</v>
      </c>
      <c r="CG121" s="195"/>
      <c r="CH121" s="195"/>
      <c r="CI121" s="195"/>
      <c r="CJ121" s="195"/>
      <c r="CK121" s="195"/>
      <c r="CL121" s="195"/>
      <c r="CM121" s="403">
        <f t="shared" si="314"/>
        <v>0</v>
      </c>
    </row>
    <row r="122" spans="1:91" s="58" customFormat="1" ht="15.95" customHeight="1">
      <c r="A122" s="367"/>
      <c r="B122" s="93"/>
      <c r="C122" s="66">
        <f t="shared" si="288"/>
        <v>0</v>
      </c>
      <c r="D122" s="66">
        <f t="shared" si="289"/>
        <v>0</v>
      </c>
      <c r="E122" s="69"/>
      <c r="F122" s="69"/>
      <c r="G122" s="69"/>
      <c r="H122" s="69"/>
      <c r="I122" s="69"/>
      <c r="J122" s="69"/>
      <c r="K122" s="68">
        <f t="shared" si="290"/>
        <v>0</v>
      </c>
      <c r="L122" s="159"/>
      <c r="M122" s="66">
        <f t="shared" si="291"/>
        <v>0</v>
      </c>
      <c r="N122" s="66">
        <f t="shared" si="292"/>
        <v>0</v>
      </c>
      <c r="O122" s="69"/>
      <c r="P122" s="69"/>
      <c r="Q122" s="69"/>
      <c r="R122" s="69"/>
      <c r="S122" s="69"/>
      <c r="T122" s="69"/>
      <c r="U122" s="68">
        <f t="shared" si="293"/>
        <v>0</v>
      </c>
      <c r="V122" s="59"/>
      <c r="W122" s="66">
        <f t="shared" si="294"/>
        <v>0</v>
      </c>
      <c r="X122" s="66">
        <f t="shared" si="295"/>
        <v>0</v>
      </c>
      <c r="Y122" s="69"/>
      <c r="Z122" s="69"/>
      <c r="AA122" s="69"/>
      <c r="AB122" s="69"/>
      <c r="AC122" s="69"/>
      <c r="AD122" s="69"/>
      <c r="AE122" s="68">
        <f t="shared" si="296"/>
        <v>0</v>
      </c>
      <c r="AF122" s="59"/>
      <c r="AG122" s="66">
        <f t="shared" si="297"/>
        <v>0</v>
      </c>
      <c r="AH122" s="66">
        <f t="shared" si="298"/>
        <v>0</v>
      </c>
      <c r="AI122" s="69"/>
      <c r="AJ122" s="69"/>
      <c r="AK122" s="69"/>
      <c r="AL122" s="69"/>
      <c r="AM122" s="69"/>
      <c r="AN122" s="69"/>
      <c r="AO122" s="68">
        <f t="shared" si="299"/>
        <v>0</v>
      </c>
      <c r="AP122" s="59"/>
      <c r="AQ122" s="66">
        <f t="shared" si="300"/>
        <v>0</v>
      </c>
      <c r="AR122" s="66">
        <f t="shared" si="301"/>
        <v>0</v>
      </c>
      <c r="AS122" s="69"/>
      <c r="AT122" s="69"/>
      <c r="AU122" s="69"/>
      <c r="AV122" s="69"/>
      <c r="AW122" s="69"/>
      <c r="AX122" s="69"/>
      <c r="AY122" s="68">
        <f t="shared" si="302"/>
        <v>0</v>
      </c>
      <c r="AZ122" s="356"/>
      <c r="BA122" s="66">
        <f t="shared" si="330"/>
        <v>0</v>
      </c>
      <c r="BB122" s="66">
        <f t="shared" si="331"/>
        <v>0</v>
      </c>
      <c r="BC122" s="66"/>
      <c r="BD122" s="66"/>
      <c r="BE122" s="66"/>
      <c r="BF122" s="66"/>
      <c r="BG122" s="66"/>
      <c r="BH122" s="66"/>
      <c r="BI122" s="357">
        <f t="shared" si="305"/>
        <v>0</v>
      </c>
      <c r="BJ122" s="358"/>
      <c r="BK122" s="66"/>
      <c r="BL122" s="66"/>
      <c r="BM122" s="69"/>
      <c r="BN122" s="69"/>
      <c r="BO122" s="69"/>
      <c r="BP122" s="69"/>
      <c r="BQ122" s="69"/>
      <c r="BR122" s="69"/>
      <c r="BS122" s="68">
        <f t="shared" si="308"/>
        <v>0</v>
      </c>
      <c r="BT122" s="358"/>
      <c r="BU122" s="66">
        <f t="shared" si="309"/>
        <v>0</v>
      </c>
      <c r="BV122" s="66">
        <f t="shared" si="310"/>
        <v>0</v>
      </c>
      <c r="BW122" s="69"/>
      <c r="BX122" s="69"/>
      <c r="BY122" s="69"/>
      <c r="BZ122" s="69"/>
      <c r="CA122" s="69"/>
      <c r="CB122" s="69"/>
      <c r="CC122" s="68">
        <f t="shared" si="311"/>
        <v>0</v>
      </c>
      <c r="CD122" s="244"/>
      <c r="CE122" s="66">
        <f t="shared" si="312"/>
        <v>0</v>
      </c>
      <c r="CF122" s="66">
        <f t="shared" si="313"/>
        <v>0</v>
      </c>
      <c r="CG122" s="195"/>
      <c r="CH122" s="195"/>
      <c r="CI122" s="195"/>
      <c r="CJ122" s="195"/>
      <c r="CK122" s="195"/>
      <c r="CL122" s="195"/>
      <c r="CM122" s="403">
        <f t="shared" si="314"/>
        <v>0</v>
      </c>
    </row>
    <row r="123" spans="1:91" s="5" customFormat="1" ht="15.95" customHeight="1">
      <c r="A123" s="79" t="s">
        <v>164</v>
      </c>
      <c r="B123" s="90"/>
      <c r="C123" s="61"/>
      <c r="D123" s="61"/>
      <c r="E123" s="63"/>
      <c r="F123" s="63"/>
      <c r="G123" s="63"/>
      <c r="H123" s="63"/>
      <c r="I123" s="63"/>
      <c r="J123" s="63"/>
      <c r="K123" s="166"/>
      <c r="L123" s="157"/>
      <c r="M123" s="61"/>
      <c r="N123" s="61"/>
      <c r="O123" s="63"/>
      <c r="P123" s="63"/>
      <c r="Q123" s="63"/>
      <c r="R123" s="63"/>
      <c r="S123" s="63"/>
      <c r="T123" s="63"/>
      <c r="U123" s="166"/>
      <c r="V123" s="55"/>
      <c r="W123" s="61"/>
      <c r="X123" s="61"/>
      <c r="Y123" s="63"/>
      <c r="Z123" s="63"/>
      <c r="AA123" s="63"/>
      <c r="AB123" s="63"/>
      <c r="AC123" s="63"/>
      <c r="AD123" s="63"/>
      <c r="AE123" s="166"/>
      <c r="AF123" s="55"/>
      <c r="AG123" s="61"/>
      <c r="AH123" s="61"/>
      <c r="AI123" s="63"/>
      <c r="AJ123" s="63"/>
      <c r="AK123" s="63"/>
      <c r="AL123" s="63"/>
      <c r="AM123" s="63"/>
      <c r="AN123" s="63"/>
      <c r="AO123" s="166"/>
      <c r="AP123" s="55"/>
      <c r="AQ123" s="61"/>
      <c r="AR123" s="61"/>
      <c r="AS123" s="63"/>
      <c r="AT123" s="63"/>
      <c r="AU123" s="63"/>
      <c r="AV123" s="63"/>
      <c r="AW123" s="63"/>
      <c r="AX123" s="63"/>
      <c r="AY123" s="166"/>
      <c r="AZ123" s="227"/>
      <c r="BA123" s="66"/>
      <c r="BB123" s="66"/>
      <c r="BC123" s="63"/>
      <c r="BD123" s="63"/>
      <c r="BE123" s="63"/>
      <c r="BF123" s="63"/>
      <c r="BG123" s="63"/>
      <c r="BH123" s="63"/>
      <c r="BI123" s="166"/>
      <c r="BJ123" s="55"/>
      <c r="BK123" s="61"/>
      <c r="BL123" s="61"/>
      <c r="BM123" s="63"/>
      <c r="BN123" s="63"/>
      <c r="BO123" s="63"/>
      <c r="BP123" s="63"/>
      <c r="BQ123" s="63"/>
      <c r="BR123" s="63"/>
      <c r="BS123" s="166"/>
      <c r="BT123" s="55"/>
      <c r="BU123" s="61"/>
      <c r="BV123" s="61"/>
      <c r="BW123" s="63"/>
      <c r="BX123" s="63"/>
      <c r="BY123" s="63"/>
      <c r="BZ123" s="63"/>
      <c r="CA123" s="63"/>
      <c r="CB123" s="63"/>
      <c r="CC123" s="166"/>
      <c r="CD123" s="55"/>
      <c r="CE123" s="61"/>
      <c r="CF123" s="61"/>
      <c r="CG123" s="63"/>
      <c r="CH123" s="63"/>
      <c r="CI123" s="63"/>
      <c r="CJ123" s="63"/>
      <c r="CK123" s="63"/>
      <c r="CL123" s="63"/>
      <c r="CM123" s="166"/>
    </row>
    <row r="124" spans="1:91" s="58" customFormat="1" ht="15.95" customHeight="1">
      <c r="A124" s="80" t="s">
        <v>70</v>
      </c>
      <c r="B124" s="92">
        <f>SUM(B$111:B123)</f>
        <v>2451</v>
      </c>
      <c r="C124" s="66">
        <f>SUM(C$111:C123)</f>
        <v>45692349</v>
      </c>
      <c r="D124" s="66">
        <f>IFERROR(C124/B124,0)</f>
        <v>18642.329253365973</v>
      </c>
      <c r="E124" s="67">
        <f>SUM(E$111:E123)</f>
        <v>0</v>
      </c>
      <c r="F124" s="67">
        <f>SUM(F$111:F123)</f>
        <v>0</v>
      </c>
      <c r="G124" s="67">
        <f>SUM(G$111:G123)</f>
        <v>603849</v>
      </c>
      <c r="H124" s="67">
        <f>SUM(H$111:H123)</f>
        <v>43899099</v>
      </c>
      <c r="I124" s="67">
        <f>SUM(I$111:I123)</f>
        <v>1189401</v>
      </c>
      <c r="J124" s="67">
        <f>SUM(J$111:J123)</f>
        <v>36398992</v>
      </c>
      <c r="K124" s="68">
        <f>SUM(K$111:K123)</f>
        <v>0</v>
      </c>
      <c r="L124" s="160">
        <f>SUM(L$111:L123)</f>
        <v>2408</v>
      </c>
      <c r="M124" s="66">
        <f>SUM(M$111:M123)</f>
        <v>45192962</v>
      </c>
      <c r="N124" s="66">
        <f>IFERROR(M124/L124,0)</f>
        <v>18767.841362126244</v>
      </c>
      <c r="O124" s="67">
        <f>SUM(O$111:O123)</f>
        <v>0</v>
      </c>
      <c r="P124" s="67">
        <f>SUM(P$111:P123)</f>
        <v>0</v>
      </c>
      <c r="Q124" s="67">
        <f>SUM(Q$111:Q123)</f>
        <v>0</v>
      </c>
      <c r="R124" s="67">
        <f>SUM(R$111:R123)</f>
        <v>43226176</v>
      </c>
      <c r="S124" s="67">
        <f>SUM(S$111:S123)</f>
        <v>1966786</v>
      </c>
      <c r="T124" s="67">
        <f>SUM(T$111:T123)</f>
        <v>36586275</v>
      </c>
      <c r="U124" s="68">
        <f>SUM(U$111:U123)</f>
        <v>0</v>
      </c>
      <c r="V124" s="50">
        <f>SUM(V$111:V123)</f>
        <v>2595</v>
      </c>
      <c r="W124" s="66">
        <f>SUM(W$111:W123)</f>
        <v>51543851</v>
      </c>
      <c r="X124" s="66">
        <f>IFERROR(W124/V124,0)</f>
        <v>19862.755684007709</v>
      </c>
      <c r="Y124" s="67">
        <f>SUM(Y$111:Y123)</f>
        <v>0</v>
      </c>
      <c r="Z124" s="67">
        <f>SUM(Z$111:Z123)</f>
        <v>0</v>
      </c>
      <c r="AA124" s="67">
        <f>SUM(AA$111:AA123)</f>
        <v>0</v>
      </c>
      <c r="AB124" s="67">
        <f>SUM(AB$111:AB123)</f>
        <v>48379545</v>
      </c>
      <c r="AC124" s="67">
        <f>SUM(AC$111:AC123)</f>
        <v>3164306</v>
      </c>
      <c r="AD124" s="67">
        <f>SUM(AD$111:AD123)</f>
        <v>40162275</v>
      </c>
      <c r="AE124" s="68">
        <f>SUM(AE$111:AE123)</f>
        <v>0</v>
      </c>
      <c r="AF124" s="50">
        <f>SUM(AF$111:AF123)</f>
        <v>2689</v>
      </c>
      <c r="AG124" s="66">
        <f>SUM(AG$111:AG123)</f>
        <v>55347642</v>
      </c>
      <c r="AH124" s="66">
        <f>IFERROR(AG124/AF124,0)</f>
        <v>20582.983265154333</v>
      </c>
      <c r="AI124" s="67">
        <f>SUM(AI$111:AI123)</f>
        <v>0</v>
      </c>
      <c r="AJ124" s="67">
        <f>SUM(AJ$111:AJ123)</f>
        <v>0</v>
      </c>
      <c r="AK124" s="67">
        <f>SUM(AK$111:AK123)</f>
        <v>0</v>
      </c>
      <c r="AL124" s="67">
        <f>SUM(AL$111:AL123)</f>
        <v>52257811</v>
      </c>
      <c r="AM124" s="67">
        <f>SUM(AM$111:AM123)</f>
        <v>3089831</v>
      </c>
      <c r="AN124" s="67">
        <f>SUM(AN$111:AN123)</f>
        <v>43825608</v>
      </c>
      <c r="AO124" s="68">
        <f>SUM(AO$111:AO123)</f>
        <v>0</v>
      </c>
      <c r="AP124" s="50">
        <f>SUM(AP$111:AP123)</f>
        <v>2726</v>
      </c>
      <c r="AQ124" s="66">
        <f>SUM(AQ$111:AQ123)</f>
        <v>56518065</v>
      </c>
      <c r="AR124" s="66">
        <f>IFERROR(AQ124/AP124,0)</f>
        <v>20732.965884079236</v>
      </c>
      <c r="AS124" s="67">
        <f>SUM(AS$111:AS123)</f>
        <v>0</v>
      </c>
      <c r="AT124" s="67">
        <f>SUM(AT$111:AT123)</f>
        <v>0</v>
      </c>
      <c r="AU124" s="67">
        <f>SUM(AU$111:AU123)</f>
        <v>0</v>
      </c>
      <c r="AV124" s="67">
        <f>SUM(AV$111:AV123)</f>
        <v>52470657</v>
      </c>
      <c r="AW124" s="67">
        <f>SUM(AW$111:AW123)</f>
        <v>4047408</v>
      </c>
      <c r="AX124" s="67">
        <f>SUM(AX$111:AX123)</f>
        <v>44543449</v>
      </c>
      <c r="AY124" s="68">
        <f>SUM(AY$111:AY123)</f>
        <v>0</v>
      </c>
      <c r="AZ124" s="229">
        <f>SUM(AZ$111:AZ123)</f>
        <v>2788</v>
      </c>
      <c r="BA124" s="66">
        <f>SUM(BA$111:BA123)</f>
        <v>59686802</v>
      </c>
      <c r="BB124" s="66">
        <f>IFERROR(BA124/AZ124,0)</f>
        <v>21408.465566714491</v>
      </c>
      <c r="BC124" s="67">
        <f>SUM(BC$111:BC123)</f>
        <v>589517</v>
      </c>
      <c r="BD124" s="67">
        <f>SUM(BD$111:BD123)</f>
        <v>0</v>
      </c>
      <c r="BE124" s="67">
        <f>SUM(BE$111:BE123)</f>
        <v>0</v>
      </c>
      <c r="BF124" s="67">
        <f>SUM(BF$111:BF123)</f>
        <v>55013672</v>
      </c>
      <c r="BG124" s="67">
        <f>SUM(BG$111:BG123)</f>
        <v>4083613</v>
      </c>
      <c r="BH124" s="67">
        <f>SUM(BH$111:BH123)</f>
        <v>45994883</v>
      </c>
      <c r="BI124" s="68">
        <f>SUM(BI$111:BI123)</f>
        <v>0</v>
      </c>
      <c r="BJ124" s="50">
        <f>SUM(BJ$111:BJ123)</f>
        <v>2868</v>
      </c>
      <c r="BK124" s="66">
        <f>SUM(BK$111:BK123)</f>
        <v>64079049</v>
      </c>
      <c r="BL124" s="66">
        <f>IFERROR(BK124/BJ124,0)</f>
        <v>22342.764644351464</v>
      </c>
      <c r="BM124" s="67">
        <f>SUM(BM$111:BM123)</f>
        <v>508995</v>
      </c>
      <c r="BN124" s="67">
        <f>SUM(BN$111:BN123)</f>
        <v>0</v>
      </c>
      <c r="BO124" s="67">
        <f>SUM(BO$111:BO123)</f>
        <v>0</v>
      </c>
      <c r="BP124" s="67">
        <f>SUM(BP$111:BP123)</f>
        <v>59540016</v>
      </c>
      <c r="BQ124" s="67">
        <f>SUM(BQ$111:BQ123)</f>
        <v>4030038</v>
      </c>
      <c r="BR124" s="67">
        <f>SUM(BR$111:BR123)</f>
        <v>49164275</v>
      </c>
      <c r="BS124" s="68">
        <f>SUM(BS$111:BS123)</f>
        <v>0</v>
      </c>
      <c r="BT124" s="50">
        <f>SUM(BT$111:BT123)</f>
        <v>2927</v>
      </c>
      <c r="BU124" s="66">
        <f>SUM(BU$111:BU123)</f>
        <v>66018517</v>
      </c>
      <c r="BV124" s="66">
        <f>IFERROR(BU124/BT124,0)</f>
        <v>22555.010932695594</v>
      </c>
      <c r="BW124" s="67">
        <f>SUM(BW$111:BW123)</f>
        <v>466590</v>
      </c>
      <c r="BX124" s="67">
        <f>SUM(BX$111:BX123)</f>
        <v>0</v>
      </c>
      <c r="BY124" s="67">
        <f>SUM(BY$111:BY123)</f>
        <v>0</v>
      </c>
      <c r="BZ124" s="67">
        <f>SUM(BZ$111:BZ123)</f>
        <v>62104997</v>
      </c>
      <c r="CA124" s="67">
        <f>SUM(CA$111:CA123)</f>
        <v>3446930</v>
      </c>
      <c r="CB124" s="67">
        <f>SUM(CB$111:CB123)</f>
        <v>49430510</v>
      </c>
      <c r="CC124" s="68">
        <f>SUM(CC$111:CC123)</f>
        <v>0</v>
      </c>
      <c r="CD124" s="50">
        <f>SUM(CD$111:CD123)</f>
        <v>3317</v>
      </c>
      <c r="CE124" s="66">
        <f>SUM(CE$111:CE123)</f>
        <v>67581576</v>
      </c>
      <c r="CF124" s="66">
        <f>IFERROR(CE124/CD124,0)</f>
        <v>20374.306903828761</v>
      </c>
      <c r="CG124" s="67">
        <f>SUM(CG$111:CG123)</f>
        <v>0</v>
      </c>
      <c r="CH124" s="67">
        <f>SUM(CH$111:CH123)</f>
        <v>0</v>
      </c>
      <c r="CI124" s="67">
        <f>SUM(CI$111:CI123)</f>
        <v>0</v>
      </c>
      <c r="CJ124" s="67">
        <f>SUM(CJ$111:CJ123)</f>
        <v>63622634</v>
      </c>
      <c r="CK124" s="67">
        <f>SUM(CK$111:CK123)</f>
        <v>3958942</v>
      </c>
      <c r="CL124" s="67">
        <f>SUM(CL$111:CL123)</f>
        <v>50799771</v>
      </c>
      <c r="CM124" s="68">
        <f>SUM(CM$111:CM123)</f>
        <v>0</v>
      </c>
    </row>
    <row r="125" spans="1:91" s="58" customFormat="1" ht="15.95" customHeight="1">
      <c r="A125" s="77"/>
      <c r="B125" s="93"/>
      <c r="C125" s="66"/>
      <c r="D125" s="66"/>
      <c r="E125" s="69"/>
      <c r="F125" s="69"/>
      <c r="G125" s="69"/>
      <c r="H125" s="69"/>
      <c r="I125" s="69"/>
      <c r="J125" s="69"/>
      <c r="K125" s="68"/>
      <c r="L125" s="159"/>
      <c r="M125" s="66"/>
      <c r="N125" s="66"/>
      <c r="O125" s="69"/>
      <c r="P125" s="69"/>
      <c r="Q125" s="69"/>
      <c r="R125" s="69"/>
      <c r="S125" s="69"/>
      <c r="T125" s="69"/>
      <c r="U125" s="68"/>
      <c r="V125" s="59"/>
      <c r="W125" s="66"/>
      <c r="X125" s="66"/>
      <c r="Y125" s="69"/>
      <c r="Z125" s="69"/>
      <c r="AA125" s="69"/>
      <c r="AB125" s="69"/>
      <c r="AC125" s="69"/>
      <c r="AD125" s="69"/>
      <c r="AE125" s="68"/>
      <c r="AF125" s="59"/>
      <c r="AG125" s="66"/>
      <c r="AH125" s="66"/>
      <c r="AI125" s="69"/>
      <c r="AJ125" s="69"/>
      <c r="AK125" s="69"/>
      <c r="AL125" s="69"/>
      <c r="AM125" s="69"/>
      <c r="AN125" s="69"/>
      <c r="AO125" s="68"/>
      <c r="AP125" s="59"/>
      <c r="AQ125" s="66"/>
      <c r="AR125" s="66"/>
      <c r="AS125" s="69"/>
      <c r="AT125" s="69"/>
      <c r="AU125" s="69"/>
      <c r="AV125" s="69"/>
      <c r="AW125" s="69"/>
      <c r="AX125" s="69"/>
      <c r="AY125" s="68"/>
      <c r="AZ125" s="230"/>
      <c r="BA125" s="66"/>
      <c r="BB125" s="66"/>
      <c r="BC125" s="69"/>
      <c r="BD125" s="69"/>
      <c r="BE125" s="69"/>
      <c r="BF125" s="69"/>
      <c r="BG125" s="69"/>
      <c r="BH125" s="69"/>
      <c r="BI125" s="68"/>
      <c r="BJ125" s="59"/>
      <c r="BK125" s="66"/>
      <c r="BL125" s="66"/>
      <c r="BM125" s="69"/>
      <c r="BN125" s="69"/>
      <c r="BO125" s="69"/>
      <c r="BP125" s="69"/>
      <c r="BQ125" s="69"/>
      <c r="BR125" s="69"/>
      <c r="BS125" s="68"/>
      <c r="BT125" s="59"/>
      <c r="BU125" s="66"/>
      <c r="BV125" s="66"/>
      <c r="BW125" s="69"/>
      <c r="BX125" s="69"/>
      <c r="BY125" s="69"/>
      <c r="BZ125" s="69"/>
      <c r="CA125" s="69"/>
      <c r="CB125" s="69"/>
      <c r="CC125" s="68"/>
      <c r="CD125" s="59"/>
      <c r="CE125" s="66"/>
      <c r="CF125" s="66"/>
      <c r="CG125" s="69"/>
      <c r="CH125" s="69"/>
      <c r="CI125" s="69"/>
      <c r="CJ125" s="69"/>
      <c r="CK125" s="69"/>
      <c r="CL125" s="69"/>
      <c r="CM125" s="68"/>
    </row>
    <row r="126" spans="1:91" s="58" customFormat="1" ht="15.95" customHeight="1">
      <c r="A126" s="77"/>
      <c r="B126" s="93"/>
      <c r="C126" s="66"/>
      <c r="D126" s="66"/>
      <c r="E126" s="69"/>
      <c r="F126" s="69"/>
      <c r="G126" s="69"/>
      <c r="H126" s="69"/>
      <c r="I126" s="69"/>
      <c r="J126" s="69"/>
      <c r="K126" s="68"/>
      <c r="L126" s="159"/>
      <c r="M126" s="66"/>
      <c r="N126" s="66"/>
      <c r="O126" s="69"/>
      <c r="P126" s="69"/>
      <c r="Q126" s="69"/>
      <c r="R126" s="69"/>
      <c r="S126" s="69"/>
      <c r="T126" s="69"/>
      <c r="U126" s="68"/>
      <c r="V126" s="59"/>
      <c r="W126" s="66"/>
      <c r="X126" s="66"/>
      <c r="Y126" s="69"/>
      <c r="Z126" s="69"/>
      <c r="AA126" s="69"/>
      <c r="AB126" s="69"/>
      <c r="AC126" s="69"/>
      <c r="AD126" s="69"/>
      <c r="AE126" s="68"/>
      <c r="AF126" s="59"/>
      <c r="AG126" s="66"/>
      <c r="AH126" s="66"/>
      <c r="AI126" s="69"/>
      <c r="AJ126" s="69"/>
      <c r="AK126" s="69"/>
      <c r="AL126" s="69"/>
      <c r="AM126" s="69"/>
      <c r="AN126" s="69"/>
      <c r="AO126" s="68"/>
      <c r="AP126" s="59"/>
      <c r="AQ126" s="66"/>
      <c r="AR126" s="66"/>
      <c r="AS126" s="69"/>
      <c r="AT126" s="69"/>
      <c r="AU126" s="69"/>
      <c r="AV126" s="69"/>
      <c r="AW126" s="69"/>
      <c r="AX126" s="69"/>
      <c r="AY126" s="68"/>
      <c r="AZ126" s="230"/>
      <c r="BA126" s="66"/>
      <c r="BB126" s="66"/>
      <c r="BC126" s="69"/>
      <c r="BD126" s="69"/>
      <c r="BE126" s="69"/>
      <c r="BF126" s="69"/>
      <c r="BG126" s="69"/>
      <c r="BH126" s="69"/>
      <c r="BI126" s="68"/>
      <c r="BJ126" s="59"/>
      <c r="BK126" s="66"/>
      <c r="BL126" s="66"/>
      <c r="BM126" s="69"/>
      <c r="BN126" s="69"/>
      <c r="BO126" s="69"/>
      <c r="BP126" s="69"/>
      <c r="BQ126" s="69"/>
      <c r="BR126" s="69"/>
      <c r="BS126" s="68"/>
      <c r="BT126" s="59"/>
      <c r="BU126" s="66"/>
      <c r="BV126" s="66"/>
      <c r="BW126" s="69"/>
      <c r="BX126" s="69"/>
      <c r="BY126" s="69"/>
      <c r="BZ126" s="69"/>
      <c r="CA126" s="69"/>
      <c r="CB126" s="69"/>
      <c r="CC126" s="68"/>
      <c r="CD126" s="59"/>
      <c r="CE126" s="66"/>
      <c r="CF126" s="66"/>
      <c r="CG126" s="69"/>
      <c r="CH126" s="69"/>
      <c r="CI126" s="69"/>
      <c r="CJ126" s="69"/>
      <c r="CK126" s="69"/>
      <c r="CL126" s="69"/>
      <c r="CM126" s="68"/>
    </row>
    <row r="127" spans="1:91" s="60" customFormat="1" ht="33" customHeight="1">
      <c r="A127" s="196" t="s">
        <v>71</v>
      </c>
      <c r="B127" s="197">
        <f>SUM(B124,B109,B75)</f>
        <v>6136</v>
      </c>
      <c r="C127" s="198">
        <f>SUM(C124,C109,C75)</f>
        <v>73819960</v>
      </c>
      <c r="D127" s="199">
        <f>IFERROR(C127/B127,0)</f>
        <v>12030.632333767928</v>
      </c>
      <c r="E127" s="200">
        <f t="shared" ref="E127:M127" si="333">SUM(E124,E109,E75)</f>
        <v>14930454</v>
      </c>
      <c r="F127" s="200">
        <f t="shared" si="333"/>
        <v>1096818</v>
      </c>
      <c r="G127" s="200">
        <f t="shared" si="333"/>
        <v>944221</v>
      </c>
      <c r="H127" s="200">
        <f t="shared" si="333"/>
        <v>52881483</v>
      </c>
      <c r="I127" s="200">
        <f t="shared" si="333"/>
        <v>3966984</v>
      </c>
      <c r="J127" s="200">
        <f t="shared" si="333"/>
        <v>53775481</v>
      </c>
      <c r="K127" s="201">
        <f t="shared" si="333"/>
        <v>5939689</v>
      </c>
      <c r="L127" s="202">
        <f t="shared" si="333"/>
        <v>6044</v>
      </c>
      <c r="M127" s="198">
        <f t="shared" si="333"/>
        <v>72156208</v>
      </c>
      <c r="N127" s="199">
        <f>IFERROR(M127/L127,0)</f>
        <v>11938.485771012574</v>
      </c>
      <c r="O127" s="200">
        <f t="shared" ref="O127:W127" si="334">SUM(O124,O109,O75)</f>
        <v>14029078</v>
      </c>
      <c r="P127" s="200">
        <f t="shared" si="334"/>
        <v>1161247</v>
      </c>
      <c r="Q127" s="200">
        <f t="shared" si="334"/>
        <v>849490</v>
      </c>
      <c r="R127" s="200">
        <f t="shared" si="334"/>
        <v>51445412</v>
      </c>
      <c r="S127" s="200">
        <f t="shared" si="334"/>
        <v>4670981</v>
      </c>
      <c r="T127" s="200">
        <f t="shared" si="334"/>
        <v>51086636</v>
      </c>
      <c r="U127" s="201">
        <f t="shared" si="334"/>
        <v>3886910</v>
      </c>
      <c r="V127" s="203">
        <f t="shared" si="334"/>
        <v>6100</v>
      </c>
      <c r="W127" s="198">
        <f t="shared" si="334"/>
        <v>77808267</v>
      </c>
      <c r="X127" s="199">
        <f>IFERROR(W127/V127,0)</f>
        <v>12755.453606557377</v>
      </c>
      <c r="Y127" s="200">
        <f t="shared" ref="Y127:AG127" si="335">SUM(Y124,Y109,Y75)</f>
        <v>13784460</v>
      </c>
      <c r="Z127" s="200">
        <f t="shared" si="335"/>
        <v>1445195</v>
      </c>
      <c r="AA127" s="200">
        <f t="shared" si="335"/>
        <v>456639</v>
      </c>
      <c r="AB127" s="200">
        <f t="shared" si="335"/>
        <v>55452148</v>
      </c>
      <c r="AC127" s="200">
        <f t="shared" si="335"/>
        <v>6669825</v>
      </c>
      <c r="AD127" s="200">
        <f t="shared" si="335"/>
        <v>54699614</v>
      </c>
      <c r="AE127" s="201">
        <f t="shared" si="335"/>
        <v>3978128</v>
      </c>
      <c r="AF127" s="203">
        <f t="shared" si="335"/>
        <v>6432</v>
      </c>
      <c r="AG127" s="198">
        <f t="shared" si="335"/>
        <v>82763579</v>
      </c>
      <c r="AH127" s="199">
        <f>IFERROR(AG127/AF127,0)</f>
        <v>12867.471859452737</v>
      </c>
      <c r="AI127" s="200">
        <f t="shared" ref="AI127:AQ127" si="336">SUM(AI124,AI109,AI75)</f>
        <v>14448763</v>
      </c>
      <c r="AJ127" s="200">
        <f t="shared" si="336"/>
        <v>995052</v>
      </c>
      <c r="AK127" s="200">
        <f t="shared" si="336"/>
        <v>386285</v>
      </c>
      <c r="AL127" s="200">
        <f t="shared" si="336"/>
        <v>59854558</v>
      </c>
      <c r="AM127" s="200">
        <f t="shared" si="336"/>
        <v>7306921</v>
      </c>
      <c r="AN127" s="200">
        <f t="shared" si="336"/>
        <v>59211472</v>
      </c>
      <c r="AO127" s="201">
        <f t="shared" si="336"/>
        <v>4434416</v>
      </c>
      <c r="AP127" s="203">
        <f t="shared" si="336"/>
        <v>6310</v>
      </c>
      <c r="AQ127" s="198">
        <f t="shared" si="336"/>
        <v>82098280</v>
      </c>
      <c r="AR127" s="199">
        <f>IFERROR(AQ127/AP127,0)</f>
        <v>13010.820919175911</v>
      </c>
      <c r="AS127" s="200">
        <f t="shared" ref="AS127:BA127" si="337">SUM(AS124,AS109,AS75)</f>
        <v>13757400</v>
      </c>
      <c r="AT127" s="200">
        <f t="shared" si="337"/>
        <v>716186</v>
      </c>
      <c r="AU127" s="200">
        <f t="shared" si="337"/>
        <v>243426</v>
      </c>
      <c r="AV127" s="200">
        <f t="shared" si="337"/>
        <v>58730758</v>
      </c>
      <c r="AW127" s="200">
        <f t="shared" si="337"/>
        <v>8650510</v>
      </c>
      <c r="AX127" s="200">
        <f t="shared" si="337"/>
        <v>58990871</v>
      </c>
      <c r="AY127" s="201">
        <f t="shared" si="337"/>
        <v>4756659</v>
      </c>
      <c r="AZ127" s="231">
        <f t="shared" si="337"/>
        <v>6642</v>
      </c>
      <c r="BA127" s="198">
        <f t="shared" si="337"/>
        <v>88128329.700000003</v>
      </c>
      <c r="BB127" s="199">
        <f>IFERROR(BA127/AZ127,0)</f>
        <v>13268.342321589884</v>
      </c>
      <c r="BC127" s="200">
        <f t="shared" ref="BC127:BK127" si="338">SUM(BC124,BC109,BC75)</f>
        <v>15683450</v>
      </c>
      <c r="BD127" s="200">
        <f t="shared" si="338"/>
        <v>1372605</v>
      </c>
      <c r="BE127" s="200">
        <f t="shared" si="338"/>
        <v>306579</v>
      </c>
      <c r="BF127" s="200">
        <f t="shared" si="338"/>
        <v>61460025.700000003</v>
      </c>
      <c r="BG127" s="200">
        <f t="shared" si="338"/>
        <v>9305670</v>
      </c>
      <c r="BH127" s="200">
        <f t="shared" si="338"/>
        <v>61621241</v>
      </c>
      <c r="BI127" s="201">
        <f t="shared" si="338"/>
        <v>5348030</v>
      </c>
      <c r="BJ127" s="203">
        <f t="shared" si="338"/>
        <v>6798</v>
      </c>
      <c r="BK127" s="198">
        <f t="shared" si="338"/>
        <v>93662730</v>
      </c>
      <c r="BL127" s="199">
        <f>IFERROR(BK127/BJ127,0)</f>
        <v>13777.983230361871</v>
      </c>
      <c r="BM127" s="200">
        <f t="shared" ref="BM127:BU127" si="339">SUM(BM124,BM109,BM75)</f>
        <v>15684684</v>
      </c>
      <c r="BN127" s="200">
        <f t="shared" si="339"/>
        <v>838981</v>
      </c>
      <c r="BO127" s="200">
        <f t="shared" si="339"/>
        <v>687585</v>
      </c>
      <c r="BP127" s="200">
        <f t="shared" si="339"/>
        <v>67544598</v>
      </c>
      <c r="BQ127" s="200">
        <f t="shared" si="339"/>
        <v>8906882</v>
      </c>
      <c r="BR127" s="200">
        <f t="shared" si="339"/>
        <v>66525530.75</v>
      </c>
      <c r="BS127" s="201">
        <f t="shared" si="339"/>
        <v>5643916</v>
      </c>
      <c r="BT127" s="203">
        <f t="shared" si="339"/>
        <v>7189</v>
      </c>
      <c r="BU127" s="198">
        <f t="shared" si="339"/>
        <v>96124682</v>
      </c>
      <c r="BV127" s="199">
        <f>IFERROR(BU127/BT127,0)</f>
        <v>13371.078314090972</v>
      </c>
      <c r="BW127" s="200">
        <f t="shared" ref="BW127:CE127" si="340">SUM(BW124,BW109,BW75)</f>
        <v>14895194</v>
      </c>
      <c r="BX127" s="200">
        <f t="shared" si="340"/>
        <v>2488403</v>
      </c>
      <c r="BY127" s="200">
        <f t="shared" si="340"/>
        <v>764144</v>
      </c>
      <c r="BZ127" s="200">
        <f t="shared" si="340"/>
        <v>68905335</v>
      </c>
      <c r="CA127" s="200">
        <f t="shared" si="340"/>
        <v>9071606</v>
      </c>
      <c r="CB127" s="200">
        <f t="shared" si="340"/>
        <v>66586750</v>
      </c>
      <c r="CC127" s="201">
        <f t="shared" si="340"/>
        <v>5479395</v>
      </c>
      <c r="CD127" s="203">
        <f t="shared" si="340"/>
        <v>7635</v>
      </c>
      <c r="CE127" s="198">
        <f t="shared" si="340"/>
        <v>95891069</v>
      </c>
      <c r="CF127" s="199">
        <f>IFERROR(CE127/CD127,0)</f>
        <v>12559.406548788475</v>
      </c>
      <c r="CG127" s="200">
        <f t="shared" ref="CG127:CM127" si="341">SUM(CG124,CG109,CG75)</f>
        <v>11718791</v>
      </c>
      <c r="CH127" s="200">
        <f t="shared" si="341"/>
        <v>1396067</v>
      </c>
      <c r="CI127" s="200">
        <f t="shared" si="341"/>
        <v>1001106</v>
      </c>
      <c r="CJ127" s="200">
        <f t="shared" si="341"/>
        <v>69937415</v>
      </c>
      <c r="CK127" s="200">
        <f t="shared" si="341"/>
        <v>11837690</v>
      </c>
      <c r="CL127" s="200">
        <f t="shared" si="341"/>
        <v>67524728.810000002</v>
      </c>
      <c r="CM127" s="201">
        <f t="shared" si="341"/>
        <v>5324401</v>
      </c>
    </row>
    <row r="128" spans="1:91" s="75" customFormat="1" ht="50.25" customHeight="1">
      <c r="A128" s="81" t="s">
        <v>79</v>
      </c>
      <c r="B128" s="94" t="str">
        <f>B2</f>
        <v>2014-15</v>
      </c>
      <c r="C128" s="526" t="str">
        <f>B128&amp;" COMMENTS"</f>
        <v>2014-15 COMMENTS</v>
      </c>
      <c r="D128" s="527"/>
      <c r="E128" s="527"/>
      <c r="F128" s="527"/>
      <c r="G128" s="527"/>
      <c r="H128" s="527"/>
      <c r="I128" s="527"/>
      <c r="J128" s="527"/>
      <c r="K128" s="383"/>
      <c r="L128" s="161" t="str">
        <f>L2</f>
        <v>2015-2016</v>
      </c>
      <c r="M128" s="526" t="str">
        <f>L128&amp;" COMMENTS"</f>
        <v>2015-2016 COMMENTS</v>
      </c>
      <c r="N128" s="527"/>
      <c r="O128" s="527"/>
      <c r="P128" s="527"/>
      <c r="Q128" s="527"/>
      <c r="R128" s="527"/>
      <c r="S128" s="527"/>
      <c r="T128" s="527"/>
      <c r="U128" s="528"/>
      <c r="V128" s="74" t="str">
        <f>V2</f>
        <v>2016-17</v>
      </c>
      <c r="W128" s="526" t="str">
        <f>V128&amp;" COMMENTS"</f>
        <v>2016-17 COMMENTS</v>
      </c>
      <c r="X128" s="527"/>
      <c r="Y128" s="527"/>
      <c r="Z128" s="527"/>
      <c r="AA128" s="527"/>
      <c r="AB128" s="527"/>
      <c r="AC128" s="527"/>
      <c r="AD128" s="527"/>
      <c r="AE128" s="528"/>
      <c r="AF128" s="74" t="str">
        <f>AF2</f>
        <v>2017-18</v>
      </c>
      <c r="AG128" s="526" t="str">
        <f>AF128&amp;" COMMENTS"</f>
        <v>2017-18 COMMENTS</v>
      </c>
      <c r="AH128" s="527"/>
      <c r="AI128" s="527"/>
      <c r="AJ128" s="527"/>
      <c r="AK128" s="527"/>
      <c r="AL128" s="527"/>
      <c r="AM128" s="527"/>
      <c r="AN128" s="527"/>
      <c r="AO128" s="528"/>
      <c r="AP128" s="74" t="str">
        <f>AP2</f>
        <v>2018-19</v>
      </c>
      <c r="AQ128" s="526" t="str">
        <f>AP128&amp;" COMMENTS"</f>
        <v>2018-19 COMMENTS</v>
      </c>
      <c r="AR128" s="527"/>
      <c r="AS128" s="527"/>
      <c r="AT128" s="527"/>
      <c r="AU128" s="527"/>
      <c r="AV128" s="527"/>
      <c r="AW128" s="527"/>
      <c r="AX128" s="527"/>
      <c r="AY128" s="528"/>
      <c r="AZ128" s="232" t="str">
        <f>AZ2</f>
        <v>2019-20</v>
      </c>
      <c r="BA128" s="526" t="str">
        <f>AZ128&amp;" COMMENTS"</f>
        <v>2019-20 COMMENTS</v>
      </c>
      <c r="BB128" s="527"/>
      <c r="BC128" s="527"/>
      <c r="BD128" s="527"/>
      <c r="BE128" s="527"/>
      <c r="BF128" s="527"/>
      <c r="BG128" s="527"/>
      <c r="BH128" s="527"/>
      <c r="BI128" s="528"/>
      <c r="BJ128" s="74" t="str">
        <f>BJ2</f>
        <v>2020-21</v>
      </c>
      <c r="BK128" s="526" t="str">
        <f>BJ128&amp;" COMMENTS"</f>
        <v>2020-21 COMMENTS</v>
      </c>
      <c r="BL128" s="527"/>
      <c r="BM128" s="527"/>
      <c r="BN128" s="527"/>
      <c r="BO128" s="527"/>
      <c r="BP128" s="527"/>
      <c r="BQ128" s="527"/>
      <c r="BR128" s="527"/>
      <c r="BS128" s="528"/>
      <c r="BT128" s="74" t="str">
        <f>BT2</f>
        <v>2021-22</v>
      </c>
      <c r="BU128" s="526" t="str">
        <f>BT128&amp;" COMMENTS"</f>
        <v>2021-22 COMMENTS</v>
      </c>
      <c r="BV128" s="527"/>
      <c r="BW128" s="527"/>
      <c r="BX128" s="527"/>
      <c r="BY128" s="527"/>
      <c r="BZ128" s="527"/>
      <c r="CA128" s="527"/>
      <c r="CB128" s="527"/>
      <c r="CC128" s="528"/>
      <c r="CD128" s="74" t="str">
        <f>CD2</f>
        <v>2022-23</v>
      </c>
      <c r="CE128" s="526" t="str">
        <f>CD128&amp;" COMMENTS"</f>
        <v>2022-23 COMMENTS</v>
      </c>
      <c r="CF128" s="527"/>
      <c r="CG128" s="527"/>
      <c r="CH128" s="527"/>
      <c r="CI128" s="527"/>
      <c r="CJ128" s="527"/>
      <c r="CK128" s="527"/>
      <c r="CL128" s="527"/>
      <c r="CM128" s="528"/>
    </row>
    <row r="129" spans="1:91" s="116" customFormat="1" ht="20.25" customHeight="1">
      <c r="A129" s="115" t="s">
        <v>72</v>
      </c>
      <c r="B129" s="139">
        <v>3469</v>
      </c>
      <c r="C129" s="511"/>
      <c r="D129" s="512"/>
      <c r="E129" s="512"/>
      <c r="F129" s="512"/>
      <c r="G129" s="512"/>
      <c r="H129" s="512"/>
      <c r="I129" s="512"/>
      <c r="J129" s="512"/>
      <c r="K129" s="513"/>
      <c r="L129" s="162">
        <v>3574</v>
      </c>
      <c r="M129" s="384"/>
      <c r="N129" s="385"/>
      <c r="O129" s="385"/>
      <c r="P129" s="385"/>
      <c r="Q129" s="385"/>
      <c r="R129" s="385"/>
      <c r="S129" s="385"/>
      <c r="T129" s="385"/>
      <c r="U129" s="386"/>
      <c r="V129" s="140">
        <v>3862</v>
      </c>
      <c r="W129" s="511"/>
      <c r="X129" s="512"/>
      <c r="Y129" s="512"/>
      <c r="Z129" s="512"/>
      <c r="AA129" s="512"/>
      <c r="AB129" s="512"/>
      <c r="AC129" s="512"/>
      <c r="AD129" s="512"/>
      <c r="AE129" s="513"/>
      <c r="AF129" s="140">
        <v>3908</v>
      </c>
      <c r="AG129" s="511"/>
      <c r="AH129" s="512"/>
      <c r="AI129" s="512"/>
      <c r="AJ129" s="512"/>
      <c r="AK129" s="512"/>
      <c r="AL129" s="512"/>
      <c r="AM129" s="512"/>
      <c r="AN129" s="512"/>
      <c r="AO129" s="513"/>
      <c r="AP129" s="140">
        <v>3972</v>
      </c>
      <c r="AQ129" s="511"/>
      <c r="AR129" s="512"/>
      <c r="AS129" s="512"/>
      <c r="AT129" s="512"/>
      <c r="AU129" s="512"/>
      <c r="AV129" s="512"/>
      <c r="AW129" s="512"/>
      <c r="AX129" s="512"/>
      <c r="AY129" s="513"/>
      <c r="AZ129" s="365">
        <v>4055</v>
      </c>
      <c r="BA129" s="511"/>
      <c r="BB129" s="512"/>
      <c r="BC129" s="512"/>
      <c r="BD129" s="512"/>
      <c r="BE129" s="512"/>
      <c r="BF129" s="512"/>
      <c r="BG129" s="512"/>
      <c r="BH129" s="512"/>
      <c r="BI129" s="513"/>
      <c r="BJ129" s="140">
        <v>4247</v>
      </c>
      <c r="BK129" s="511"/>
      <c r="BL129" s="512"/>
      <c r="BM129" s="512"/>
      <c r="BN129" s="512"/>
      <c r="BO129" s="512"/>
      <c r="BP129" s="512"/>
      <c r="BQ129" s="512"/>
      <c r="BR129" s="512"/>
      <c r="BS129" s="513"/>
      <c r="BT129" s="140">
        <v>4387</v>
      </c>
      <c r="BU129" s="511"/>
      <c r="BV129" s="512"/>
      <c r="BW129" s="512"/>
      <c r="BX129" s="512"/>
      <c r="BY129" s="512"/>
      <c r="BZ129" s="512"/>
      <c r="CA129" s="512"/>
      <c r="CB129" s="512"/>
      <c r="CC129" s="513"/>
      <c r="CD129" s="372">
        <v>4980</v>
      </c>
      <c r="CE129" s="547"/>
      <c r="CF129" s="548"/>
      <c r="CG129" s="548"/>
      <c r="CH129" s="548"/>
      <c r="CI129" s="548"/>
      <c r="CJ129" s="548"/>
      <c r="CK129" s="548"/>
      <c r="CL129" s="548"/>
      <c r="CM129" s="549"/>
    </row>
    <row r="130" spans="1:91" s="116" customFormat="1" ht="20.25" customHeight="1">
      <c r="A130" s="115" t="s">
        <v>73</v>
      </c>
      <c r="B130" s="139">
        <v>2326</v>
      </c>
      <c r="C130" s="514"/>
      <c r="D130" s="515"/>
      <c r="E130" s="515"/>
      <c r="F130" s="515"/>
      <c r="G130" s="515"/>
      <c r="H130" s="515"/>
      <c r="I130" s="515"/>
      <c r="J130" s="515"/>
      <c r="K130" s="516"/>
      <c r="L130" s="162">
        <v>2762</v>
      </c>
      <c r="M130" s="387"/>
      <c r="N130" s="388"/>
      <c r="O130" s="388"/>
      <c r="P130" s="388"/>
      <c r="Q130" s="388"/>
      <c r="R130" s="388"/>
      <c r="S130" s="388"/>
      <c r="T130" s="388"/>
      <c r="U130" s="389"/>
      <c r="V130" s="140">
        <v>2773</v>
      </c>
      <c r="W130" s="514"/>
      <c r="X130" s="515"/>
      <c r="Y130" s="515"/>
      <c r="Z130" s="515"/>
      <c r="AA130" s="515"/>
      <c r="AB130" s="515"/>
      <c r="AC130" s="515"/>
      <c r="AD130" s="515"/>
      <c r="AE130" s="516"/>
      <c r="AF130" s="140">
        <v>2958</v>
      </c>
      <c r="AG130" s="514"/>
      <c r="AH130" s="515"/>
      <c r="AI130" s="515"/>
      <c r="AJ130" s="515"/>
      <c r="AK130" s="515"/>
      <c r="AL130" s="515"/>
      <c r="AM130" s="515"/>
      <c r="AN130" s="515"/>
      <c r="AO130" s="516"/>
      <c r="AP130" s="140">
        <v>2907</v>
      </c>
      <c r="AQ130" s="514"/>
      <c r="AR130" s="515"/>
      <c r="AS130" s="515"/>
      <c r="AT130" s="515"/>
      <c r="AU130" s="515"/>
      <c r="AV130" s="515"/>
      <c r="AW130" s="515"/>
      <c r="AX130" s="515"/>
      <c r="AY130" s="516"/>
      <c r="AZ130" s="365">
        <v>3069</v>
      </c>
      <c r="BA130" s="514"/>
      <c r="BB130" s="515"/>
      <c r="BC130" s="515"/>
      <c r="BD130" s="515"/>
      <c r="BE130" s="515"/>
      <c r="BF130" s="515"/>
      <c r="BG130" s="515"/>
      <c r="BH130" s="515"/>
      <c r="BI130" s="516"/>
      <c r="BJ130" s="140">
        <v>3273</v>
      </c>
      <c r="BK130" s="514"/>
      <c r="BL130" s="515"/>
      <c r="BM130" s="515"/>
      <c r="BN130" s="515"/>
      <c r="BO130" s="515"/>
      <c r="BP130" s="515"/>
      <c r="BQ130" s="515"/>
      <c r="BR130" s="515"/>
      <c r="BS130" s="516"/>
      <c r="BT130" s="140">
        <v>3289</v>
      </c>
      <c r="BU130" s="514"/>
      <c r="BV130" s="515"/>
      <c r="BW130" s="515"/>
      <c r="BX130" s="515"/>
      <c r="BY130" s="515"/>
      <c r="BZ130" s="515"/>
      <c r="CA130" s="515"/>
      <c r="CB130" s="515"/>
      <c r="CC130" s="516"/>
      <c r="CD130" s="372">
        <v>3177</v>
      </c>
      <c r="CE130" s="550"/>
      <c r="CF130" s="551"/>
      <c r="CG130" s="551"/>
      <c r="CH130" s="551"/>
      <c r="CI130" s="551"/>
      <c r="CJ130" s="551"/>
      <c r="CK130" s="551"/>
      <c r="CL130" s="551"/>
      <c r="CM130" s="552"/>
    </row>
    <row r="131" spans="1:91" s="116" customFormat="1" ht="20.25" customHeight="1">
      <c r="A131" s="115" t="s">
        <v>74</v>
      </c>
      <c r="B131" s="139">
        <v>1850</v>
      </c>
      <c r="C131" s="514"/>
      <c r="D131" s="515"/>
      <c r="E131" s="515"/>
      <c r="F131" s="515"/>
      <c r="G131" s="515"/>
      <c r="H131" s="515"/>
      <c r="I131" s="515"/>
      <c r="J131" s="515"/>
      <c r="K131" s="516"/>
      <c r="L131" s="162">
        <v>2140</v>
      </c>
      <c r="M131" s="387"/>
      <c r="N131" s="388"/>
      <c r="O131" s="388"/>
      <c r="P131" s="388"/>
      <c r="Q131" s="388"/>
      <c r="R131" s="388"/>
      <c r="S131" s="388"/>
      <c r="T131" s="388"/>
      <c r="U131" s="389"/>
      <c r="V131" s="140">
        <v>2051</v>
      </c>
      <c r="W131" s="514"/>
      <c r="X131" s="515"/>
      <c r="Y131" s="515"/>
      <c r="Z131" s="515"/>
      <c r="AA131" s="515"/>
      <c r="AB131" s="515"/>
      <c r="AC131" s="515"/>
      <c r="AD131" s="515"/>
      <c r="AE131" s="516"/>
      <c r="AF131" s="140">
        <v>1894</v>
      </c>
      <c r="AG131" s="514"/>
      <c r="AH131" s="515"/>
      <c r="AI131" s="515"/>
      <c r="AJ131" s="515"/>
      <c r="AK131" s="515"/>
      <c r="AL131" s="515"/>
      <c r="AM131" s="515"/>
      <c r="AN131" s="515"/>
      <c r="AO131" s="516"/>
      <c r="AP131" s="140">
        <v>1890</v>
      </c>
      <c r="AQ131" s="514"/>
      <c r="AR131" s="515"/>
      <c r="AS131" s="515"/>
      <c r="AT131" s="515"/>
      <c r="AU131" s="515"/>
      <c r="AV131" s="515"/>
      <c r="AW131" s="515"/>
      <c r="AX131" s="515"/>
      <c r="AY131" s="516"/>
      <c r="AZ131" s="365">
        <v>3685</v>
      </c>
      <c r="BA131" s="514"/>
      <c r="BB131" s="515"/>
      <c r="BC131" s="515"/>
      <c r="BD131" s="515"/>
      <c r="BE131" s="515"/>
      <c r="BF131" s="515"/>
      <c r="BG131" s="515"/>
      <c r="BH131" s="515"/>
      <c r="BI131" s="516"/>
      <c r="BJ131" s="140">
        <v>2042</v>
      </c>
      <c r="BK131" s="514"/>
      <c r="BL131" s="515"/>
      <c r="BM131" s="515"/>
      <c r="BN131" s="515"/>
      <c r="BO131" s="515"/>
      <c r="BP131" s="515"/>
      <c r="BQ131" s="515"/>
      <c r="BR131" s="515"/>
      <c r="BS131" s="516"/>
      <c r="BT131" s="140">
        <v>2406</v>
      </c>
      <c r="BU131" s="514"/>
      <c r="BV131" s="515"/>
      <c r="BW131" s="515"/>
      <c r="BX131" s="515"/>
      <c r="BY131" s="515"/>
      <c r="BZ131" s="515"/>
      <c r="CA131" s="515"/>
      <c r="CB131" s="515"/>
      <c r="CC131" s="516"/>
      <c r="CD131" s="372">
        <v>2396</v>
      </c>
      <c r="CE131" s="550"/>
      <c r="CF131" s="551"/>
      <c r="CG131" s="551"/>
      <c r="CH131" s="551"/>
      <c r="CI131" s="551"/>
      <c r="CJ131" s="551"/>
      <c r="CK131" s="551"/>
      <c r="CL131" s="551"/>
      <c r="CM131" s="552"/>
    </row>
    <row r="132" spans="1:91" s="116" customFormat="1" ht="20.25" customHeight="1">
      <c r="A132" s="115" t="s">
        <v>75</v>
      </c>
      <c r="B132" s="117">
        <f>IFERROR(B130/B129,"")</f>
        <v>0.67051023349668493</v>
      </c>
      <c r="C132" s="514"/>
      <c r="D132" s="515"/>
      <c r="E132" s="515"/>
      <c r="F132" s="515"/>
      <c r="G132" s="515"/>
      <c r="H132" s="515"/>
      <c r="I132" s="515"/>
      <c r="J132" s="515"/>
      <c r="K132" s="516"/>
      <c r="L132" s="126">
        <f>IFERROR(L130/L129,"")</f>
        <v>0.77280358142137662</v>
      </c>
      <c r="M132" s="387"/>
      <c r="N132" s="388"/>
      <c r="O132" s="388"/>
      <c r="P132" s="388"/>
      <c r="Q132" s="388"/>
      <c r="R132" s="388"/>
      <c r="S132" s="388"/>
      <c r="T132" s="388"/>
      <c r="U132" s="389"/>
      <c r="V132" s="118">
        <f>IFERROR(V130/V129,"")</f>
        <v>0.71802175038839977</v>
      </c>
      <c r="W132" s="514"/>
      <c r="X132" s="515"/>
      <c r="Y132" s="515"/>
      <c r="Z132" s="515"/>
      <c r="AA132" s="515"/>
      <c r="AB132" s="515"/>
      <c r="AC132" s="515"/>
      <c r="AD132" s="515"/>
      <c r="AE132" s="516"/>
      <c r="AF132" s="118">
        <f>IFERROR(AF130/AF129,"")</f>
        <v>0.75690890481064488</v>
      </c>
      <c r="AG132" s="514"/>
      <c r="AH132" s="515"/>
      <c r="AI132" s="515"/>
      <c r="AJ132" s="515"/>
      <c r="AK132" s="515"/>
      <c r="AL132" s="515"/>
      <c r="AM132" s="515"/>
      <c r="AN132" s="515"/>
      <c r="AO132" s="516"/>
      <c r="AP132" s="118">
        <f>IFERROR(AP130/AP129,"")</f>
        <v>0.73187311178247738</v>
      </c>
      <c r="AQ132" s="514"/>
      <c r="AR132" s="515"/>
      <c r="AS132" s="515"/>
      <c r="AT132" s="515"/>
      <c r="AU132" s="515"/>
      <c r="AV132" s="515"/>
      <c r="AW132" s="515"/>
      <c r="AX132" s="515"/>
      <c r="AY132" s="516"/>
      <c r="AZ132" s="233">
        <f>IFERROR(AZ130/AZ129,"")</f>
        <v>0.75684340320591859</v>
      </c>
      <c r="BA132" s="514"/>
      <c r="BB132" s="515"/>
      <c r="BC132" s="515"/>
      <c r="BD132" s="515"/>
      <c r="BE132" s="515"/>
      <c r="BF132" s="515"/>
      <c r="BG132" s="515"/>
      <c r="BH132" s="515"/>
      <c r="BI132" s="516"/>
      <c r="BJ132" s="118">
        <f>IFERROR(BJ130/BJ129,"")</f>
        <v>0.7706616435130681</v>
      </c>
      <c r="BK132" s="514"/>
      <c r="BL132" s="515"/>
      <c r="BM132" s="515"/>
      <c r="BN132" s="515"/>
      <c r="BO132" s="515"/>
      <c r="BP132" s="515"/>
      <c r="BQ132" s="515"/>
      <c r="BR132" s="515"/>
      <c r="BS132" s="516"/>
      <c r="BT132" s="118">
        <f>IFERROR(BT130/BT129,"")</f>
        <v>0.7497150672441304</v>
      </c>
      <c r="BU132" s="514"/>
      <c r="BV132" s="515"/>
      <c r="BW132" s="515"/>
      <c r="BX132" s="515"/>
      <c r="BY132" s="515"/>
      <c r="BZ132" s="515"/>
      <c r="CA132" s="515"/>
      <c r="CB132" s="515"/>
      <c r="CC132" s="516"/>
      <c r="CD132" s="118">
        <f>IFERROR(CD130/CD129,"")</f>
        <v>0.63795180722891565</v>
      </c>
      <c r="CE132" s="550"/>
      <c r="CF132" s="551"/>
      <c r="CG132" s="551"/>
      <c r="CH132" s="551"/>
      <c r="CI132" s="551"/>
      <c r="CJ132" s="551"/>
      <c r="CK132" s="551"/>
      <c r="CL132" s="551"/>
      <c r="CM132" s="552"/>
    </row>
    <row r="133" spans="1:91" s="116" customFormat="1" ht="20.25" customHeight="1">
      <c r="A133" s="115" t="s">
        <v>76</v>
      </c>
      <c r="B133" s="139">
        <v>1905</v>
      </c>
      <c r="C133" s="514"/>
      <c r="D133" s="515"/>
      <c r="E133" s="515"/>
      <c r="F133" s="515"/>
      <c r="G133" s="515"/>
      <c r="H133" s="515"/>
      <c r="I133" s="515"/>
      <c r="J133" s="515"/>
      <c r="K133" s="516"/>
      <c r="L133" s="162">
        <v>287</v>
      </c>
      <c r="M133" s="387"/>
      <c r="N133" s="388"/>
      <c r="O133" s="388"/>
      <c r="P133" s="388"/>
      <c r="Q133" s="388"/>
      <c r="R133" s="388"/>
      <c r="S133" s="388"/>
      <c r="T133" s="388"/>
      <c r="U133" s="389"/>
      <c r="V133" s="140">
        <v>2131</v>
      </c>
      <c r="W133" s="514"/>
      <c r="X133" s="515"/>
      <c r="Y133" s="515"/>
      <c r="Z133" s="515"/>
      <c r="AA133" s="515"/>
      <c r="AB133" s="515"/>
      <c r="AC133" s="515"/>
      <c r="AD133" s="515"/>
      <c r="AE133" s="516"/>
      <c r="AF133" s="140">
        <v>2262</v>
      </c>
      <c r="AG133" s="514"/>
      <c r="AH133" s="515"/>
      <c r="AI133" s="515"/>
      <c r="AJ133" s="515"/>
      <c r="AK133" s="515"/>
      <c r="AL133" s="515"/>
      <c r="AM133" s="515"/>
      <c r="AN133" s="515"/>
      <c r="AO133" s="516"/>
      <c r="AP133" s="140">
        <v>2242</v>
      </c>
      <c r="AQ133" s="514"/>
      <c r="AR133" s="515"/>
      <c r="AS133" s="515"/>
      <c r="AT133" s="515"/>
      <c r="AU133" s="515"/>
      <c r="AV133" s="515"/>
      <c r="AW133" s="515"/>
      <c r="AX133" s="515"/>
      <c r="AY133" s="515"/>
      <c r="AZ133" s="365">
        <v>2290</v>
      </c>
      <c r="BA133" s="514"/>
      <c r="BB133" s="515"/>
      <c r="BC133" s="515"/>
      <c r="BD133" s="515"/>
      <c r="BE133" s="515"/>
      <c r="BF133" s="515"/>
      <c r="BG133" s="515"/>
      <c r="BH133" s="515"/>
      <c r="BI133" s="516"/>
      <c r="BJ133" s="140">
        <v>2419</v>
      </c>
      <c r="BK133" s="514"/>
      <c r="BL133" s="515"/>
      <c r="BM133" s="515"/>
      <c r="BN133" s="515"/>
      <c r="BO133" s="515"/>
      <c r="BP133" s="515"/>
      <c r="BQ133" s="515"/>
      <c r="BR133" s="515"/>
      <c r="BS133" s="516"/>
      <c r="BT133" s="140">
        <v>2408</v>
      </c>
      <c r="BU133" s="514"/>
      <c r="BV133" s="515"/>
      <c r="BW133" s="515"/>
      <c r="BX133" s="515"/>
      <c r="BY133" s="515"/>
      <c r="BZ133" s="515"/>
      <c r="CA133" s="515"/>
      <c r="CB133" s="515"/>
      <c r="CC133" s="516"/>
      <c r="CD133" s="372">
        <v>2345</v>
      </c>
      <c r="CE133" s="550"/>
      <c r="CF133" s="551"/>
      <c r="CG133" s="551"/>
      <c r="CH133" s="551"/>
      <c r="CI133" s="551"/>
      <c r="CJ133" s="551"/>
      <c r="CK133" s="551"/>
      <c r="CL133" s="551"/>
      <c r="CM133" s="552"/>
    </row>
    <row r="134" spans="1:91" s="116" customFormat="1" ht="20.25" customHeight="1">
      <c r="A134" s="115" t="s">
        <v>77</v>
      </c>
      <c r="B134" s="117">
        <f>IFERROR(B133/B130,"")</f>
        <v>0.81900257953568356</v>
      </c>
      <c r="C134" s="514"/>
      <c r="D134" s="515"/>
      <c r="E134" s="515"/>
      <c r="F134" s="515"/>
      <c r="G134" s="515"/>
      <c r="H134" s="515"/>
      <c r="I134" s="515"/>
      <c r="J134" s="515"/>
      <c r="K134" s="516"/>
      <c r="L134" s="126">
        <f>IFERROR(L133/L130,"")</f>
        <v>0.10391020999275886</v>
      </c>
      <c r="M134" s="387"/>
      <c r="N134" s="388"/>
      <c r="O134" s="388"/>
      <c r="P134" s="388"/>
      <c r="Q134" s="388"/>
      <c r="R134" s="388"/>
      <c r="S134" s="388"/>
      <c r="T134" s="388"/>
      <c r="U134" s="389"/>
      <c r="V134" s="118">
        <f>IFERROR(V133/V130,"")</f>
        <v>0.76848178867652361</v>
      </c>
      <c r="W134" s="514"/>
      <c r="X134" s="515"/>
      <c r="Y134" s="515"/>
      <c r="Z134" s="515"/>
      <c r="AA134" s="515"/>
      <c r="AB134" s="515"/>
      <c r="AC134" s="515"/>
      <c r="AD134" s="515"/>
      <c r="AE134" s="516"/>
      <c r="AF134" s="118">
        <f>IFERROR(AF133/AF130,"")</f>
        <v>0.76470588235294112</v>
      </c>
      <c r="AG134" s="514"/>
      <c r="AH134" s="515"/>
      <c r="AI134" s="515"/>
      <c r="AJ134" s="515"/>
      <c r="AK134" s="515"/>
      <c r="AL134" s="515"/>
      <c r="AM134" s="515"/>
      <c r="AN134" s="515"/>
      <c r="AO134" s="516"/>
      <c r="AP134" s="118">
        <f>IFERROR(AP133/AP130,"")</f>
        <v>0.77124183006535951</v>
      </c>
      <c r="AQ134" s="514"/>
      <c r="AR134" s="515"/>
      <c r="AS134" s="515"/>
      <c r="AT134" s="515"/>
      <c r="AU134" s="515"/>
      <c r="AV134" s="515"/>
      <c r="AW134" s="515"/>
      <c r="AX134" s="515"/>
      <c r="AY134" s="516"/>
      <c r="AZ134" s="233">
        <f>IFERROR(AZ133/AZ130,"")</f>
        <v>0.74617139133268162</v>
      </c>
      <c r="BA134" s="514"/>
      <c r="BB134" s="515"/>
      <c r="BC134" s="515"/>
      <c r="BD134" s="515"/>
      <c r="BE134" s="515"/>
      <c r="BF134" s="515"/>
      <c r="BG134" s="515"/>
      <c r="BH134" s="515"/>
      <c r="BI134" s="516"/>
      <c r="BJ134" s="118">
        <f>IFERROR(BJ133/BJ130,"")</f>
        <v>0.73907729911396269</v>
      </c>
      <c r="BK134" s="514"/>
      <c r="BL134" s="515"/>
      <c r="BM134" s="515"/>
      <c r="BN134" s="515"/>
      <c r="BO134" s="515"/>
      <c r="BP134" s="515"/>
      <c r="BQ134" s="515"/>
      <c r="BR134" s="515"/>
      <c r="BS134" s="516"/>
      <c r="BT134" s="118">
        <f>IFERROR(BT133/BT130,"")</f>
        <v>0.73213742778960167</v>
      </c>
      <c r="BU134" s="514"/>
      <c r="BV134" s="515"/>
      <c r="BW134" s="515"/>
      <c r="BX134" s="515"/>
      <c r="BY134" s="515"/>
      <c r="BZ134" s="515"/>
      <c r="CA134" s="515"/>
      <c r="CB134" s="515"/>
      <c r="CC134" s="516"/>
      <c r="CD134" s="118">
        <f>IFERROR(CD133/CD130,"")</f>
        <v>0.73811772112055396</v>
      </c>
      <c r="CE134" s="550"/>
      <c r="CF134" s="551"/>
      <c r="CG134" s="551"/>
      <c r="CH134" s="551"/>
      <c r="CI134" s="551"/>
      <c r="CJ134" s="551"/>
      <c r="CK134" s="551"/>
      <c r="CL134" s="551"/>
      <c r="CM134" s="552"/>
    </row>
    <row r="135" spans="1:91" s="122" customFormat="1" ht="20.25" customHeight="1">
      <c r="A135" s="115" t="s">
        <v>304</v>
      </c>
      <c r="B135" s="120">
        <f>C127</f>
        <v>73819960</v>
      </c>
      <c r="C135" s="514"/>
      <c r="D135" s="515"/>
      <c r="E135" s="515"/>
      <c r="F135" s="515"/>
      <c r="G135" s="515"/>
      <c r="H135" s="515"/>
      <c r="I135" s="515"/>
      <c r="J135" s="515"/>
      <c r="K135" s="516"/>
      <c r="L135" s="163">
        <f>M127</f>
        <v>72156208</v>
      </c>
      <c r="M135" s="387"/>
      <c r="N135" s="388"/>
      <c r="O135" s="388"/>
      <c r="P135" s="388"/>
      <c r="Q135" s="388"/>
      <c r="R135" s="388"/>
      <c r="S135" s="388"/>
      <c r="T135" s="388"/>
      <c r="U135" s="389"/>
      <c r="V135" s="121">
        <f>W127</f>
        <v>77808267</v>
      </c>
      <c r="W135" s="514"/>
      <c r="X135" s="515"/>
      <c r="Y135" s="515"/>
      <c r="Z135" s="515"/>
      <c r="AA135" s="515"/>
      <c r="AB135" s="515"/>
      <c r="AC135" s="515"/>
      <c r="AD135" s="515"/>
      <c r="AE135" s="516"/>
      <c r="AF135" s="121">
        <f>AG127</f>
        <v>82763579</v>
      </c>
      <c r="AG135" s="514"/>
      <c r="AH135" s="515"/>
      <c r="AI135" s="515"/>
      <c r="AJ135" s="515"/>
      <c r="AK135" s="515"/>
      <c r="AL135" s="515"/>
      <c r="AM135" s="515"/>
      <c r="AN135" s="515"/>
      <c r="AO135" s="516"/>
      <c r="AP135" s="121">
        <f>AQ127</f>
        <v>82098280</v>
      </c>
      <c r="AQ135" s="514"/>
      <c r="AR135" s="515"/>
      <c r="AS135" s="515"/>
      <c r="AT135" s="515"/>
      <c r="AU135" s="515"/>
      <c r="AV135" s="515"/>
      <c r="AW135" s="515"/>
      <c r="AX135" s="515"/>
      <c r="AY135" s="516"/>
      <c r="AZ135" s="233">
        <f>BA127</f>
        <v>88128329.700000003</v>
      </c>
      <c r="BA135" s="514"/>
      <c r="BB135" s="515"/>
      <c r="BC135" s="515"/>
      <c r="BD135" s="515"/>
      <c r="BE135" s="515"/>
      <c r="BF135" s="515"/>
      <c r="BG135" s="515"/>
      <c r="BH135" s="515"/>
      <c r="BI135" s="516"/>
      <c r="BJ135" s="121">
        <f>BK127</f>
        <v>93662730</v>
      </c>
      <c r="BK135" s="514"/>
      <c r="BL135" s="515"/>
      <c r="BM135" s="515"/>
      <c r="BN135" s="515"/>
      <c r="BO135" s="515"/>
      <c r="BP135" s="515"/>
      <c r="BQ135" s="515"/>
      <c r="BR135" s="515"/>
      <c r="BS135" s="516"/>
      <c r="BT135" s="121">
        <f>BU127</f>
        <v>96124682</v>
      </c>
      <c r="BU135" s="514"/>
      <c r="BV135" s="515"/>
      <c r="BW135" s="515"/>
      <c r="BX135" s="515"/>
      <c r="BY135" s="515"/>
      <c r="BZ135" s="515"/>
      <c r="CA135" s="515"/>
      <c r="CB135" s="515"/>
      <c r="CC135" s="516"/>
      <c r="CD135" s="121">
        <f>CE127</f>
        <v>95891069</v>
      </c>
      <c r="CE135" s="550"/>
      <c r="CF135" s="551"/>
      <c r="CG135" s="551"/>
      <c r="CH135" s="551"/>
      <c r="CI135" s="551"/>
      <c r="CJ135" s="551"/>
      <c r="CK135" s="551"/>
      <c r="CL135" s="551"/>
      <c r="CM135" s="552"/>
    </row>
    <row r="136" spans="1:91" s="122" customFormat="1" ht="20.25" customHeight="1">
      <c r="A136" s="115" t="s">
        <v>78</v>
      </c>
      <c r="B136" s="120">
        <f>J127</f>
        <v>53775481</v>
      </c>
      <c r="C136" s="514"/>
      <c r="D136" s="515"/>
      <c r="E136" s="515"/>
      <c r="F136" s="515"/>
      <c r="G136" s="515"/>
      <c r="H136" s="515"/>
      <c r="I136" s="515"/>
      <c r="J136" s="515"/>
      <c r="K136" s="516"/>
      <c r="L136" s="163">
        <f>T127</f>
        <v>51086636</v>
      </c>
      <c r="M136" s="387"/>
      <c r="N136" s="388"/>
      <c r="O136" s="388"/>
      <c r="P136" s="388"/>
      <c r="Q136" s="388"/>
      <c r="R136" s="388"/>
      <c r="S136" s="388"/>
      <c r="T136" s="388"/>
      <c r="U136" s="389"/>
      <c r="V136" s="121">
        <f>AD127</f>
        <v>54699614</v>
      </c>
      <c r="W136" s="514"/>
      <c r="X136" s="515"/>
      <c r="Y136" s="515"/>
      <c r="Z136" s="515"/>
      <c r="AA136" s="515"/>
      <c r="AB136" s="515"/>
      <c r="AC136" s="515"/>
      <c r="AD136" s="515"/>
      <c r="AE136" s="516"/>
      <c r="AF136" s="121">
        <f>AN127</f>
        <v>59211472</v>
      </c>
      <c r="AG136" s="514"/>
      <c r="AH136" s="515"/>
      <c r="AI136" s="515"/>
      <c r="AJ136" s="515"/>
      <c r="AK136" s="515"/>
      <c r="AL136" s="515"/>
      <c r="AM136" s="515"/>
      <c r="AN136" s="515"/>
      <c r="AO136" s="516"/>
      <c r="AP136" s="121">
        <f>AX127</f>
        <v>58990871</v>
      </c>
      <c r="AQ136" s="514"/>
      <c r="AR136" s="515"/>
      <c r="AS136" s="515"/>
      <c r="AT136" s="515"/>
      <c r="AU136" s="515"/>
      <c r="AV136" s="515"/>
      <c r="AW136" s="515"/>
      <c r="AX136" s="515"/>
      <c r="AY136" s="516"/>
      <c r="AZ136" s="233">
        <f>BH127</f>
        <v>61621241</v>
      </c>
      <c r="BA136" s="514"/>
      <c r="BB136" s="515"/>
      <c r="BC136" s="515"/>
      <c r="BD136" s="515"/>
      <c r="BE136" s="515"/>
      <c r="BF136" s="515"/>
      <c r="BG136" s="515"/>
      <c r="BH136" s="515"/>
      <c r="BI136" s="516"/>
      <c r="BJ136" s="121">
        <f>BR127</f>
        <v>66525530.75</v>
      </c>
      <c r="BK136" s="514"/>
      <c r="BL136" s="515"/>
      <c r="BM136" s="515"/>
      <c r="BN136" s="515"/>
      <c r="BO136" s="515"/>
      <c r="BP136" s="515"/>
      <c r="BQ136" s="515"/>
      <c r="BR136" s="515"/>
      <c r="BS136" s="516"/>
      <c r="BT136" s="121">
        <f>CB127</f>
        <v>66586750</v>
      </c>
      <c r="BU136" s="514"/>
      <c r="BV136" s="515"/>
      <c r="BW136" s="515"/>
      <c r="BX136" s="515"/>
      <c r="BY136" s="515"/>
      <c r="BZ136" s="515"/>
      <c r="CA136" s="515"/>
      <c r="CB136" s="515"/>
      <c r="CC136" s="516"/>
      <c r="CD136" s="121">
        <f>CL127</f>
        <v>67524728.810000002</v>
      </c>
      <c r="CE136" s="550"/>
      <c r="CF136" s="551"/>
      <c r="CG136" s="551"/>
      <c r="CH136" s="551"/>
      <c r="CI136" s="551"/>
      <c r="CJ136" s="551"/>
      <c r="CK136" s="551"/>
      <c r="CL136" s="551"/>
      <c r="CM136" s="552"/>
    </row>
    <row r="137" spans="1:91" s="122" customFormat="1" ht="20.25" customHeight="1">
      <c r="A137" s="115" t="s">
        <v>305</v>
      </c>
      <c r="B137" s="120">
        <f>K127</f>
        <v>5939689</v>
      </c>
      <c r="C137" s="514"/>
      <c r="D137" s="515"/>
      <c r="E137" s="515"/>
      <c r="F137" s="515"/>
      <c r="G137" s="515"/>
      <c r="H137" s="515"/>
      <c r="I137" s="515"/>
      <c r="J137" s="515"/>
      <c r="K137" s="516"/>
      <c r="L137" s="120">
        <f>U127</f>
        <v>3886910</v>
      </c>
      <c r="M137" s="387"/>
      <c r="N137" s="388"/>
      <c r="O137" s="388"/>
      <c r="P137" s="388"/>
      <c r="Q137" s="388"/>
      <c r="R137" s="388"/>
      <c r="S137" s="388"/>
      <c r="T137" s="388"/>
      <c r="U137" s="389"/>
      <c r="V137" s="120">
        <f>AE127</f>
        <v>3978128</v>
      </c>
      <c r="W137" s="514"/>
      <c r="X137" s="515"/>
      <c r="Y137" s="515"/>
      <c r="Z137" s="515"/>
      <c r="AA137" s="515"/>
      <c r="AB137" s="515"/>
      <c r="AC137" s="515"/>
      <c r="AD137" s="515"/>
      <c r="AE137" s="516"/>
      <c r="AF137" s="120">
        <f>AO127</f>
        <v>4434416</v>
      </c>
      <c r="AG137" s="514"/>
      <c r="AH137" s="515"/>
      <c r="AI137" s="515"/>
      <c r="AJ137" s="515"/>
      <c r="AK137" s="515"/>
      <c r="AL137" s="515"/>
      <c r="AM137" s="515"/>
      <c r="AN137" s="515"/>
      <c r="AO137" s="516"/>
      <c r="AP137" s="120">
        <f>AY127</f>
        <v>4756659</v>
      </c>
      <c r="AQ137" s="514"/>
      <c r="AR137" s="515"/>
      <c r="AS137" s="515"/>
      <c r="AT137" s="515"/>
      <c r="AU137" s="515"/>
      <c r="AV137" s="515"/>
      <c r="AW137" s="515"/>
      <c r="AX137" s="515"/>
      <c r="AY137" s="516"/>
      <c r="AZ137" s="366">
        <f>BI127</f>
        <v>5348030</v>
      </c>
      <c r="BA137" s="514"/>
      <c r="BB137" s="515"/>
      <c r="BC137" s="515"/>
      <c r="BD137" s="515"/>
      <c r="BE137" s="515"/>
      <c r="BF137" s="515"/>
      <c r="BG137" s="515"/>
      <c r="BH137" s="515"/>
      <c r="BI137" s="516"/>
      <c r="BJ137" s="120">
        <f>BS127</f>
        <v>5643916</v>
      </c>
      <c r="BK137" s="514"/>
      <c r="BL137" s="515"/>
      <c r="BM137" s="515"/>
      <c r="BN137" s="515"/>
      <c r="BO137" s="515"/>
      <c r="BP137" s="515"/>
      <c r="BQ137" s="515"/>
      <c r="BR137" s="515"/>
      <c r="BS137" s="516"/>
      <c r="BT137" s="120">
        <f>CC127</f>
        <v>5479395</v>
      </c>
      <c r="BU137" s="514"/>
      <c r="BV137" s="515"/>
      <c r="BW137" s="515"/>
      <c r="BX137" s="515"/>
      <c r="BY137" s="515"/>
      <c r="BZ137" s="515"/>
      <c r="CA137" s="515"/>
      <c r="CB137" s="515"/>
      <c r="CC137" s="516"/>
      <c r="CD137" s="120">
        <f>CM127</f>
        <v>5324401</v>
      </c>
      <c r="CE137" s="550"/>
      <c r="CF137" s="551"/>
      <c r="CG137" s="551"/>
      <c r="CH137" s="551"/>
      <c r="CI137" s="551"/>
      <c r="CJ137" s="551"/>
      <c r="CK137" s="551"/>
      <c r="CL137" s="551"/>
      <c r="CM137" s="552"/>
    </row>
    <row r="138" spans="1:91" s="122" customFormat="1" ht="20.25" customHeight="1">
      <c r="A138" s="115" t="s">
        <v>306</v>
      </c>
      <c r="B138" s="120">
        <f>E127-B137</f>
        <v>8990765</v>
      </c>
      <c r="C138" s="514"/>
      <c r="D138" s="515"/>
      <c r="E138" s="515"/>
      <c r="F138" s="515"/>
      <c r="G138" s="515"/>
      <c r="H138" s="515"/>
      <c r="I138" s="515"/>
      <c r="J138" s="515"/>
      <c r="K138" s="516"/>
      <c r="L138" s="120">
        <f>O127-L137</f>
        <v>10142168</v>
      </c>
      <c r="M138" s="387"/>
      <c r="N138" s="388"/>
      <c r="O138" s="388"/>
      <c r="P138" s="388"/>
      <c r="Q138" s="388"/>
      <c r="R138" s="388"/>
      <c r="S138" s="388"/>
      <c r="T138" s="388"/>
      <c r="U138" s="389"/>
      <c r="V138" s="120">
        <f>Y127-V137</f>
        <v>9806332</v>
      </c>
      <c r="W138" s="514"/>
      <c r="X138" s="515"/>
      <c r="Y138" s="515"/>
      <c r="Z138" s="515"/>
      <c r="AA138" s="515"/>
      <c r="AB138" s="515"/>
      <c r="AC138" s="515"/>
      <c r="AD138" s="515"/>
      <c r="AE138" s="516"/>
      <c r="AF138" s="120">
        <f>AI127-AF137</f>
        <v>10014347</v>
      </c>
      <c r="AG138" s="514"/>
      <c r="AH138" s="515"/>
      <c r="AI138" s="515"/>
      <c r="AJ138" s="515"/>
      <c r="AK138" s="515"/>
      <c r="AL138" s="515"/>
      <c r="AM138" s="515"/>
      <c r="AN138" s="515"/>
      <c r="AO138" s="516"/>
      <c r="AP138" s="120">
        <f>AS127-AP137</f>
        <v>9000741</v>
      </c>
      <c r="AQ138" s="514"/>
      <c r="AR138" s="515"/>
      <c r="AS138" s="515"/>
      <c r="AT138" s="515"/>
      <c r="AU138" s="515"/>
      <c r="AV138" s="515"/>
      <c r="AW138" s="515"/>
      <c r="AX138" s="515"/>
      <c r="AY138" s="516"/>
      <c r="AZ138" s="366">
        <f>BC127-AZ137</f>
        <v>10335420</v>
      </c>
      <c r="BA138" s="514"/>
      <c r="BB138" s="515"/>
      <c r="BC138" s="515"/>
      <c r="BD138" s="515"/>
      <c r="BE138" s="515"/>
      <c r="BF138" s="515"/>
      <c r="BG138" s="515"/>
      <c r="BH138" s="515"/>
      <c r="BI138" s="516"/>
      <c r="BJ138" s="120">
        <f>BM127-BJ137</f>
        <v>10040768</v>
      </c>
      <c r="BK138" s="514"/>
      <c r="BL138" s="515"/>
      <c r="BM138" s="515"/>
      <c r="BN138" s="515"/>
      <c r="BO138" s="515"/>
      <c r="BP138" s="515"/>
      <c r="BQ138" s="515"/>
      <c r="BR138" s="515"/>
      <c r="BS138" s="516"/>
      <c r="BT138" s="120">
        <f>BW127-BT137</f>
        <v>9415799</v>
      </c>
      <c r="BU138" s="514"/>
      <c r="BV138" s="515"/>
      <c r="BW138" s="515"/>
      <c r="BX138" s="515"/>
      <c r="BY138" s="515"/>
      <c r="BZ138" s="515"/>
      <c r="CA138" s="515"/>
      <c r="CB138" s="515"/>
      <c r="CC138" s="516"/>
      <c r="CD138" s="120">
        <f>CG127-CD137</f>
        <v>6394390</v>
      </c>
      <c r="CE138" s="550"/>
      <c r="CF138" s="551"/>
      <c r="CG138" s="551"/>
      <c r="CH138" s="551"/>
      <c r="CI138" s="551"/>
      <c r="CJ138" s="551"/>
      <c r="CK138" s="551"/>
      <c r="CL138" s="551"/>
      <c r="CM138" s="552"/>
    </row>
    <row r="139" spans="1:91" s="116" customFormat="1" ht="20.25" customHeight="1">
      <c r="A139" s="115" t="s">
        <v>307</v>
      </c>
      <c r="B139" s="117">
        <f>IFERROR(B136/B135,"")</f>
        <v>0.72846803222326317</v>
      </c>
      <c r="C139" s="514"/>
      <c r="D139" s="515"/>
      <c r="E139" s="515"/>
      <c r="F139" s="515"/>
      <c r="G139" s="515"/>
      <c r="H139" s="515"/>
      <c r="I139" s="515"/>
      <c r="J139" s="515"/>
      <c r="K139" s="516"/>
      <c r="L139" s="126">
        <f>IFERROR(L136/L135,"")</f>
        <v>0.7080005645529488</v>
      </c>
      <c r="M139" s="387"/>
      <c r="N139" s="388"/>
      <c r="O139" s="388"/>
      <c r="P139" s="388"/>
      <c r="Q139" s="388"/>
      <c r="R139" s="388"/>
      <c r="S139" s="388"/>
      <c r="T139" s="388"/>
      <c r="U139" s="389"/>
      <c r="V139" s="118">
        <f>IFERROR(V136/V135,"")</f>
        <v>0.70300517038889965</v>
      </c>
      <c r="W139" s="514"/>
      <c r="X139" s="515"/>
      <c r="Y139" s="515"/>
      <c r="Z139" s="515"/>
      <c r="AA139" s="515"/>
      <c r="AB139" s="515"/>
      <c r="AC139" s="515"/>
      <c r="AD139" s="515"/>
      <c r="AE139" s="516"/>
      <c r="AF139" s="118">
        <f>IFERROR(AF136/AF135,"")</f>
        <v>0.71542908988988985</v>
      </c>
      <c r="AG139" s="514"/>
      <c r="AH139" s="515"/>
      <c r="AI139" s="515"/>
      <c r="AJ139" s="515"/>
      <c r="AK139" s="515"/>
      <c r="AL139" s="515"/>
      <c r="AM139" s="515"/>
      <c r="AN139" s="515"/>
      <c r="AO139" s="516"/>
      <c r="AP139" s="118">
        <f>IFERROR(AP136/AP135,"")</f>
        <v>0.71853966977140082</v>
      </c>
      <c r="AQ139" s="514"/>
      <c r="AR139" s="515"/>
      <c r="AS139" s="515"/>
      <c r="AT139" s="515"/>
      <c r="AU139" s="515"/>
      <c r="AV139" s="515"/>
      <c r="AW139" s="515"/>
      <c r="AX139" s="515"/>
      <c r="AY139" s="516"/>
      <c r="AZ139" s="233">
        <f>IFERROR(AZ136/AZ135,"")</f>
        <v>0.69922170554878904</v>
      </c>
      <c r="BA139" s="514"/>
      <c r="BB139" s="515"/>
      <c r="BC139" s="515"/>
      <c r="BD139" s="515"/>
      <c r="BE139" s="515"/>
      <c r="BF139" s="515"/>
      <c r="BG139" s="515"/>
      <c r="BH139" s="515"/>
      <c r="BI139" s="516"/>
      <c r="BJ139" s="118">
        <f>IFERROR(BJ136/BJ135,"")</f>
        <v>0.71026683452425532</v>
      </c>
      <c r="BK139" s="514"/>
      <c r="BL139" s="515"/>
      <c r="BM139" s="515"/>
      <c r="BN139" s="515"/>
      <c r="BO139" s="515"/>
      <c r="BP139" s="515"/>
      <c r="BQ139" s="515"/>
      <c r="BR139" s="515"/>
      <c r="BS139" s="516"/>
      <c r="BT139" s="118">
        <f>IFERROR(BT136/BT135,"")</f>
        <v>0.69271230462952271</v>
      </c>
      <c r="BU139" s="514"/>
      <c r="BV139" s="515"/>
      <c r="BW139" s="515"/>
      <c r="BX139" s="515"/>
      <c r="BY139" s="515"/>
      <c r="BZ139" s="515"/>
      <c r="CA139" s="515"/>
      <c r="CB139" s="515"/>
      <c r="CC139" s="516"/>
      <c r="CD139" s="118">
        <f>IFERROR(CD136/CD135,"")</f>
        <v>0.70418162519389582</v>
      </c>
      <c r="CE139" s="550"/>
      <c r="CF139" s="551"/>
      <c r="CG139" s="551"/>
      <c r="CH139" s="551"/>
      <c r="CI139" s="551"/>
      <c r="CJ139" s="551"/>
      <c r="CK139" s="551"/>
      <c r="CL139" s="551"/>
      <c r="CM139" s="552"/>
    </row>
    <row r="140" spans="1:91" s="122" customFormat="1" ht="20.25" customHeight="1">
      <c r="A140" s="119" t="s">
        <v>308</v>
      </c>
      <c r="B140" s="141">
        <v>50595637</v>
      </c>
      <c r="C140" s="514"/>
      <c r="D140" s="515"/>
      <c r="E140" s="515"/>
      <c r="F140" s="515"/>
      <c r="G140" s="515"/>
      <c r="H140" s="515"/>
      <c r="I140" s="515"/>
      <c r="J140" s="515"/>
      <c r="K140" s="516"/>
      <c r="L140" s="164">
        <v>50077841</v>
      </c>
      <c r="M140" s="387"/>
      <c r="N140" s="388"/>
      <c r="O140" s="388"/>
      <c r="P140" s="388"/>
      <c r="Q140" s="388"/>
      <c r="R140" s="388"/>
      <c r="S140" s="388"/>
      <c r="T140" s="388"/>
      <c r="U140" s="389"/>
      <c r="V140" s="142">
        <v>58201024</v>
      </c>
      <c r="W140" s="514"/>
      <c r="X140" s="515"/>
      <c r="Y140" s="515"/>
      <c r="Z140" s="515"/>
      <c r="AA140" s="515"/>
      <c r="AB140" s="515"/>
      <c r="AC140" s="515"/>
      <c r="AD140" s="515"/>
      <c r="AE140" s="516"/>
      <c r="AF140" s="142">
        <f>57028352-31811</f>
        <v>56996541</v>
      </c>
      <c r="AG140" s="514"/>
      <c r="AH140" s="515"/>
      <c r="AI140" s="515"/>
      <c r="AJ140" s="515"/>
      <c r="AK140" s="515"/>
      <c r="AL140" s="515"/>
      <c r="AM140" s="515"/>
      <c r="AN140" s="515"/>
      <c r="AO140" s="516"/>
      <c r="AP140" s="142">
        <f>61293821-34045</f>
        <v>61259776</v>
      </c>
      <c r="AQ140" s="514"/>
      <c r="AR140" s="515"/>
      <c r="AS140" s="515"/>
      <c r="AT140" s="515"/>
      <c r="AU140" s="515"/>
      <c r="AV140" s="515"/>
      <c r="AW140" s="515"/>
      <c r="AX140" s="515"/>
      <c r="AY140" s="516"/>
      <c r="AZ140" s="365">
        <f>68060769-310627</f>
        <v>67750142</v>
      </c>
      <c r="BA140" s="514"/>
      <c r="BB140" s="515"/>
      <c r="BC140" s="515"/>
      <c r="BD140" s="515"/>
      <c r="BE140" s="515"/>
      <c r="BF140" s="515"/>
      <c r="BG140" s="515"/>
      <c r="BH140" s="515"/>
      <c r="BI140" s="516"/>
      <c r="BJ140" s="142">
        <f>73329650-28630</f>
        <v>73301020</v>
      </c>
      <c r="BK140" s="514"/>
      <c r="BL140" s="515"/>
      <c r="BM140" s="515"/>
      <c r="BN140" s="515"/>
      <c r="BO140" s="515"/>
      <c r="BP140" s="515"/>
      <c r="BQ140" s="515"/>
      <c r="BR140" s="515"/>
      <c r="BS140" s="516"/>
      <c r="BT140" s="142">
        <f>'Enrollment &amp; Tuition Summary'!AQ218-'Enrollment &amp; Tuition Summary'!AQ221</f>
        <v>73206136.25</v>
      </c>
      <c r="BU140" s="514"/>
      <c r="BV140" s="515"/>
      <c r="BW140" s="515"/>
      <c r="BX140" s="515"/>
      <c r="BY140" s="515"/>
      <c r="BZ140" s="515"/>
      <c r="CA140" s="515"/>
      <c r="CB140" s="515"/>
      <c r="CC140" s="516"/>
      <c r="CD140" s="123">
        <v>57607652</v>
      </c>
      <c r="CE140" s="550"/>
      <c r="CF140" s="551"/>
      <c r="CG140" s="551"/>
      <c r="CH140" s="551"/>
      <c r="CI140" s="551"/>
      <c r="CJ140" s="551"/>
      <c r="CK140" s="551"/>
      <c r="CL140" s="551"/>
      <c r="CM140" s="552"/>
    </row>
    <row r="141" spans="1:91" s="116" customFormat="1" ht="20.25" customHeight="1">
      <c r="A141" s="115" t="s">
        <v>309</v>
      </c>
      <c r="B141" s="124">
        <f>IFERROR(E127/B140,"")</f>
        <v>0.29509370541179269</v>
      </c>
      <c r="C141" s="514"/>
      <c r="D141" s="515"/>
      <c r="E141" s="515"/>
      <c r="F141" s="515"/>
      <c r="G141" s="515"/>
      <c r="H141" s="515"/>
      <c r="I141" s="515"/>
      <c r="J141" s="515"/>
      <c r="K141" s="516"/>
      <c r="L141" s="165">
        <f>IFERROR(O127/L140,"")</f>
        <v>0.28014542400100673</v>
      </c>
      <c r="M141" s="387"/>
      <c r="N141" s="388"/>
      <c r="O141" s="388"/>
      <c r="P141" s="388"/>
      <c r="Q141" s="388"/>
      <c r="R141" s="388"/>
      <c r="S141" s="388"/>
      <c r="T141" s="388"/>
      <c r="U141" s="389"/>
      <c r="V141" s="125">
        <f>IFERROR(Y127/V140,"")</f>
        <v>0.23684222463164908</v>
      </c>
      <c r="W141" s="514"/>
      <c r="X141" s="515"/>
      <c r="Y141" s="515"/>
      <c r="Z141" s="515"/>
      <c r="AA141" s="515"/>
      <c r="AB141" s="515"/>
      <c r="AC141" s="515"/>
      <c r="AD141" s="515"/>
      <c r="AE141" s="516"/>
      <c r="AF141" s="125">
        <f>IFERROR(AI127/AF140,"")</f>
        <v>0.25350245377171221</v>
      </c>
      <c r="AG141" s="514"/>
      <c r="AH141" s="515"/>
      <c r="AI141" s="515"/>
      <c r="AJ141" s="515"/>
      <c r="AK141" s="515"/>
      <c r="AL141" s="515"/>
      <c r="AM141" s="515"/>
      <c r="AN141" s="515"/>
      <c r="AO141" s="516"/>
      <c r="AP141" s="125">
        <f>IFERROR(AS127/AP140,"")</f>
        <v>0.22457476827861728</v>
      </c>
      <c r="AQ141" s="514"/>
      <c r="AR141" s="515"/>
      <c r="AS141" s="515"/>
      <c r="AT141" s="515"/>
      <c r="AU141" s="515"/>
      <c r="AV141" s="515"/>
      <c r="AW141" s="515"/>
      <c r="AX141" s="515"/>
      <c r="AY141" s="516"/>
      <c r="AZ141" s="233">
        <f>IFERROR(BC127/AZ140,"")</f>
        <v>0.23148955171193589</v>
      </c>
      <c r="BA141" s="514"/>
      <c r="BB141" s="515"/>
      <c r="BC141" s="515"/>
      <c r="BD141" s="515"/>
      <c r="BE141" s="515"/>
      <c r="BF141" s="515"/>
      <c r="BG141" s="515"/>
      <c r="BH141" s="515"/>
      <c r="BI141" s="516"/>
      <c r="BJ141" s="125">
        <f>IFERROR(BM127/BJ140,"")</f>
        <v>0.21397634030194942</v>
      </c>
      <c r="BK141" s="514"/>
      <c r="BL141" s="515"/>
      <c r="BM141" s="515"/>
      <c r="BN141" s="515"/>
      <c r="BO141" s="515"/>
      <c r="BP141" s="515"/>
      <c r="BQ141" s="515"/>
      <c r="BR141" s="515"/>
      <c r="BS141" s="516"/>
      <c r="BT141" s="125">
        <f>IFERROR(BW127/BT140,"")</f>
        <v>0.20346920030218096</v>
      </c>
      <c r="BU141" s="514"/>
      <c r="BV141" s="515"/>
      <c r="BW141" s="515"/>
      <c r="BX141" s="515"/>
      <c r="BY141" s="515"/>
      <c r="BZ141" s="515"/>
      <c r="CA141" s="515"/>
      <c r="CB141" s="515"/>
      <c r="CC141" s="516"/>
      <c r="CD141" s="125">
        <f>IFERROR(CG127/CD140,"")</f>
        <v>0.20342420829788377</v>
      </c>
      <c r="CE141" s="550"/>
      <c r="CF141" s="551"/>
      <c r="CG141" s="551"/>
      <c r="CH141" s="551"/>
      <c r="CI141" s="551"/>
      <c r="CJ141" s="551"/>
      <c r="CK141" s="551"/>
      <c r="CL141" s="551"/>
      <c r="CM141" s="552"/>
    </row>
    <row r="142" spans="1:91" s="116" customFormat="1" ht="20.25" customHeight="1">
      <c r="A142" s="115" t="s">
        <v>310</v>
      </c>
      <c r="B142" s="126">
        <f>IFERROR(E127/C127,"")</f>
        <v>0.20225497277430116</v>
      </c>
      <c r="C142" s="514"/>
      <c r="D142" s="515"/>
      <c r="E142" s="515"/>
      <c r="F142" s="515"/>
      <c r="G142" s="515"/>
      <c r="H142" s="515"/>
      <c r="I142" s="515"/>
      <c r="J142" s="515"/>
      <c r="K142" s="516"/>
      <c r="L142" s="126">
        <f>IFERROR(O127/M127,"")</f>
        <v>0.19442648649164046</v>
      </c>
      <c r="M142" s="387"/>
      <c r="N142" s="388"/>
      <c r="O142" s="388"/>
      <c r="P142" s="388"/>
      <c r="Q142" s="388"/>
      <c r="R142" s="388"/>
      <c r="S142" s="388"/>
      <c r="T142" s="388"/>
      <c r="U142" s="389"/>
      <c r="V142" s="126">
        <f>IFERROR(Y127/W127,"")</f>
        <v>0.1771593242142252</v>
      </c>
      <c r="W142" s="514"/>
      <c r="X142" s="515"/>
      <c r="Y142" s="515"/>
      <c r="Z142" s="515"/>
      <c r="AA142" s="515"/>
      <c r="AB142" s="515"/>
      <c r="AC142" s="515"/>
      <c r="AD142" s="515"/>
      <c r="AE142" s="516"/>
      <c r="AF142" s="118">
        <f>IFERROR(AI127/AG127,"")</f>
        <v>0.17457876006063006</v>
      </c>
      <c r="AG142" s="514"/>
      <c r="AH142" s="515"/>
      <c r="AI142" s="515"/>
      <c r="AJ142" s="515"/>
      <c r="AK142" s="515"/>
      <c r="AL142" s="515"/>
      <c r="AM142" s="515"/>
      <c r="AN142" s="515"/>
      <c r="AO142" s="516"/>
      <c r="AP142" s="118">
        <f>IFERROR(AS127/AQ127,"")</f>
        <v>0.16757232916450868</v>
      </c>
      <c r="AQ142" s="514"/>
      <c r="AR142" s="515"/>
      <c r="AS142" s="515"/>
      <c r="AT142" s="515"/>
      <c r="AU142" s="515"/>
      <c r="AV142" s="515"/>
      <c r="AW142" s="515"/>
      <c r="AX142" s="515"/>
      <c r="AY142" s="516"/>
      <c r="AZ142" s="233">
        <f>IFERROR(BC127/BA127,"")</f>
        <v>0.17796150288322099</v>
      </c>
      <c r="BA142" s="514"/>
      <c r="BB142" s="515"/>
      <c r="BC142" s="515"/>
      <c r="BD142" s="515"/>
      <c r="BE142" s="515"/>
      <c r="BF142" s="515"/>
      <c r="BG142" s="515"/>
      <c r="BH142" s="515"/>
      <c r="BI142" s="516"/>
      <c r="BJ142" s="118">
        <f>IFERROR(BM127/BK127,"")</f>
        <v>0.16745918040185248</v>
      </c>
      <c r="BK142" s="514"/>
      <c r="BL142" s="515"/>
      <c r="BM142" s="515"/>
      <c r="BN142" s="515"/>
      <c r="BO142" s="515"/>
      <c r="BP142" s="515"/>
      <c r="BQ142" s="515"/>
      <c r="BR142" s="515"/>
      <c r="BS142" s="516"/>
      <c r="BT142" s="118">
        <f>IFERROR(BW127/BU127,"")</f>
        <v>0.15495701717900093</v>
      </c>
      <c r="BU142" s="514"/>
      <c r="BV142" s="515"/>
      <c r="BW142" s="515"/>
      <c r="BX142" s="515"/>
      <c r="BY142" s="515"/>
      <c r="BZ142" s="515"/>
      <c r="CA142" s="515"/>
      <c r="CB142" s="515"/>
      <c r="CC142" s="516"/>
      <c r="CD142" s="118">
        <f>IFERROR(CG127/CE127,"")</f>
        <v>0.12220941034665074</v>
      </c>
      <c r="CE142" s="550"/>
      <c r="CF142" s="551"/>
      <c r="CG142" s="551"/>
      <c r="CH142" s="551"/>
      <c r="CI142" s="551"/>
      <c r="CJ142" s="551"/>
      <c r="CK142" s="551"/>
      <c r="CL142" s="551"/>
      <c r="CM142" s="552"/>
    </row>
    <row r="143" spans="1:91" s="116" customFormat="1" ht="20.25" customHeight="1">
      <c r="A143" s="115" t="s">
        <v>311</v>
      </c>
      <c r="B143" s="126">
        <f>IFERROR(C75/B135,"")</f>
        <v>0.30751111217074623</v>
      </c>
      <c r="C143" s="514"/>
      <c r="D143" s="515"/>
      <c r="E143" s="515"/>
      <c r="F143" s="515"/>
      <c r="G143" s="515"/>
      <c r="H143" s="515"/>
      <c r="I143" s="515"/>
      <c r="J143" s="515"/>
      <c r="K143" s="516"/>
      <c r="L143" s="126">
        <f>IFERROR(M75/L135,"")</f>
        <v>0.3083608551048026</v>
      </c>
      <c r="M143" s="387"/>
      <c r="N143" s="388"/>
      <c r="O143" s="388"/>
      <c r="P143" s="388"/>
      <c r="Q143" s="388"/>
      <c r="R143" s="388"/>
      <c r="S143" s="388"/>
      <c r="T143" s="388"/>
      <c r="U143" s="389"/>
      <c r="V143" s="126">
        <f>IFERROR(W75/V135,"")</f>
        <v>0.28487548758797054</v>
      </c>
      <c r="W143" s="514"/>
      <c r="X143" s="515"/>
      <c r="Y143" s="515"/>
      <c r="Z143" s="515"/>
      <c r="AA143" s="515"/>
      <c r="AB143" s="515"/>
      <c r="AC143" s="515"/>
      <c r="AD143" s="515"/>
      <c r="AE143" s="516"/>
      <c r="AF143" s="118">
        <f>IFERROR(AG75/AF135,"")</f>
        <v>0.26970331962082017</v>
      </c>
      <c r="AG143" s="514"/>
      <c r="AH143" s="515"/>
      <c r="AI143" s="515"/>
      <c r="AJ143" s="515"/>
      <c r="AK143" s="515"/>
      <c r="AL143" s="515"/>
      <c r="AM143" s="515"/>
      <c r="AN143" s="515"/>
      <c r="AO143" s="516"/>
      <c r="AP143" s="118">
        <f>IFERROR(AQ75/AP135,"")</f>
        <v>0.25967445359391206</v>
      </c>
      <c r="AQ143" s="514"/>
      <c r="AR143" s="515"/>
      <c r="AS143" s="515"/>
      <c r="AT143" s="515"/>
      <c r="AU143" s="515"/>
      <c r="AV143" s="515"/>
      <c r="AW143" s="515"/>
      <c r="AX143" s="515"/>
      <c r="AY143" s="516"/>
      <c r="AZ143" s="233">
        <f>IFERROR(BA75/AZ135,"")</f>
        <v>0.25829266340900592</v>
      </c>
      <c r="BA143" s="514"/>
      <c r="BB143" s="515"/>
      <c r="BC143" s="515"/>
      <c r="BD143" s="515"/>
      <c r="BE143" s="515"/>
      <c r="BF143" s="515"/>
      <c r="BG143" s="515"/>
      <c r="BH143" s="515"/>
      <c r="BI143" s="516"/>
      <c r="BJ143" s="118">
        <f>IFERROR(BK75/BJ135,"")</f>
        <v>0.25376127729781101</v>
      </c>
      <c r="BK143" s="514"/>
      <c r="BL143" s="515"/>
      <c r="BM143" s="515"/>
      <c r="BN143" s="515"/>
      <c r="BO143" s="515"/>
      <c r="BP143" s="515"/>
      <c r="BQ143" s="515"/>
      <c r="BR143" s="515"/>
      <c r="BS143" s="516"/>
      <c r="BT143" s="118">
        <f>IFERROR(BU75/BT135,"")</f>
        <v>0.23779528342158782</v>
      </c>
      <c r="BU143" s="514"/>
      <c r="BV143" s="515"/>
      <c r="BW143" s="515"/>
      <c r="BX143" s="515"/>
      <c r="BY143" s="515"/>
      <c r="BZ143" s="515"/>
      <c r="CA143" s="515"/>
      <c r="CB143" s="515"/>
      <c r="CC143" s="516"/>
      <c r="CD143" s="118">
        <f>IFERROR(CE75/CD135,"")</f>
        <v>0.2344809713196544</v>
      </c>
      <c r="CE143" s="550"/>
      <c r="CF143" s="551"/>
      <c r="CG143" s="551"/>
      <c r="CH143" s="551"/>
      <c r="CI143" s="551"/>
      <c r="CJ143" s="551"/>
      <c r="CK143" s="551"/>
      <c r="CL143" s="551"/>
      <c r="CM143" s="552"/>
    </row>
    <row r="144" spans="1:91" s="116" customFormat="1" ht="20.25" customHeight="1">
      <c r="A144" s="115" t="s">
        <v>312</v>
      </c>
      <c r="B144" s="126">
        <f>IFERROR(C109/B135,"")</f>
        <v>7.3518774597006009E-2</v>
      </c>
      <c r="C144" s="514"/>
      <c r="D144" s="515"/>
      <c r="E144" s="515"/>
      <c r="F144" s="515"/>
      <c r="G144" s="515"/>
      <c r="H144" s="515"/>
      <c r="I144" s="515"/>
      <c r="J144" s="515"/>
      <c r="K144" s="516"/>
      <c r="L144" s="126">
        <f>IFERROR(M109/L135,"")</f>
        <v>6.5317955732928756E-2</v>
      </c>
      <c r="M144" s="387"/>
      <c r="N144" s="388"/>
      <c r="O144" s="388"/>
      <c r="P144" s="388"/>
      <c r="Q144" s="388"/>
      <c r="R144" s="388"/>
      <c r="S144" s="388"/>
      <c r="T144" s="388"/>
      <c r="U144" s="389"/>
      <c r="V144" s="126">
        <f>IFERROR(W109/V135,"")</f>
        <v>5.2677538750477503E-2</v>
      </c>
      <c r="W144" s="514"/>
      <c r="X144" s="515"/>
      <c r="Y144" s="515"/>
      <c r="Z144" s="515"/>
      <c r="AA144" s="515"/>
      <c r="AB144" s="515"/>
      <c r="AC144" s="515"/>
      <c r="AD144" s="515"/>
      <c r="AE144" s="516"/>
      <c r="AF144" s="118">
        <f>IFERROR(AG109/AF135,"")</f>
        <v>6.1552739279194295E-2</v>
      </c>
      <c r="AG144" s="514"/>
      <c r="AH144" s="515"/>
      <c r="AI144" s="515"/>
      <c r="AJ144" s="515"/>
      <c r="AK144" s="515"/>
      <c r="AL144" s="515"/>
      <c r="AM144" s="515"/>
      <c r="AN144" s="515"/>
      <c r="AO144" s="516"/>
      <c r="AP144" s="118">
        <f>IFERROR(AQ109/AP135,"")</f>
        <v>5.190594735967672E-2</v>
      </c>
      <c r="AQ144" s="514"/>
      <c r="AR144" s="515"/>
      <c r="AS144" s="515"/>
      <c r="AT144" s="515"/>
      <c r="AU144" s="515"/>
      <c r="AV144" s="515"/>
      <c r="AW144" s="515"/>
      <c r="AX144" s="515"/>
      <c r="AY144" s="516"/>
      <c r="AZ144" s="233">
        <f>IFERROR(BA109/AZ135,"")</f>
        <v>6.4435882528702915E-2</v>
      </c>
      <c r="BA144" s="514"/>
      <c r="BB144" s="515"/>
      <c r="BC144" s="515"/>
      <c r="BD144" s="515"/>
      <c r="BE144" s="515"/>
      <c r="BF144" s="515"/>
      <c r="BG144" s="515"/>
      <c r="BH144" s="515"/>
      <c r="BI144" s="516"/>
      <c r="BJ144" s="118">
        <f>IFERROR(BK109/BJ135,"")</f>
        <v>6.2092008208601224E-2</v>
      </c>
      <c r="BK144" s="514"/>
      <c r="BL144" s="515"/>
      <c r="BM144" s="515"/>
      <c r="BN144" s="515"/>
      <c r="BO144" s="515"/>
      <c r="BP144" s="515"/>
      <c r="BQ144" s="515"/>
      <c r="BR144" s="515"/>
      <c r="BS144" s="516"/>
      <c r="BT144" s="118">
        <f>IFERROR(BU109/BT135,"")</f>
        <v>7.540382812397757E-2</v>
      </c>
      <c r="BU144" s="514"/>
      <c r="BV144" s="515"/>
      <c r="BW144" s="515"/>
      <c r="BX144" s="515"/>
      <c r="BY144" s="515"/>
      <c r="BZ144" s="515"/>
      <c r="CA144" s="515"/>
      <c r="CB144" s="515"/>
      <c r="CC144" s="516"/>
      <c r="CD144" s="118">
        <f>IFERROR(CE109/CD135,"")</f>
        <v>6.0744572573281044E-2</v>
      </c>
      <c r="CE144" s="550"/>
      <c r="CF144" s="551"/>
      <c r="CG144" s="551"/>
      <c r="CH144" s="551"/>
      <c r="CI144" s="551"/>
      <c r="CJ144" s="551"/>
      <c r="CK144" s="551"/>
      <c r="CL144" s="551"/>
      <c r="CM144" s="552"/>
    </row>
    <row r="145" spans="1:91" s="116" customFormat="1" ht="20.25" customHeight="1">
      <c r="A145" s="115" t="s">
        <v>313</v>
      </c>
      <c r="B145" s="126">
        <f>IFERROR(SUM(C35,C93)/B135,"")</f>
        <v>0.14076870266524122</v>
      </c>
      <c r="C145" s="514"/>
      <c r="D145" s="515"/>
      <c r="E145" s="515"/>
      <c r="F145" s="515"/>
      <c r="G145" s="515"/>
      <c r="H145" s="515"/>
      <c r="I145" s="515"/>
      <c r="J145" s="515"/>
      <c r="K145" s="516"/>
      <c r="L145" s="126">
        <f>IFERROR(SUM(M35,M93)/L135,"")</f>
        <v>0.12258986780458309</v>
      </c>
      <c r="M145" s="387"/>
      <c r="N145" s="388"/>
      <c r="O145" s="388"/>
      <c r="P145" s="388"/>
      <c r="Q145" s="388"/>
      <c r="R145" s="388"/>
      <c r="S145" s="388"/>
      <c r="T145" s="388"/>
      <c r="U145" s="389"/>
      <c r="V145" s="126">
        <f>IFERROR(SUM(W35,W93)/V135,"")</f>
        <v>0.11105591132109394</v>
      </c>
      <c r="W145" s="514"/>
      <c r="X145" s="515"/>
      <c r="Y145" s="515"/>
      <c r="Z145" s="515"/>
      <c r="AA145" s="515"/>
      <c r="AB145" s="515"/>
      <c r="AC145" s="515"/>
      <c r="AD145" s="515"/>
      <c r="AE145" s="516"/>
      <c r="AF145" s="118">
        <f>IFERROR(SUM(AG35,AG93)/AF135,"")</f>
        <v>9.7995097577885076E-2</v>
      </c>
      <c r="AG145" s="514"/>
      <c r="AH145" s="515"/>
      <c r="AI145" s="515"/>
      <c r="AJ145" s="515"/>
      <c r="AK145" s="515"/>
      <c r="AL145" s="515"/>
      <c r="AM145" s="515"/>
      <c r="AN145" s="515"/>
      <c r="AO145" s="516"/>
      <c r="AP145" s="118">
        <f>IFERROR(SUM(AQ35,AQ93)/AP135,"")</f>
        <v>8.2031377514851705E-2</v>
      </c>
      <c r="AQ145" s="514"/>
      <c r="AR145" s="515"/>
      <c r="AS145" s="515"/>
      <c r="AT145" s="515"/>
      <c r="AU145" s="515"/>
      <c r="AV145" s="515"/>
      <c r="AW145" s="515"/>
      <c r="AX145" s="515"/>
      <c r="AY145" s="516"/>
      <c r="AZ145" s="233">
        <f>IFERROR(SUM(BA35,BA93)/AZ135,"")</f>
        <v>7.8879081490182829E-2</v>
      </c>
      <c r="BA145" s="514"/>
      <c r="BB145" s="515"/>
      <c r="BC145" s="515"/>
      <c r="BD145" s="515"/>
      <c r="BE145" s="515"/>
      <c r="BF145" s="515"/>
      <c r="BG145" s="515"/>
      <c r="BH145" s="515"/>
      <c r="BI145" s="516"/>
      <c r="BJ145" s="118">
        <f>IFERROR(SUM(BK35,BK93)/BJ135,"")</f>
        <v>8.6851611094402217E-2</v>
      </c>
      <c r="BK145" s="514"/>
      <c r="BL145" s="515"/>
      <c r="BM145" s="515"/>
      <c r="BN145" s="515"/>
      <c r="BO145" s="515"/>
      <c r="BP145" s="515"/>
      <c r="BQ145" s="515"/>
      <c r="BR145" s="515"/>
      <c r="BS145" s="516"/>
      <c r="BT145" s="118">
        <f>IFERROR(SUM(BU35,BU93)/BT135,"")</f>
        <v>7.3380944968951881E-2</v>
      </c>
      <c r="BU145" s="514"/>
      <c r="BV145" s="515"/>
      <c r="BW145" s="515"/>
      <c r="BX145" s="515"/>
      <c r="BY145" s="515"/>
      <c r="BZ145" s="515"/>
      <c r="CA145" s="515"/>
      <c r="CB145" s="515"/>
      <c r="CC145" s="516"/>
      <c r="CD145" s="118">
        <f>IFERROR(SUM(CE35,CE93)/CD135,"")</f>
        <v>6.3398333790605665E-2</v>
      </c>
      <c r="CE145" s="550"/>
      <c r="CF145" s="551"/>
      <c r="CG145" s="551"/>
      <c r="CH145" s="551"/>
      <c r="CI145" s="551"/>
      <c r="CJ145" s="551"/>
      <c r="CK145" s="551"/>
      <c r="CL145" s="551"/>
      <c r="CM145" s="552"/>
    </row>
    <row r="146" spans="1:91" s="116" customFormat="1" ht="20.25" customHeight="1">
      <c r="A146" s="115" t="s">
        <v>314</v>
      </c>
      <c r="B146" s="126">
        <f>IFERROR(SUM(C55,C107)/B135,"")</f>
        <v>0.21082628600719913</v>
      </c>
      <c r="C146" s="514"/>
      <c r="D146" s="515"/>
      <c r="E146" s="515"/>
      <c r="F146" s="515"/>
      <c r="G146" s="515"/>
      <c r="H146" s="515"/>
      <c r="I146" s="515"/>
      <c r="J146" s="515"/>
      <c r="K146" s="516"/>
      <c r="L146" s="126">
        <f>IFERROR(SUM(M55,M107)/L135,"")</f>
        <v>0.21191855037615059</v>
      </c>
      <c r="M146" s="387"/>
      <c r="N146" s="388"/>
      <c r="O146" s="388"/>
      <c r="P146" s="388"/>
      <c r="Q146" s="388"/>
      <c r="R146" s="388"/>
      <c r="S146" s="388"/>
      <c r="T146" s="388"/>
      <c r="U146" s="389"/>
      <c r="V146" s="126">
        <f>IFERROR(SUM(W55,W107)/V135,"")</f>
        <v>0.19578535273122072</v>
      </c>
      <c r="W146" s="514"/>
      <c r="X146" s="515"/>
      <c r="Y146" s="515"/>
      <c r="Z146" s="515"/>
      <c r="AA146" s="515"/>
      <c r="AB146" s="515"/>
      <c r="AC146" s="515"/>
      <c r="AD146" s="515"/>
      <c r="AE146" s="516"/>
      <c r="AF146" s="118">
        <f>IFERROR(SUM(AG55,AG107)/AF135,"")</f>
        <v>0.20097330493646245</v>
      </c>
      <c r="AG146" s="514"/>
      <c r="AH146" s="515"/>
      <c r="AI146" s="515"/>
      <c r="AJ146" s="515"/>
      <c r="AK146" s="515"/>
      <c r="AL146" s="515"/>
      <c r="AM146" s="515"/>
      <c r="AN146" s="515"/>
      <c r="AO146" s="516"/>
      <c r="AP146" s="118">
        <f>IFERROR(SUM(AQ55,AQ107)/AP135,"")</f>
        <v>0.2000104996109541</v>
      </c>
      <c r="AQ146" s="514"/>
      <c r="AR146" s="515"/>
      <c r="AS146" s="515"/>
      <c r="AT146" s="515"/>
      <c r="AU146" s="515"/>
      <c r="AV146" s="515"/>
      <c r="AW146" s="515"/>
      <c r="AX146" s="515"/>
      <c r="AY146" s="516"/>
      <c r="AZ146" s="233">
        <f>IFERROR(SUM(BA55,BA107)/AZ135,"")</f>
        <v>0.21139959265561797</v>
      </c>
      <c r="BA146" s="514"/>
      <c r="BB146" s="515"/>
      <c r="BC146" s="515"/>
      <c r="BD146" s="515"/>
      <c r="BE146" s="515"/>
      <c r="BF146" s="515"/>
      <c r="BG146" s="515"/>
      <c r="BH146" s="515"/>
      <c r="BI146" s="516"/>
      <c r="BJ146" s="118">
        <f>IFERROR(SUM(BK55,BK107)/BJ135,"")</f>
        <v>0.18963838658130081</v>
      </c>
      <c r="BK146" s="514"/>
      <c r="BL146" s="515"/>
      <c r="BM146" s="515"/>
      <c r="BN146" s="515"/>
      <c r="BO146" s="515"/>
      <c r="BP146" s="515"/>
      <c r="BQ146" s="515"/>
      <c r="BR146" s="515"/>
      <c r="BS146" s="516"/>
      <c r="BT146" s="118">
        <f>IFERROR(SUM(BU55,BU107)/BT135,"")</f>
        <v>0.20332569734795067</v>
      </c>
      <c r="BU146" s="514"/>
      <c r="BV146" s="515"/>
      <c r="BW146" s="515"/>
      <c r="BX146" s="515"/>
      <c r="BY146" s="515"/>
      <c r="BZ146" s="515"/>
      <c r="CA146" s="515"/>
      <c r="CB146" s="515"/>
      <c r="CC146" s="516"/>
      <c r="CD146" s="118">
        <f>IFERROR(SUM(CE55,CE107)/CD135,"")</f>
        <v>0.18808636912786947</v>
      </c>
      <c r="CE146" s="550"/>
      <c r="CF146" s="551"/>
      <c r="CG146" s="551"/>
      <c r="CH146" s="551"/>
      <c r="CI146" s="551"/>
      <c r="CJ146" s="551"/>
      <c r="CK146" s="551"/>
      <c r="CL146" s="551"/>
      <c r="CM146" s="552"/>
    </row>
    <row r="147" spans="1:91" s="116" customFormat="1" ht="20.25" customHeight="1">
      <c r="A147" s="115" t="s">
        <v>315</v>
      </c>
      <c r="B147" s="126">
        <f>IFERROR(SUM(C73)/B135,"")</f>
        <v>2.9434898095311891E-2</v>
      </c>
      <c r="C147" s="514"/>
      <c r="D147" s="515"/>
      <c r="E147" s="515"/>
      <c r="F147" s="515"/>
      <c r="G147" s="515"/>
      <c r="H147" s="515"/>
      <c r="I147" s="515"/>
      <c r="J147" s="515"/>
      <c r="K147" s="516"/>
      <c r="L147" s="126">
        <f>IFERROR(SUM(M73)/L135,"")</f>
        <v>3.9170392656997718E-2</v>
      </c>
      <c r="M147" s="387"/>
      <c r="N147" s="388"/>
      <c r="O147" s="388"/>
      <c r="P147" s="388"/>
      <c r="Q147" s="388"/>
      <c r="R147" s="388"/>
      <c r="S147" s="388"/>
      <c r="T147" s="388"/>
      <c r="U147" s="389"/>
      <c r="V147" s="126">
        <f>IFERROR(SUM(W73)/V135,"")</f>
        <v>3.0711762286133426E-2</v>
      </c>
      <c r="W147" s="514"/>
      <c r="X147" s="515"/>
      <c r="Y147" s="515"/>
      <c r="Z147" s="515"/>
      <c r="AA147" s="515"/>
      <c r="AB147" s="515"/>
      <c r="AC147" s="515"/>
      <c r="AD147" s="515"/>
      <c r="AE147" s="516"/>
      <c r="AF147" s="118">
        <f>IFERROR(SUM(AG73)/AF135,"")</f>
        <v>3.2287656385666934E-2</v>
      </c>
      <c r="AG147" s="514"/>
      <c r="AH147" s="515"/>
      <c r="AI147" s="515"/>
      <c r="AJ147" s="515"/>
      <c r="AK147" s="515"/>
      <c r="AL147" s="515"/>
      <c r="AM147" s="515"/>
      <c r="AN147" s="515"/>
      <c r="AO147" s="516"/>
      <c r="AP147" s="118">
        <f>IFERROR(SUM(AQ73)/AP135,"")</f>
        <v>2.9538523827782992E-2</v>
      </c>
      <c r="AQ147" s="514"/>
      <c r="AR147" s="515"/>
      <c r="AS147" s="515"/>
      <c r="AT147" s="515"/>
      <c r="AU147" s="515"/>
      <c r="AV147" s="515"/>
      <c r="AW147" s="515"/>
      <c r="AX147" s="515"/>
      <c r="AY147" s="516"/>
      <c r="AZ147" s="233">
        <f>IFERROR(SUM(BA73)/AZ135,"")</f>
        <v>3.2449871791908023E-2</v>
      </c>
      <c r="BA147" s="514"/>
      <c r="BB147" s="515"/>
      <c r="BC147" s="515"/>
      <c r="BD147" s="515"/>
      <c r="BE147" s="515"/>
      <c r="BF147" s="515"/>
      <c r="BG147" s="515"/>
      <c r="BH147" s="515"/>
      <c r="BI147" s="516"/>
      <c r="BJ147" s="118">
        <f>IFERROR(SUM(BK73)/BJ135,"")</f>
        <v>3.9363287830709186E-2</v>
      </c>
      <c r="BK147" s="514"/>
      <c r="BL147" s="515"/>
      <c r="BM147" s="515"/>
      <c r="BN147" s="515"/>
      <c r="BO147" s="515"/>
      <c r="BP147" s="515"/>
      <c r="BQ147" s="515"/>
      <c r="BR147" s="515"/>
      <c r="BS147" s="516"/>
      <c r="BT147" s="118">
        <f>IFERROR(SUM(BU73)/BT135,"")</f>
        <v>3.6492469228662831E-2</v>
      </c>
      <c r="BU147" s="514"/>
      <c r="BV147" s="515"/>
      <c r="BW147" s="515"/>
      <c r="BX147" s="515"/>
      <c r="BY147" s="515"/>
      <c r="BZ147" s="515"/>
      <c r="CA147" s="515"/>
      <c r="CB147" s="515"/>
      <c r="CC147" s="516"/>
      <c r="CD147" s="118">
        <f>IFERROR(SUM(CE73)/CD135,"")</f>
        <v>4.37408409744603E-2</v>
      </c>
      <c r="CE147" s="550"/>
      <c r="CF147" s="551"/>
      <c r="CG147" s="551"/>
      <c r="CH147" s="551"/>
      <c r="CI147" s="551"/>
      <c r="CJ147" s="551"/>
      <c r="CK147" s="551"/>
      <c r="CL147" s="551"/>
      <c r="CM147" s="552"/>
    </row>
    <row r="148" spans="1:91" s="116" customFormat="1" ht="20.25" customHeight="1">
      <c r="A148" s="115" t="s">
        <v>316</v>
      </c>
      <c r="B148" s="126">
        <f>IFERROR(C124/B135,"")</f>
        <v>0.61897011323224771</v>
      </c>
      <c r="C148" s="517"/>
      <c r="D148" s="518"/>
      <c r="E148" s="518"/>
      <c r="F148" s="518"/>
      <c r="G148" s="518"/>
      <c r="H148" s="518"/>
      <c r="I148" s="518"/>
      <c r="J148" s="518"/>
      <c r="K148" s="519"/>
      <c r="L148" s="126">
        <f>IFERROR(M124/L135,"")</f>
        <v>0.62632118916226864</v>
      </c>
      <c r="M148" s="390"/>
      <c r="N148" s="391"/>
      <c r="O148" s="391"/>
      <c r="P148" s="391"/>
      <c r="Q148" s="391"/>
      <c r="R148" s="391"/>
      <c r="S148" s="391"/>
      <c r="T148" s="391"/>
      <c r="U148" s="392"/>
      <c r="V148" s="126">
        <f>IFERROR(W124/V135,"")</f>
        <v>0.66244697366155192</v>
      </c>
      <c r="W148" s="517"/>
      <c r="X148" s="518"/>
      <c r="Y148" s="518"/>
      <c r="Z148" s="518"/>
      <c r="AA148" s="518"/>
      <c r="AB148" s="518"/>
      <c r="AC148" s="518"/>
      <c r="AD148" s="518"/>
      <c r="AE148" s="519"/>
      <c r="AF148" s="118">
        <f>IFERROR(AG124/AF135,"")</f>
        <v>0.66874394109998558</v>
      </c>
      <c r="AG148" s="517"/>
      <c r="AH148" s="518"/>
      <c r="AI148" s="518"/>
      <c r="AJ148" s="518"/>
      <c r="AK148" s="518"/>
      <c r="AL148" s="518"/>
      <c r="AM148" s="518"/>
      <c r="AN148" s="518"/>
      <c r="AO148" s="519"/>
      <c r="AP148" s="118">
        <f>IFERROR(AQ124/AP135,"")</f>
        <v>0.68841959904641126</v>
      </c>
      <c r="AQ148" s="517"/>
      <c r="AR148" s="518"/>
      <c r="AS148" s="518"/>
      <c r="AT148" s="518"/>
      <c r="AU148" s="518"/>
      <c r="AV148" s="518"/>
      <c r="AW148" s="518"/>
      <c r="AX148" s="518"/>
      <c r="AY148" s="519"/>
      <c r="AZ148" s="233">
        <f>IFERROR(BA124/AZ135,"")</f>
        <v>0.67727145406229117</v>
      </c>
      <c r="BA148" s="517"/>
      <c r="BB148" s="518"/>
      <c r="BC148" s="518"/>
      <c r="BD148" s="518"/>
      <c r="BE148" s="518"/>
      <c r="BF148" s="518"/>
      <c r="BG148" s="518"/>
      <c r="BH148" s="518"/>
      <c r="BI148" s="519"/>
      <c r="BJ148" s="118">
        <f>IFERROR(BK124/BJ135,"")</f>
        <v>0.68414671449358777</v>
      </c>
      <c r="BK148" s="517"/>
      <c r="BL148" s="518"/>
      <c r="BM148" s="518"/>
      <c r="BN148" s="518"/>
      <c r="BO148" s="518"/>
      <c r="BP148" s="518"/>
      <c r="BQ148" s="518"/>
      <c r="BR148" s="518"/>
      <c r="BS148" s="519"/>
      <c r="BT148" s="118">
        <f>IFERROR(BU124/BT135,"")</f>
        <v>0.68680088845443465</v>
      </c>
      <c r="BU148" s="517"/>
      <c r="BV148" s="518"/>
      <c r="BW148" s="518"/>
      <c r="BX148" s="518"/>
      <c r="BY148" s="518"/>
      <c r="BZ148" s="518"/>
      <c r="CA148" s="518"/>
      <c r="CB148" s="518"/>
      <c r="CC148" s="519"/>
      <c r="CD148" s="118">
        <f>IFERROR(CE124/CD135,"")</f>
        <v>0.70477445610706457</v>
      </c>
      <c r="CE148" s="553"/>
      <c r="CF148" s="554"/>
      <c r="CG148" s="554"/>
      <c r="CH148" s="554"/>
      <c r="CI148" s="554"/>
      <c r="CJ148" s="554"/>
      <c r="CK148" s="554"/>
      <c r="CL148" s="554"/>
      <c r="CM148" s="555"/>
    </row>
    <row r="149" spans="1:91" s="15" customFormat="1">
      <c r="B149" s="36"/>
      <c r="C149" s="36"/>
      <c r="D149" s="35"/>
      <c r="E149" s="36"/>
      <c r="F149" s="36"/>
      <c r="G149" s="36"/>
      <c r="H149" s="36"/>
      <c r="I149" s="36"/>
      <c r="J149" s="36"/>
      <c r="K149" s="36"/>
      <c r="L149" s="36"/>
      <c r="M149" s="36"/>
      <c r="N149" s="35"/>
      <c r="O149" s="36"/>
      <c r="P149" s="36"/>
      <c r="Q149" s="36"/>
      <c r="R149" s="36"/>
      <c r="S149" s="36"/>
      <c r="T149" s="36"/>
      <c r="U149" s="36"/>
      <c r="V149" s="36"/>
      <c r="W149" s="36"/>
      <c r="X149" s="35"/>
      <c r="Y149" s="36"/>
      <c r="Z149" s="36"/>
      <c r="AA149" s="36"/>
      <c r="AB149" s="36"/>
      <c r="AC149" s="36"/>
      <c r="AD149" s="36"/>
      <c r="AE149" s="36"/>
      <c r="AF149" s="36"/>
      <c r="AG149" s="36"/>
      <c r="AH149" s="35"/>
      <c r="AI149" s="36"/>
      <c r="AJ149" s="36"/>
      <c r="AK149" s="36"/>
      <c r="AL149" s="36"/>
      <c r="AM149" s="36"/>
      <c r="AN149" s="36"/>
      <c r="AO149" s="36"/>
      <c r="AP149" s="36"/>
      <c r="AQ149" s="36"/>
      <c r="AR149" s="35"/>
      <c r="AS149" s="36"/>
      <c r="AT149" s="36"/>
      <c r="AU149" s="36"/>
      <c r="AV149" s="36"/>
      <c r="AW149" s="36"/>
      <c r="AX149" s="36"/>
      <c r="AY149" s="36"/>
      <c r="AZ149" s="234"/>
      <c r="BA149" s="36"/>
      <c r="BB149" s="35"/>
      <c r="BC149" s="36"/>
      <c r="BD149" s="36"/>
      <c r="BE149" s="36"/>
      <c r="BF149" s="36"/>
      <c r="BG149" s="36"/>
      <c r="BH149" s="36"/>
      <c r="BI149" s="36"/>
      <c r="BJ149" s="36"/>
      <c r="BK149" s="36"/>
      <c r="BL149" s="35"/>
      <c r="BM149" s="36"/>
      <c r="BN149" s="36"/>
      <c r="BO149" s="36"/>
      <c r="BP149" s="36"/>
      <c r="BQ149" s="36"/>
      <c r="BR149" s="36"/>
      <c r="BS149" s="36"/>
      <c r="BT149" s="36"/>
      <c r="BU149" s="36"/>
      <c r="BV149" s="35"/>
      <c r="BW149" s="36"/>
      <c r="BX149" s="36"/>
      <c r="BY149" s="36"/>
      <c r="BZ149" s="36"/>
      <c r="CA149" s="36"/>
      <c r="CB149" s="36"/>
      <c r="CC149" s="36"/>
      <c r="CD149" s="36"/>
      <c r="CE149" s="36"/>
      <c r="CF149" s="35"/>
      <c r="CG149" s="36"/>
      <c r="CH149" s="36"/>
      <c r="CI149" s="36"/>
      <c r="CJ149" s="36"/>
      <c r="CK149" s="36"/>
      <c r="CL149" s="36"/>
      <c r="CM149" s="36"/>
    </row>
    <row r="150" spans="1:91" s="15" customFormat="1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234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</row>
    <row r="151" spans="1:91" s="15" customFormat="1" ht="15">
      <c r="B151" s="22"/>
      <c r="L151" s="22"/>
      <c r="V151" s="22"/>
      <c r="AF151" s="22"/>
      <c r="AP151" s="22"/>
      <c r="AZ151" s="235"/>
      <c r="BJ151" s="22"/>
      <c r="BT151" s="22"/>
      <c r="CD151" s="22"/>
    </row>
    <row r="152" spans="1:91" s="15" customFormat="1">
      <c r="AZ152" s="236"/>
    </row>
    <row r="153" spans="1:91" s="15" customFormat="1">
      <c r="AZ153" s="236"/>
    </row>
    <row r="154" spans="1:91" s="15" customFormat="1">
      <c r="AZ154" s="236"/>
    </row>
    <row r="155" spans="1:91" s="15" customFormat="1">
      <c r="AZ155" s="236"/>
    </row>
    <row r="156" spans="1:91" s="15" customFormat="1">
      <c r="AZ156" s="236"/>
    </row>
    <row r="157" spans="1:91" s="15" customFormat="1">
      <c r="AZ157" s="236"/>
    </row>
    <row r="158" spans="1:91" s="15" customFormat="1">
      <c r="AZ158" s="236"/>
    </row>
    <row r="159" spans="1:91" s="15" customFormat="1">
      <c r="AZ159" s="236"/>
    </row>
    <row r="160" spans="1:91" s="15" customFormat="1">
      <c r="AZ160" s="236"/>
    </row>
    <row r="161" spans="52:52" s="15" customFormat="1">
      <c r="AZ161" s="236"/>
    </row>
    <row r="162" spans="52:52" s="15" customFormat="1">
      <c r="AZ162" s="236"/>
    </row>
    <row r="163" spans="52:52" s="15" customFormat="1">
      <c r="AZ163" s="236"/>
    </row>
    <row r="164" spans="52:52" s="15" customFormat="1">
      <c r="AZ164" s="236"/>
    </row>
    <row r="165" spans="52:52" s="15" customFormat="1">
      <c r="AZ165" s="236"/>
    </row>
    <row r="166" spans="52:52" s="15" customFormat="1">
      <c r="AZ166" s="236"/>
    </row>
    <row r="167" spans="52:52" s="15" customFormat="1">
      <c r="AZ167" s="236"/>
    </row>
    <row r="168" spans="52:52" s="15" customFormat="1">
      <c r="AZ168" s="236"/>
    </row>
    <row r="169" spans="52:52" s="15" customFormat="1">
      <c r="AZ169" s="236"/>
    </row>
    <row r="170" spans="52:52" s="15" customFormat="1">
      <c r="AZ170" s="236"/>
    </row>
  </sheetData>
  <sheetProtection formatColumns="0" insertRows="0"/>
  <mergeCells count="35">
    <mergeCell ref="C128:J128"/>
    <mergeCell ref="C129:K148"/>
    <mergeCell ref="M128:U128"/>
    <mergeCell ref="W129:AE148"/>
    <mergeCell ref="W128:AE128"/>
    <mergeCell ref="B2:J2"/>
    <mergeCell ref="L2:T2"/>
    <mergeCell ref="E5:I5"/>
    <mergeCell ref="V2:AE2"/>
    <mergeCell ref="AI5:AM5"/>
    <mergeCell ref="O5:S5"/>
    <mergeCell ref="Y5:AC5"/>
    <mergeCell ref="AG129:AO148"/>
    <mergeCell ref="AQ129:AY148"/>
    <mergeCell ref="AP2:AY2"/>
    <mergeCell ref="AF2:AO2"/>
    <mergeCell ref="CD2:CM2"/>
    <mergeCell ref="CG5:CK5"/>
    <mergeCell ref="CE128:CM128"/>
    <mergeCell ref="CE129:CM148"/>
    <mergeCell ref="AQ128:AY128"/>
    <mergeCell ref="AS5:AW5"/>
    <mergeCell ref="BU128:CC128"/>
    <mergeCell ref="BC5:BG5"/>
    <mergeCell ref="AZ2:BI2"/>
    <mergeCell ref="AG128:AO128"/>
    <mergeCell ref="BA129:BI148"/>
    <mergeCell ref="BA128:BI128"/>
    <mergeCell ref="BU129:CC148"/>
    <mergeCell ref="BJ2:BS2"/>
    <mergeCell ref="BM5:BQ5"/>
    <mergeCell ref="BK128:BS128"/>
    <mergeCell ref="BK129:BS148"/>
    <mergeCell ref="BT2:CC2"/>
    <mergeCell ref="BW5:CA5"/>
  </mergeCells>
  <dataValidations count="2">
    <dataValidation type="custom" operator="greaterThanOrEqual" allowBlank="1" showInputMessage="1" showErrorMessage="1" errorTitle="data type error" error="value must be a number" sqref="V129:V131 V140 V133 AF129:AF131 AF140 AF26:AF33 AF133 L129:L131 L140 L133 B129:B131 B140 B133 AP129:AP131 AP140 AP133 AP66:AP71 AS88:AY92 AS103:AY106 AS66:AY72 AP26:AP33 AF66:AF71 O10:U34 E26:K34 AP88:AP91 E66:K72 AF103:AF105 AF88:AF91 V119:V122 E88:K92 E10:L25 AP103:AP105 L51:L53 AI103:AO106 AP119:AP122 AI10:AP25 E103:K106 E119:K123 Y103:AE106 B10:B33 AF119:AF122 O119:U123 Y10:AF25 L119:L122 Y37:AF50 AS37:AZ50 BJ51:BJ53 BC51:BI54 AZ51:AZ53 L26:L33 L66:L71 L88:L91 L103:L105 Y26:AE34 Y88:AE92 BC119:BI123 AI119:AO123 Y119:AE123 AI88:AO92 AI26:AO34 AS51:AY54 AI66:AO72 E37:L50 Y66:AE72 AI37:AP50 V49:V53 BM111:BS123 BJ129:BJ131 BJ140 BJ133 V57:V71 V79:V91 V95:V105 AS111:AY123 O49:U54 E51:K54 B37:B53 Y111:AF118 E111:L118 B111:B122 AI111:AP118 O111:V118 Y51:AE54 AS95:AZ102 E95:L102 B95:B105 AI95:AP102 Y95:AF102 O95:U106 AF51:AF53 AP51:AP53 AS79:AZ87 E79:L87 B79:B91 Y79:AF87 AI79:AP87 O79:U92 AI51:AO54 AS10:AY34 O57:U72 AS57:AZ65 E57:L65 B57:B71 Y57:AF65 BM10:BS34 AI57:AP65 V10:V33 O37:V48 BC10:BJ25 BC26:BI34 AZ66:AZ71 AZ10:AZ33 AZ88:AZ91 AZ103:AZ105 BC66:BI72 BC103:BI106 BC88:BI92 BJ103:BJ105 BJ88:BJ91 BJ66:BJ71 BJ119:BJ122 BJ26:BJ33 BC111:BJ118 AZ111:AZ122 BM95:BS106 BC95:BJ102 BM79:BS92 BC79:BJ87 BM57:BS72 BC57:BJ65 BC37:BJ50 BM37:BS54 AZ129:AZ131 AZ140 AZ133 BT111:BT122 BT129:BT131 BT140 BT133 BT10:BT33 BW10:CC34 BT95:BT105 BT79:BT91 BT57:BT71 BT37:BT53 BW37:CC54 BW57:CC72 BW79:CC92 BW95:CC106 BW111:CC123 CD129:CD131 CD140 CD133 CD95:CD105 CD10:CD33 CD37:CD53 CD57:CD71 CD79:CD91 CG10:CM34 CG37:CM54 CG57:CM72 CG79:CM92 CG95:CM106 CG111:CM123 CD111:CD122" xr:uid="{00000000-0002-0000-0200-000000000000}">
      <formula1>ISNUMBER(B10)</formula1>
    </dataValidation>
    <dataValidation type="whole" operator="greaterThanOrEqual" allowBlank="1" showInputMessage="1" showErrorMessage="1" errorTitle="Data Type Error" error="Value must be a number greater than or equal to 0." sqref="V106:X106 V123:X123 V92:X92 V72:X72 V54:X54 V34:X34 AF123:AH123 AF92:AH92 AF72:AH72 AF54:AH54 AF34:AH34 AP34:AR34 L106:N106 L123:N123 L92:N92 L72:N72 L54:N54 L34:N34 B106:D106 B123:D123 B92:D92 B72:D72 B54:D54 B34:D34 AP106:AR106 AP123:AR123 AP92:AR92 AP72:AR72 AP54:AR54 AF106:AH106 AG37:AH53 BA111:BB122 AZ123:BB123 AQ57:AR71 M57:N71 C57:D71 AG57:AH71 W10:X33 BJ123:BL123 BA10:BB33 C37:D53 AG10:AH33 W95:X105 W57:X71 AQ79:AR91 AG111:AH122 C10:D33 M10:N33 AQ111:AR122 W111:X122 M111:N122 C111:D122 AQ10:AR33 W37:X53 AQ95:AR105 M95:N105 C95:D105 AG95:AH105 M37:N53 AQ37:AR53 W79:X91 M79:N91 C79:D91 AG79:AH91 AZ34:BB34 AZ106:BB106 AZ92:BB92 AZ72:BB72 AZ54:BB54 BJ34:BL34 BJ106:BL106 BJ92:BL92 BJ72:BL72 BJ54:BL54 BK95:BL105 BA95:BB105 BK79:BL91 BA79:BB91 BK57:BL71 BA57:BB71 BK37:BL53 BA37:BB53 BK10:BL33 BK111:BL122 BT123:BV123 BT34:BV34 BT106:BV106 BT92:BV92 BT72:BV72 BT54:BV54 BU79:BV91 BU57:BV71 BU37:BV53 BU10:BV33 BU95:BV105 BU111:BV122 CD123:CF123 CD34:CF34 CD106:CF106 CD92:CF92 CD72:CF72 CD54:CF54 CE57:CF71 CE37:CF53 CE10:CF33 CE95:CF105 CE79:CF91 CE111:CF122" xr:uid="{00000000-0002-0000-0200-000001000000}">
      <formula1>0</formula1>
    </dataValidation>
  </dataValidations>
  <pageMargins left="0.05" right="0.05" top="0.6" bottom="0.05" header="0.25" footer="0.25"/>
  <pageSetup paperSize="5" scale="55" fitToHeight="2" orientation="landscape" r:id="rId1"/>
  <headerFooter>
    <oddHeader>&amp;C&amp;"-,Bold"&amp;22University of Nebraska Medical Center
&amp;A</oddHeader>
  </headerFooter>
  <rowBreaks count="2" manualBreakCount="2">
    <brk id="56" max="90" man="1"/>
    <brk id="110" max="9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CC92-9443-426B-B53B-9FFAF9331706}">
  <sheetPr>
    <pageSetUpPr fitToPage="1"/>
  </sheetPr>
  <dimension ref="A1:BX55"/>
  <sheetViews>
    <sheetView topLeftCell="D1" zoomScale="120" zoomScaleNormal="120" workbookViewId="0">
      <selection activeCell="BE10" sqref="BE10"/>
    </sheetView>
  </sheetViews>
  <sheetFormatPr defaultColWidth="8.42578125" defaultRowHeight="12.75"/>
  <cols>
    <col min="1" max="1" width="1.5703125" style="206" customWidth="1"/>
    <col min="2" max="2" width="2.42578125" style="206" customWidth="1"/>
    <col min="3" max="3" width="3.28515625" style="206" customWidth="1"/>
    <col min="4" max="4" width="33.85546875" style="206" customWidth="1"/>
    <col min="5" max="5" width="2.42578125" style="206" hidden="1" customWidth="1"/>
    <col min="6" max="6" width="14.42578125" style="206" hidden="1" customWidth="1"/>
    <col min="7" max="7" width="3.28515625" style="206" hidden="1" customWidth="1"/>
    <col min="8" max="8" width="2.42578125" style="206" hidden="1" customWidth="1"/>
    <col min="9" max="9" width="14.42578125" style="206" hidden="1" customWidth="1"/>
    <col min="10" max="10" width="3.28515625" style="206" hidden="1" customWidth="1"/>
    <col min="11" max="11" width="2.42578125" style="206" hidden="1" customWidth="1"/>
    <col min="12" max="12" width="14.42578125" style="206" hidden="1" customWidth="1"/>
    <col min="13" max="13" width="3.28515625" style="206" hidden="1" customWidth="1"/>
    <col min="14" max="14" width="2.42578125" style="206" hidden="1" customWidth="1"/>
    <col min="15" max="15" width="14.42578125" style="206" hidden="1" customWidth="1"/>
    <col min="16" max="16" width="3.28515625" style="206" hidden="1" customWidth="1"/>
    <col min="17" max="17" width="2.42578125" style="206" hidden="1" customWidth="1"/>
    <col min="18" max="18" width="14.42578125" style="206" hidden="1" customWidth="1"/>
    <col min="19" max="19" width="3.28515625" style="206" hidden="1" customWidth="1"/>
    <col min="20" max="20" width="2.42578125" style="206" hidden="1" customWidth="1"/>
    <col min="21" max="21" width="14.42578125" style="206" hidden="1" customWidth="1"/>
    <col min="22" max="22" width="3.28515625" style="206" hidden="1" customWidth="1"/>
    <col min="23" max="23" width="2.42578125" style="206" hidden="1" customWidth="1"/>
    <col min="24" max="24" width="14.42578125" style="206" hidden="1" customWidth="1"/>
    <col min="25" max="25" width="3.28515625" style="206" hidden="1" customWidth="1"/>
    <col min="26" max="26" width="2.42578125" style="206" hidden="1" customWidth="1"/>
    <col min="27" max="27" width="14.42578125" style="206" hidden="1" customWidth="1"/>
    <col min="28" max="28" width="3.28515625" style="206" hidden="1" customWidth="1"/>
    <col min="29" max="29" width="2.42578125" style="206" hidden="1" customWidth="1"/>
    <col min="30" max="30" width="14.42578125" style="206" hidden="1" customWidth="1"/>
    <col min="31" max="31" width="3.28515625" style="206" hidden="1" customWidth="1"/>
    <col min="32" max="32" width="2.42578125" style="206" hidden="1" customWidth="1"/>
    <col min="33" max="33" width="14.42578125" style="206" hidden="1" customWidth="1"/>
    <col min="34" max="34" width="3.28515625" style="206" hidden="1" customWidth="1"/>
    <col min="35" max="35" width="2.42578125" style="206" hidden="1" customWidth="1"/>
    <col min="36" max="36" width="14.42578125" style="206" hidden="1" customWidth="1"/>
    <col min="37" max="37" width="3.28515625" style="206" hidden="1" customWidth="1"/>
    <col min="38" max="38" width="3" style="206" hidden="1" customWidth="1"/>
    <col min="39" max="39" width="13.42578125" style="206" hidden="1" customWidth="1"/>
    <col min="40" max="40" width="2.28515625" style="206" hidden="1" customWidth="1"/>
    <col min="41" max="41" width="3.28515625" style="206" hidden="1" customWidth="1"/>
    <col min="42" max="42" width="14.42578125" style="206" hidden="1" customWidth="1"/>
    <col min="43" max="43" width="3.28515625" style="206" hidden="1" customWidth="1"/>
    <col min="44" max="44" width="2.42578125" style="206" hidden="1" customWidth="1"/>
    <col min="45" max="45" width="14.42578125" style="206" hidden="1" customWidth="1"/>
    <col min="46" max="46" width="3.28515625" style="206" hidden="1" customWidth="1"/>
    <col min="47" max="47" width="2.42578125" style="206" hidden="1" customWidth="1"/>
    <col min="48" max="48" width="14.42578125" style="206" hidden="1" customWidth="1"/>
    <col min="49" max="49" width="3.28515625" style="206" hidden="1" customWidth="1"/>
    <col min="50" max="50" width="2.42578125" style="206" hidden="1" customWidth="1"/>
    <col min="51" max="51" width="14.42578125" style="206" hidden="1" customWidth="1"/>
    <col min="52" max="52" width="3.28515625" style="206" hidden="1" customWidth="1"/>
    <col min="53" max="53" width="2.42578125" style="206" customWidth="1"/>
    <col min="54" max="54" width="13.7109375" style="206" customWidth="1"/>
    <col min="55" max="55" width="3.28515625" style="206" customWidth="1"/>
    <col min="56" max="56" width="2.42578125" style="206" customWidth="1"/>
    <col min="57" max="57" width="14.42578125" style="206" customWidth="1"/>
    <col min="58" max="58" width="3.28515625" style="206" customWidth="1"/>
    <col min="59" max="59" width="2.42578125" style="206" customWidth="1"/>
    <col min="60" max="60" width="14.42578125" style="206" customWidth="1"/>
    <col min="61" max="61" width="3.28515625" style="206" customWidth="1"/>
    <col min="62" max="62" width="2.42578125" style="206" customWidth="1"/>
    <col min="63" max="63" width="14.42578125" style="206" customWidth="1"/>
    <col min="64" max="64" width="3.28515625" style="206" customWidth="1"/>
    <col min="65" max="65" width="2.42578125" style="206" customWidth="1"/>
    <col min="66" max="66" width="14.42578125" style="206" customWidth="1"/>
    <col min="67" max="67" width="3.28515625" style="206" customWidth="1"/>
    <col min="68" max="68" width="2.42578125" style="206" customWidth="1"/>
    <col min="69" max="69" width="14.42578125" style="206" customWidth="1"/>
    <col min="70" max="70" width="3.140625" style="206" customWidth="1"/>
    <col min="71" max="71" width="2.42578125" style="206" customWidth="1"/>
    <col min="72" max="72" width="14.42578125" style="206" customWidth="1"/>
    <col min="73" max="73" width="2.42578125" style="206" customWidth="1"/>
    <col min="74" max="74" width="14.42578125" style="206" customWidth="1"/>
    <col min="75" max="75" width="2.42578125" style="206" customWidth="1"/>
    <col min="76" max="76" width="14.42578125" style="206" customWidth="1"/>
    <col min="77" max="16384" width="8.42578125" style="206"/>
  </cols>
  <sheetData>
    <row r="1" spans="1:76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S1" s="205"/>
      <c r="BT1" s="205"/>
      <c r="BU1" s="205"/>
      <c r="BV1" s="205"/>
      <c r="BW1" s="205"/>
      <c r="BX1" s="205"/>
    </row>
    <row r="2" spans="1:76" ht="12" customHeight="1">
      <c r="A2" s="207"/>
      <c r="B2" s="207"/>
      <c r="C2" s="207"/>
      <c r="D2" s="207"/>
      <c r="F2" s="208" t="s">
        <v>199</v>
      </c>
      <c r="G2" s="208"/>
      <c r="I2" s="208" t="s">
        <v>199</v>
      </c>
      <c r="J2" s="208"/>
      <c r="L2" s="208" t="s">
        <v>199</v>
      </c>
      <c r="M2" s="208"/>
      <c r="O2" s="208" t="s">
        <v>199</v>
      </c>
      <c r="P2" s="208"/>
      <c r="R2" s="208" t="s">
        <v>199</v>
      </c>
      <c r="S2" s="208"/>
      <c r="U2" s="208" t="s">
        <v>199</v>
      </c>
      <c r="V2" s="208"/>
      <c r="X2" s="208" t="s">
        <v>199</v>
      </c>
      <c r="Y2" s="208"/>
      <c r="AA2" s="208" t="s">
        <v>199</v>
      </c>
      <c r="AB2" s="208"/>
      <c r="AD2" s="208" t="s">
        <v>199</v>
      </c>
      <c r="AE2" s="208"/>
      <c r="AG2" s="208" t="s">
        <v>199</v>
      </c>
      <c r="AH2" s="208"/>
      <c r="AJ2" s="208" t="s">
        <v>199</v>
      </c>
      <c r="AK2" s="208"/>
      <c r="AM2" s="208" t="s">
        <v>199</v>
      </c>
      <c r="AN2" s="208"/>
      <c r="AP2" s="208" t="s">
        <v>199</v>
      </c>
      <c r="AQ2" s="208"/>
      <c r="AS2" s="208" t="s">
        <v>199</v>
      </c>
      <c r="AT2" s="208"/>
      <c r="AV2" s="208" t="s">
        <v>199</v>
      </c>
      <c r="AW2" s="208"/>
      <c r="AY2" s="208" t="s">
        <v>199</v>
      </c>
      <c r="AZ2" s="208"/>
      <c r="BB2" s="208" t="s">
        <v>199</v>
      </c>
      <c r="BC2" s="208"/>
      <c r="BE2" s="208" t="s">
        <v>199</v>
      </c>
      <c r="BF2" s="208"/>
      <c r="BH2" s="208" t="s">
        <v>199</v>
      </c>
      <c r="BI2" s="208"/>
      <c r="BK2" s="208" t="s">
        <v>199</v>
      </c>
      <c r="BL2" s="208"/>
      <c r="BN2" s="208" t="s">
        <v>199</v>
      </c>
      <c r="BO2" s="208"/>
      <c r="BQ2" s="208" t="s">
        <v>199</v>
      </c>
      <c r="BT2" s="208" t="s">
        <v>199</v>
      </c>
      <c r="BV2" s="208" t="s">
        <v>285</v>
      </c>
      <c r="BX2" s="208" t="s">
        <v>285</v>
      </c>
    </row>
    <row r="3" spans="1:76" ht="12" customHeight="1">
      <c r="A3" s="207"/>
      <c r="B3" s="207"/>
      <c r="C3" s="207"/>
      <c r="D3" s="207"/>
      <c r="F3" s="368" t="s">
        <v>200</v>
      </c>
      <c r="G3" s="208"/>
      <c r="I3" s="368" t="s">
        <v>201</v>
      </c>
      <c r="J3" s="208"/>
      <c r="L3" s="368" t="s">
        <v>202</v>
      </c>
      <c r="M3" s="208"/>
      <c r="O3" s="368" t="s">
        <v>203</v>
      </c>
      <c r="P3" s="208"/>
      <c r="R3" s="368" t="s">
        <v>204</v>
      </c>
      <c r="S3" s="208"/>
      <c r="U3" s="368" t="s">
        <v>205</v>
      </c>
      <c r="V3" s="208"/>
      <c r="X3" s="368" t="s">
        <v>206</v>
      </c>
      <c r="Y3" s="208"/>
      <c r="AA3" s="368" t="s">
        <v>207</v>
      </c>
      <c r="AB3" s="208"/>
      <c r="AD3" s="368" t="s">
        <v>208</v>
      </c>
      <c r="AE3" s="208"/>
      <c r="AG3" s="368" t="s">
        <v>209</v>
      </c>
      <c r="AH3" s="208"/>
      <c r="AJ3" s="368" t="s">
        <v>210</v>
      </c>
      <c r="AK3" s="208"/>
      <c r="AM3" s="368" t="s">
        <v>211</v>
      </c>
      <c r="AN3" s="208"/>
      <c r="AP3" s="368" t="s">
        <v>212</v>
      </c>
      <c r="AQ3" s="208"/>
      <c r="AS3" s="368" t="s">
        <v>213</v>
      </c>
      <c r="AT3" s="208"/>
      <c r="AV3" s="368" t="s">
        <v>214</v>
      </c>
      <c r="AW3" s="208"/>
      <c r="AY3" s="368" t="s">
        <v>215</v>
      </c>
      <c r="AZ3" s="208"/>
      <c r="BB3" s="368" t="s">
        <v>216</v>
      </c>
      <c r="BC3" s="208"/>
      <c r="BE3" s="368" t="s">
        <v>217</v>
      </c>
      <c r="BF3" s="208"/>
      <c r="BH3" s="368" t="s">
        <v>218</v>
      </c>
      <c r="BI3" s="208"/>
      <c r="BK3" s="368" t="s">
        <v>263</v>
      </c>
      <c r="BL3" s="208"/>
      <c r="BN3" s="368" t="s">
        <v>266</v>
      </c>
      <c r="BO3" s="208"/>
      <c r="BQ3" s="368" t="s">
        <v>286</v>
      </c>
      <c r="BT3" s="368" t="s">
        <v>298</v>
      </c>
      <c r="BV3" s="368" t="s">
        <v>322</v>
      </c>
      <c r="BX3" s="368" t="s">
        <v>332</v>
      </c>
    </row>
    <row r="4" spans="1:76">
      <c r="A4" s="206" t="s">
        <v>219</v>
      </c>
      <c r="AM4" s="209"/>
    </row>
    <row r="5" spans="1:76">
      <c r="B5" s="206" t="s">
        <v>21</v>
      </c>
      <c r="E5" s="210" t="s">
        <v>220</v>
      </c>
      <c r="F5" s="206">
        <v>14405291</v>
      </c>
      <c r="H5" s="210" t="s">
        <v>220</v>
      </c>
      <c r="I5" s="206">
        <v>15890098</v>
      </c>
      <c r="K5" s="210" t="s">
        <v>220</v>
      </c>
      <c r="L5" s="206">
        <v>17607094</v>
      </c>
      <c r="N5" s="210" t="s">
        <v>220</v>
      </c>
      <c r="O5" s="206">
        <v>19525305</v>
      </c>
      <c r="Q5" s="210" t="s">
        <v>220</v>
      </c>
      <c r="R5" s="206">
        <v>23126463</v>
      </c>
      <c r="T5" s="210" t="s">
        <v>220</v>
      </c>
      <c r="U5" s="206">
        <f>26387936+266545</f>
        <v>26654481</v>
      </c>
      <c r="W5" s="210" t="s">
        <v>220</v>
      </c>
      <c r="X5" s="206">
        <f>28664078+289585</f>
        <v>28953663</v>
      </c>
      <c r="Z5" s="210" t="s">
        <v>220</v>
      </c>
      <c r="AA5" s="206">
        <f>32483441+324834</f>
        <v>32808275</v>
      </c>
      <c r="AC5" s="210" t="s">
        <v>220</v>
      </c>
      <c r="AD5" s="206">
        <v>35465406</v>
      </c>
      <c r="AF5" s="210" t="s">
        <v>220</v>
      </c>
      <c r="AG5" s="206">
        <v>38194164</v>
      </c>
      <c r="AI5" s="210" t="s">
        <v>220</v>
      </c>
      <c r="AJ5" s="206">
        <v>44124606</v>
      </c>
      <c r="AL5" s="210" t="s">
        <v>220</v>
      </c>
      <c r="AM5" s="206">
        <v>48154308</v>
      </c>
      <c r="AO5" s="210" t="s">
        <v>220</v>
      </c>
      <c r="AP5" s="206">
        <v>49920742</v>
      </c>
      <c r="AR5" s="210" t="s">
        <v>220</v>
      </c>
      <c r="AS5" s="87">
        <f>50491468+24377.11+25632.82+746.75</f>
        <v>50542224.68</v>
      </c>
      <c r="AU5" s="210" t="s">
        <v>220</v>
      </c>
      <c r="AV5" s="206">
        <v>50644743.020000003</v>
      </c>
      <c r="AX5" s="210" t="s">
        <v>220</v>
      </c>
      <c r="AY5" s="206">
        <v>51935462</v>
      </c>
      <c r="BA5" s="210" t="s">
        <v>220</v>
      </c>
      <c r="BB5" s="206">
        <f>59857067-4914865</f>
        <v>54942202</v>
      </c>
      <c r="BD5" s="210" t="s">
        <v>220</v>
      </c>
      <c r="BE5" s="206">
        <v>59148129.93</v>
      </c>
      <c r="BG5" s="210" t="s">
        <v>220</v>
      </c>
      <c r="BH5" s="206">
        <v>63336612.969999999</v>
      </c>
      <c r="BJ5" s="210" t="s">
        <v>220</v>
      </c>
      <c r="BK5" s="206">
        <v>68060768.5</v>
      </c>
      <c r="BM5" s="210" t="s">
        <v>220</v>
      </c>
      <c r="BN5" s="206">
        <v>73329649.5</v>
      </c>
      <c r="BP5" s="210" t="s">
        <v>220</v>
      </c>
      <c r="BQ5" s="206">
        <v>73295587</v>
      </c>
      <c r="BS5" s="210" t="s">
        <v>220</v>
      </c>
      <c r="BT5" s="206">
        <v>70796155.049999997</v>
      </c>
      <c r="BU5" s="210" t="s">
        <v>220</v>
      </c>
      <c r="BV5" s="206">
        <v>73014450</v>
      </c>
      <c r="BW5" s="210" t="s">
        <v>220</v>
      </c>
      <c r="BX5" s="206">
        <f>+BV5</f>
        <v>73014450</v>
      </c>
    </row>
    <row r="6" spans="1:76">
      <c r="C6" s="206" t="s">
        <v>221</v>
      </c>
      <c r="F6" s="206">
        <v>-3005085</v>
      </c>
      <c r="I6" s="206">
        <v>-3762957</v>
      </c>
      <c r="L6" s="206">
        <v>-5026639</v>
      </c>
      <c r="O6" s="206">
        <v>-5641608</v>
      </c>
      <c r="R6" s="206">
        <v>-7216650</v>
      </c>
      <c r="X6" s="206">
        <v>-2027678</v>
      </c>
      <c r="AA6" s="206">
        <v>-933102</v>
      </c>
      <c r="AD6" s="206">
        <v>-1112941</v>
      </c>
      <c r="AG6" s="206">
        <v>-1096943</v>
      </c>
      <c r="AJ6" s="206">
        <v>-1237217</v>
      </c>
      <c r="AM6" s="206">
        <v>-937284</v>
      </c>
      <c r="AP6" s="206">
        <v>-1446213</v>
      </c>
      <c r="AS6" s="87">
        <v>-1040739</v>
      </c>
      <c r="AV6" s="206">
        <v>-1173678</v>
      </c>
      <c r="AY6" s="206">
        <v>-931352</v>
      </c>
      <c r="BB6" s="206">
        <f>-970397+202333</f>
        <v>-768064</v>
      </c>
      <c r="BE6" s="206">
        <v>-832581</v>
      </c>
      <c r="BH6" s="206">
        <v>-884508.25</v>
      </c>
      <c r="BK6" s="206">
        <v>-912680</v>
      </c>
      <c r="BN6" s="206">
        <v>-964794</v>
      </c>
      <c r="BQ6" s="206">
        <v>-927927</v>
      </c>
      <c r="BT6" s="206">
        <v>-954690</v>
      </c>
      <c r="BV6" s="206">
        <f>+BT6/($BT$6+$BT$7)*-13254724</f>
        <v>-969781.57144611806</v>
      </c>
      <c r="BX6" s="206">
        <f>+BV6</f>
        <v>-969781.57144611806</v>
      </c>
    </row>
    <row r="7" spans="1:76">
      <c r="C7" s="206" t="s">
        <v>222</v>
      </c>
      <c r="U7" s="206">
        <v>-8239491</v>
      </c>
      <c r="X7" s="206">
        <v>-8141554</v>
      </c>
      <c r="AA7" s="206">
        <v>-9693792</v>
      </c>
      <c r="AD7" s="206">
        <v>-10439249</v>
      </c>
      <c r="AG7" s="206">
        <v>-10817845</v>
      </c>
      <c r="AJ7" s="206">
        <v>-12585470</v>
      </c>
      <c r="AM7" s="206">
        <v>-12713678</v>
      </c>
      <c r="AP7" s="206">
        <v>-13792651</v>
      </c>
      <c r="AS7" s="87">
        <v>-13473199</v>
      </c>
      <c r="AV7" s="206">
        <v>-13756776.08</v>
      </c>
      <c r="AY7" s="206">
        <v>-13200056</v>
      </c>
      <c r="BB7" s="206">
        <f>-14505641-10250+1031141</f>
        <v>-13484750</v>
      </c>
      <c r="BE7" s="206">
        <v>-13389653.43</v>
      </c>
      <c r="BH7" s="206">
        <f>-15195853.99-BH6</f>
        <v>-14311345.74</v>
      </c>
      <c r="BK7" s="206">
        <v>-14802815.779999999</v>
      </c>
      <c r="BN7" s="206">
        <v>-14249105.57</v>
      </c>
      <c r="BQ7" s="206">
        <v>-13899108.09</v>
      </c>
      <c r="BT7" s="206">
        <v>-12093766.300000001</v>
      </c>
      <c r="BV7" s="206">
        <f>+BT7/($BT$6+$BT$7)*-13254724</f>
        <v>-12284942.428553883</v>
      </c>
      <c r="BX7" s="206">
        <f>+BV7</f>
        <v>-12284942.428553883</v>
      </c>
    </row>
    <row r="8" spans="1:76">
      <c r="C8" s="206" t="s">
        <v>223</v>
      </c>
      <c r="F8" s="206">
        <v>-144053</v>
      </c>
      <c r="I8" s="206">
        <v>-158901</v>
      </c>
      <c r="L8" s="206">
        <v>-176071</v>
      </c>
      <c r="O8" s="206">
        <v>-195253</v>
      </c>
      <c r="R8" s="206">
        <f>-R5*0.01</f>
        <v>-231264.63</v>
      </c>
      <c r="U8" s="206">
        <v>-266545</v>
      </c>
      <c r="X8" s="206">
        <v>-289585</v>
      </c>
      <c r="AA8" s="206">
        <v>-328083</v>
      </c>
      <c r="AD8" s="206">
        <v>-354654</v>
      </c>
      <c r="AG8" s="206">
        <v>-381942</v>
      </c>
      <c r="AJ8" s="206">
        <v>-441246</v>
      </c>
      <c r="AM8" s="206">
        <v>-124457</v>
      </c>
      <c r="AP8" s="206">
        <v>-24457</v>
      </c>
      <c r="AS8" s="206">
        <f>-24377.11-25632.82-746.75</f>
        <v>-50756.68</v>
      </c>
      <c r="AV8" s="206">
        <v>-49106</v>
      </c>
      <c r="AY8" s="206">
        <v>-209513</v>
      </c>
      <c r="BB8" s="206">
        <v>34517</v>
      </c>
      <c r="BE8" s="206">
        <v>-43581.65</v>
      </c>
      <c r="BH8" s="206">
        <v>-15933.26</v>
      </c>
      <c r="BK8" s="206">
        <v>-310626.58</v>
      </c>
      <c r="BN8" s="206">
        <v>-28629.57</v>
      </c>
      <c r="BQ8" s="206">
        <v>-89451</v>
      </c>
      <c r="BT8" s="206">
        <v>-140047.15</v>
      </c>
      <c r="BV8" s="206">
        <v>10901</v>
      </c>
      <c r="BX8" s="206">
        <f>+BV8</f>
        <v>10901</v>
      </c>
    </row>
    <row r="9" spans="1:76">
      <c r="A9" s="211"/>
      <c r="D9" s="206" t="s">
        <v>224</v>
      </c>
      <c r="E9" s="210" t="s">
        <v>220</v>
      </c>
      <c r="F9" s="212">
        <f>SUM(F5:F8)</f>
        <v>11256153</v>
      </c>
      <c r="H9" s="210" t="s">
        <v>220</v>
      </c>
      <c r="I9" s="212">
        <f>SUM(I5:I8)</f>
        <v>11968240</v>
      </c>
      <c r="K9" s="210" t="s">
        <v>220</v>
      </c>
      <c r="L9" s="212">
        <f>SUM(L5:L8)</f>
        <v>12404384</v>
      </c>
      <c r="N9" s="210" t="s">
        <v>220</v>
      </c>
      <c r="O9" s="212">
        <f>SUM(O5:O8)</f>
        <v>13688444</v>
      </c>
      <c r="Q9" s="210" t="s">
        <v>220</v>
      </c>
      <c r="R9" s="212">
        <f>SUM(R5:R8)</f>
        <v>15678548.369999999</v>
      </c>
      <c r="T9" s="210" t="s">
        <v>220</v>
      </c>
      <c r="U9" s="212">
        <f>SUM(U5:U8)</f>
        <v>18148445</v>
      </c>
      <c r="W9" s="210" t="s">
        <v>220</v>
      </c>
      <c r="X9" s="212">
        <f>SUM(X5:X8)</f>
        <v>18494846</v>
      </c>
      <c r="Z9" s="210" t="s">
        <v>220</v>
      </c>
      <c r="AA9" s="212">
        <f>SUM(AA5:AA8)</f>
        <v>21853298</v>
      </c>
      <c r="AC9" s="210" t="s">
        <v>220</v>
      </c>
      <c r="AD9" s="212">
        <f>SUM(AD5:AD8)</f>
        <v>23558562</v>
      </c>
      <c r="AF9" s="210" t="s">
        <v>220</v>
      </c>
      <c r="AG9" s="212">
        <f>SUM(AG5:AG8)</f>
        <v>25897434</v>
      </c>
      <c r="AI9" s="210" t="s">
        <v>220</v>
      </c>
      <c r="AJ9" s="212">
        <f>SUM(AJ5:AJ8)</f>
        <v>29860673</v>
      </c>
      <c r="AL9" s="210" t="s">
        <v>220</v>
      </c>
      <c r="AM9" s="212">
        <f>SUM(AM5:AM8)</f>
        <v>34378889</v>
      </c>
      <c r="AO9" s="210" t="s">
        <v>220</v>
      </c>
      <c r="AP9" s="212">
        <f>SUM(AP5:AP8)</f>
        <v>34657421</v>
      </c>
      <c r="AR9" s="210" t="s">
        <v>220</v>
      </c>
      <c r="AS9" s="212">
        <f>SUM(AS5:AS8)</f>
        <v>35977530</v>
      </c>
      <c r="AU9" s="210" t="s">
        <v>220</v>
      </c>
      <c r="AV9" s="212">
        <f>SUM(AV5:AV8)</f>
        <v>35665182.940000005</v>
      </c>
      <c r="AX9" s="210" t="s">
        <v>220</v>
      </c>
      <c r="AY9" s="212">
        <f>SUM(AY5:AY8)</f>
        <v>37594541</v>
      </c>
      <c r="BA9" s="210" t="s">
        <v>220</v>
      </c>
      <c r="BB9" s="212">
        <f>SUM(BB5:BB8)</f>
        <v>40723905</v>
      </c>
      <c r="BD9" s="210" t="s">
        <v>220</v>
      </c>
      <c r="BE9" s="212">
        <f>SUM(BE5:BE8)</f>
        <v>44882313.850000001</v>
      </c>
      <c r="BG9" s="210" t="s">
        <v>220</v>
      </c>
      <c r="BH9" s="212">
        <f>SUM(BH5:BH8)</f>
        <v>48124825.719999999</v>
      </c>
      <c r="BJ9" s="210" t="s">
        <v>220</v>
      </c>
      <c r="BK9" s="212">
        <f>SUM(BK5:BK8)</f>
        <v>52034646.140000001</v>
      </c>
      <c r="BM9" s="210" t="s">
        <v>220</v>
      </c>
      <c r="BN9" s="212">
        <f>SUM(BN5:BN8)</f>
        <v>58087120.359999999</v>
      </c>
      <c r="BP9" s="210" t="s">
        <v>220</v>
      </c>
      <c r="BQ9" s="212">
        <f>SUM(BQ5:BQ8)</f>
        <v>58379100.909999996</v>
      </c>
      <c r="BS9" s="210" t="s">
        <v>220</v>
      </c>
      <c r="BT9" s="212">
        <f>SUM(BT5:BT8)</f>
        <v>57607651.600000001</v>
      </c>
      <c r="BU9" s="210" t="s">
        <v>220</v>
      </c>
      <c r="BV9" s="212">
        <f>SUM(BV5:BV8)</f>
        <v>59770627</v>
      </c>
      <c r="BW9" s="210" t="s">
        <v>220</v>
      </c>
      <c r="BX9" s="212">
        <f>SUM(BX5:BX8)</f>
        <v>59770627</v>
      </c>
    </row>
    <row r="10" spans="1:76">
      <c r="A10" s="206" t="s">
        <v>225</v>
      </c>
    </row>
    <row r="11" spans="1:76">
      <c r="B11" s="206" t="s">
        <v>226</v>
      </c>
      <c r="E11" s="210" t="s">
        <v>220</v>
      </c>
      <c r="F11" s="206">
        <v>26495</v>
      </c>
      <c r="G11" s="213"/>
      <c r="H11" s="210" t="s">
        <v>220</v>
      </c>
      <c r="I11" s="206">
        <v>27613</v>
      </c>
      <c r="J11" s="213"/>
      <c r="K11" s="210" t="s">
        <v>220</v>
      </c>
      <c r="L11" s="206">
        <v>34810</v>
      </c>
      <c r="M11" s="213"/>
      <c r="N11" s="210" t="s">
        <v>220</v>
      </c>
      <c r="O11" s="206">
        <v>38935</v>
      </c>
      <c r="P11" s="213"/>
      <c r="Q11" s="210" t="s">
        <v>220</v>
      </c>
      <c r="R11" s="206">
        <v>51810</v>
      </c>
      <c r="S11" s="213"/>
      <c r="T11" s="210" t="s">
        <v>220</v>
      </c>
      <c r="U11" s="206">
        <v>56120</v>
      </c>
      <c r="W11" s="210" t="s">
        <v>220</v>
      </c>
      <c r="X11" s="206">
        <v>56975</v>
      </c>
      <c r="Z11" s="210" t="s">
        <v>220</v>
      </c>
      <c r="AA11" s="206">
        <v>60300</v>
      </c>
      <c r="AB11" s="213"/>
      <c r="AC11" s="210" t="s">
        <v>220</v>
      </c>
      <c r="AD11" s="206">
        <v>57050</v>
      </c>
      <c r="AE11" s="213"/>
      <c r="AF11" s="210" t="s">
        <v>220</v>
      </c>
      <c r="AG11" s="206">
        <v>127565</v>
      </c>
      <c r="AH11" s="213"/>
      <c r="AI11" s="210" t="s">
        <v>220</v>
      </c>
      <c r="AJ11" s="206">
        <v>253770</v>
      </c>
      <c r="AK11" s="213"/>
      <c r="AL11" s="210" t="s">
        <v>220</v>
      </c>
      <c r="AM11" s="206">
        <v>165925</v>
      </c>
      <c r="AN11" s="213"/>
      <c r="AO11" s="210" t="s">
        <v>220</v>
      </c>
      <c r="AP11" s="206">
        <v>146125.01999999999</v>
      </c>
      <c r="AQ11" s="213"/>
      <c r="AR11" s="210" t="s">
        <v>220</v>
      </c>
      <c r="AS11" s="206">
        <v>157944</v>
      </c>
      <c r="AT11" s="213"/>
      <c r="AU11" s="210" t="s">
        <v>220</v>
      </c>
      <c r="AV11" s="206">
        <v>173588</v>
      </c>
      <c r="AW11" s="213"/>
      <c r="AX11" s="210" t="s">
        <v>220</v>
      </c>
      <c r="AY11" s="206">
        <v>134480</v>
      </c>
      <c r="AZ11" s="213"/>
      <c r="BA11" s="210" t="s">
        <v>220</v>
      </c>
      <c r="BB11" s="206">
        <v>103362</v>
      </c>
      <c r="BC11" s="213"/>
      <c r="BD11" s="210" t="s">
        <v>220</v>
      </c>
      <c r="BE11" s="206">
        <v>103312.67</v>
      </c>
      <c r="BF11" s="213"/>
      <c r="BG11" s="210" t="s">
        <v>220</v>
      </c>
      <c r="BH11" s="206">
        <v>98857.81</v>
      </c>
      <c r="BI11" s="213"/>
      <c r="BJ11" s="210" t="s">
        <v>220</v>
      </c>
      <c r="BK11" s="206">
        <v>111366.15</v>
      </c>
      <c r="BL11" s="213"/>
      <c r="BM11" s="210" t="s">
        <v>220</v>
      </c>
      <c r="BN11" s="206">
        <v>112377.96</v>
      </c>
      <c r="BO11" s="213"/>
      <c r="BP11" s="210" t="s">
        <v>220</v>
      </c>
      <c r="BQ11" s="206">
        <v>108824</v>
      </c>
      <c r="BS11" s="210" t="s">
        <v>220</v>
      </c>
      <c r="BT11" s="206">
        <v>97550</v>
      </c>
      <c r="BU11" s="210" t="s">
        <v>220</v>
      </c>
      <c r="BV11" s="206">
        <v>94145</v>
      </c>
      <c r="BW11" s="210" t="s">
        <v>220</v>
      </c>
      <c r="BX11" s="206">
        <f>+BV11</f>
        <v>94145</v>
      </c>
    </row>
    <row r="12" spans="1:76" ht="12.95" customHeight="1">
      <c r="B12" s="206" t="s">
        <v>227</v>
      </c>
      <c r="F12" s="206">
        <v>0</v>
      </c>
      <c r="I12" s="206">
        <v>0</v>
      </c>
      <c r="L12" s="206">
        <v>0</v>
      </c>
      <c r="O12" s="206">
        <v>0</v>
      </c>
      <c r="R12" s="206">
        <v>0</v>
      </c>
    </row>
    <row r="13" spans="1:76" ht="12.95" customHeight="1">
      <c r="B13" s="206" t="s">
        <v>228</v>
      </c>
      <c r="F13" s="206">
        <v>0</v>
      </c>
      <c r="I13" s="206">
        <v>0</v>
      </c>
      <c r="L13" s="206">
        <v>0</v>
      </c>
      <c r="O13" s="206">
        <v>0</v>
      </c>
    </row>
    <row r="14" spans="1:76" ht="12.95" customHeight="1">
      <c r="B14" s="206" t="s">
        <v>129</v>
      </c>
      <c r="F14" s="206">
        <v>0</v>
      </c>
      <c r="I14" s="206">
        <v>0</v>
      </c>
      <c r="L14" s="206">
        <v>0</v>
      </c>
      <c r="O14" s="206">
        <v>0</v>
      </c>
    </row>
    <row r="15" spans="1:76">
      <c r="B15" s="206" t="s">
        <v>229</v>
      </c>
      <c r="F15" s="206">
        <v>0</v>
      </c>
      <c r="I15" s="206">
        <v>0</v>
      </c>
      <c r="L15" s="206">
        <v>0</v>
      </c>
      <c r="O15" s="206">
        <v>0</v>
      </c>
      <c r="R15" s="206">
        <v>0</v>
      </c>
    </row>
    <row r="16" spans="1:76">
      <c r="B16" s="206" t="s">
        <v>230</v>
      </c>
      <c r="F16" s="206">
        <v>0</v>
      </c>
      <c r="I16" s="206">
        <v>0</v>
      </c>
      <c r="L16" s="206">
        <v>0</v>
      </c>
      <c r="O16" s="206">
        <v>0</v>
      </c>
      <c r="R16" s="206">
        <v>0</v>
      </c>
    </row>
    <row r="17" spans="1:76" ht="12.95" customHeight="1">
      <c r="B17" s="206" t="s">
        <v>231</v>
      </c>
      <c r="F17" s="206">
        <v>14688</v>
      </c>
      <c r="I17" s="206">
        <v>12341</v>
      </c>
      <c r="L17" s="206">
        <v>28155</v>
      </c>
      <c r="O17" s="206">
        <v>34269</v>
      </c>
      <c r="R17" s="206">
        <v>15732.5</v>
      </c>
      <c r="U17" s="206">
        <v>18023.650000000001</v>
      </c>
      <c r="X17" s="206">
        <v>16073.99</v>
      </c>
      <c r="AA17" s="206">
        <v>43657.25</v>
      </c>
      <c r="AD17" s="206">
        <v>38150</v>
      </c>
      <c r="AG17" s="206">
        <v>43534.5</v>
      </c>
      <c r="AJ17" s="206">
        <v>43661</v>
      </c>
      <c r="AM17" s="206">
        <v>45518</v>
      </c>
      <c r="AP17" s="206">
        <v>28594.82</v>
      </c>
      <c r="AS17" s="206">
        <v>26178</v>
      </c>
      <c r="AV17" s="206">
        <v>10490</v>
      </c>
      <c r="AY17" s="206">
        <v>30524</v>
      </c>
      <c r="BB17" s="206">
        <f>19500-100</f>
        <v>19400</v>
      </c>
      <c r="BE17" s="206">
        <v>35193</v>
      </c>
      <c r="BH17" s="206">
        <v>24485</v>
      </c>
      <c r="BK17" s="206">
        <v>28415</v>
      </c>
      <c r="BN17" s="206">
        <v>51265</v>
      </c>
      <c r="BQ17" s="206">
        <v>30195.83</v>
      </c>
      <c r="BT17" s="206">
        <v>22606.75</v>
      </c>
      <c r="BV17" s="206">
        <v>19010</v>
      </c>
      <c r="BX17" s="206">
        <f>+BV17</f>
        <v>19010</v>
      </c>
    </row>
    <row r="18" spans="1:76">
      <c r="A18" s="211"/>
      <c r="D18" s="206" t="s">
        <v>232</v>
      </c>
      <c r="E18" s="210" t="s">
        <v>220</v>
      </c>
      <c r="F18" s="212">
        <f>SUM(F11:F17)</f>
        <v>41183</v>
      </c>
      <c r="H18" s="210" t="s">
        <v>220</v>
      </c>
      <c r="I18" s="212">
        <f>SUM(I11:I17)</f>
        <v>39954</v>
      </c>
      <c r="K18" s="210" t="s">
        <v>220</v>
      </c>
      <c r="L18" s="212">
        <f>SUM(L11:L17)</f>
        <v>62965</v>
      </c>
      <c r="N18" s="210" t="s">
        <v>220</v>
      </c>
      <c r="O18" s="212">
        <f>SUM(O11:O17)</f>
        <v>73204</v>
      </c>
      <c r="Q18" s="210" t="s">
        <v>220</v>
      </c>
      <c r="R18" s="212">
        <f>SUM(R11:R17)</f>
        <v>67542.5</v>
      </c>
      <c r="T18" s="210" t="s">
        <v>220</v>
      </c>
      <c r="U18" s="212">
        <f>SUM(U11:U17)</f>
        <v>74143.649999999994</v>
      </c>
      <c r="W18" s="210" t="s">
        <v>220</v>
      </c>
      <c r="X18" s="212">
        <f>SUM(X11:X17)</f>
        <v>73048.990000000005</v>
      </c>
      <c r="Z18" s="210" t="s">
        <v>220</v>
      </c>
      <c r="AA18" s="212">
        <f>SUM(AA11:AA17)</f>
        <v>103957.25</v>
      </c>
      <c r="AC18" s="210" t="s">
        <v>220</v>
      </c>
      <c r="AD18" s="212">
        <f>SUM(AD11:AD17)</f>
        <v>95200</v>
      </c>
      <c r="AF18" s="210" t="s">
        <v>220</v>
      </c>
      <c r="AG18" s="212">
        <f>SUM(AG11:AG17)</f>
        <v>171099.5</v>
      </c>
      <c r="AI18" s="210" t="s">
        <v>220</v>
      </c>
      <c r="AJ18" s="212">
        <f>SUM(AJ11:AJ17)</f>
        <v>297431</v>
      </c>
      <c r="AL18" s="210" t="s">
        <v>220</v>
      </c>
      <c r="AM18" s="212">
        <f>SUM(AM11:AM17)</f>
        <v>211443</v>
      </c>
      <c r="AO18" s="210" t="s">
        <v>220</v>
      </c>
      <c r="AP18" s="212">
        <f>SUM(AP11:AP17)</f>
        <v>174719.84</v>
      </c>
      <c r="AR18" s="210" t="s">
        <v>220</v>
      </c>
      <c r="AS18" s="212">
        <f>SUM(AS11:AS17)</f>
        <v>184122</v>
      </c>
      <c r="AU18" s="210" t="s">
        <v>220</v>
      </c>
      <c r="AV18" s="212">
        <f>SUM(AV11:AV17)</f>
        <v>184078</v>
      </c>
      <c r="AX18" s="210" t="s">
        <v>220</v>
      </c>
      <c r="AY18" s="212">
        <f>SUM(AY11:AY17)</f>
        <v>165004</v>
      </c>
      <c r="BA18" s="210" t="s">
        <v>220</v>
      </c>
      <c r="BB18" s="212">
        <f>SUM(BB11:BB17)</f>
        <v>122762</v>
      </c>
      <c r="BD18" s="210" t="s">
        <v>220</v>
      </c>
      <c r="BE18" s="212">
        <f>SUM(BE11:BE17)</f>
        <v>138505.66999999998</v>
      </c>
      <c r="BG18" s="210" t="s">
        <v>220</v>
      </c>
      <c r="BH18" s="212">
        <f>SUM(BH11:BH17)</f>
        <v>123342.81</v>
      </c>
      <c r="BJ18" s="210" t="s">
        <v>220</v>
      </c>
      <c r="BK18" s="212">
        <f>SUM(BK11:BK17)</f>
        <v>139781.15</v>
      </c>
      <c r="BM18" s="210" t="s">
        <v>220</v>
      </c>
      <c r="BN18" s="212">
        <f>SUM(BN11:BN17)</f>
        <v>163642.96000000002</v>
      </c>
      <c r="BP18" s="210" t="s">
        <v>220</v>
      </c>
      <c r="BQ18" s="212">
        <f>SUM(BQ11:BQ17)</f>
        <v>139019.83000000002</v>
      </c>
      <c r="BS18" s="210" t="s">
        <v>220</v>
      </c>
      <c r="BT18" s="212">
        <f>SUM(BT11:BT17)</f>
        <v>120156.75</v>
      </c>
      <c r="BU18" s="210" t="s">
        <v>220</v>
      </c>
      <c r="BV18" s="212">
        <f>SUM(BV11:BV17)</f>
        <v>113155</v>
      </c>
      <c r="BW18" s="210" t="s">
        <v>220</v>
      </c>
      <c r="BX18" s="212">
        <f>SUM(BX11:BX17)</f>
        <v>113155</v>
      </c>
    </row>
    <row r="19" spans="1:76" ht="12.95" customHeight="1">
      <c r="A19" s="206" t="s">
        <v>233</v>
      </c>
    </row>
    <row r="20" spans="1:76" ht="12.95" customHeight="1">
      <c r="B20" s="206" t="s">
        <v>234</v>
      </c>
    </row>
    <row r="21" spans="1:76" ht="12.95" customHeight="1">
      <c r="C21" s="206" t="s">
        <v>235</v>
      </c>
      <c r="E21" s="210" t="s">
        <v>220</v>
      </c>
      <c r="F21" s="206">
        <v>0</v>
      </c>
      <c r="H21" s="210" t="s">
        <v>220</v>
      </c>
      <c r="I21" s="206">
        <v>0</v>
      </c>
      <c r="K21" s="210" t="s">
        <v>220</v>
      </c>
      <c r="L21" s="206">
        <v>0</v>
      </c>
      <c r="N21" s="210" t="s">
        <v>220</v>
      </c>
      <c r="O21" s="206">
        <v>0</v>
      </c>
      <c r="Q21" s="210" t="s">
        <v>220</v>
      </c>
      <c r="R21" s="206">
        <v>0</v>
      </c>
      <c r="T21" s="210" t="s">
        <v>220</v>
      </c>
      <c r="U21" s="206">
        <v>0</v>
      </c>
      <c r="W21" s="210" t="s">
        <v>220</v>
      </c>
      <c r="Z21" s="210" t="s">
        <v>220</v>
      </c>
      <c r="AC21" s="210" t="s">
        <v>220</v>
      </c>
      <c r="AF21" s="210" t="s">
        <v>220</v>
      </c>
      <c r="AI21" s="210" t="s">
        <v>220</v>
      </c>
      <c r="AL21" s="210" t="s">
        <v>220</v>
      </c>
      <c r="AO21" s="210" t="s">
        <v>220</v>
      </c>
      <c r="AR21" s="210" t="s">
        <v>220</v>
      </c>
      <c r="AU21" s="210" t="s">
        <v>220</v>
      </c>
      <c r="AX21" s="210" t="s">
        <v>220</v>
      </c>
      <c r="BA21" s="210" t="s">
        <v>220</v>
      </c>
      <c r="BD21" s="210" t="s">
        <v>220</v>
      </c>
      <c r="BG21" s="210" t="s">
        <v>220</v>
      </c>
      <c r="BJ21" s="210" t="s">
        <v>220</v>
      </c>
      <c r="BM21" s="210" t="s">
        <v>220</v>
      </c>
      <c r="BP21" s="210" t="s">
        <v>220</v>
      </c>
      <c r="BS21" s="210" t="s">
        <v>220</v>
      </c>
      <c r="BU21" s="210" t="s">
        <v>220</v>
      </c>
      <c r="BW21" s="210" t="s">
        <v>220</v>
      </c>
    </row>
    <row r="22" spans="1:76">
      <c r="B22" s="206" t="s">
        <v>236</v>
      </c>
      <c r="F22" s="206">
        <v>500000</v>
      </c>
      <c r="I22" s="206">
        <v>500000</v>
      </c>
      <c r="L22" s="206">
        <v>500000</v>
      </c>
      <c r="O22" s="206">
        <v>500000</v>
      </c>
      <c r="R22" s="206">
        <v>500000</v>
      </c>
      <c r="U22" s="206">
        <v>500000</v>
      </c>
      <c r="X22" s="206">
        <v>500000</v>
      </c>
      <c r="AA22" s="206">
        <v>500000</v>
      </c>
      <c r="AD22" s="206">
        <v>500000</v>
      </c>
      <c r="AG22" s="206">
        <v>500000</v>
      </c>
      <c r="AJ22" s="206">
        <v>500000</v>
      </c>
      <c r="AM22" s="206">
        <v>500000</v>
      </c>
      <c r="AP22" s="206">
        <v>500000</v>
      </c>
      <c r="AS22" s="206">
        <f>+AP22</f>
        <v>500000</v>
      </c>
      <c r="AV22" s="206">
        <f>+AS22</f>
        <v>500000</v>
      </c>
      <c r="AY22" s="206">
        <f>+AV22</f>
        <v>500000</v>
      </c>
      <c r="BB22" s="206">
        <v>375000</v>
      </c>
      <c r="BE22" s="206">
        <v>500000</v>
      </c>
      <c r="BH22" s="206">
        <v>500000</v>
      </c>
      <c r="BK22" s="206">
        <v>500000</v>
      </c>
      <c r="BN22" s="206">
        <v>500000</v>
      </c>
      <c r="BQ22" s="206">
        <v>500000</v>
      </c>
      <c r="BT22" s="206">
        <v>500000</v>
      </c>
      <c r="BV22" s="206">
        <v>500000</v>
      </c>
      <c r="BX22" s="206">
        <f>+BV22</f>
        <v>500000</v>
      </c>
    </row>
    <row r="23" spans="1:76" ht="12.95" customHeight="1">
      <c r="B23" s="206" t="s">
        <v>237</v>
      </c>
      <c r="R23" s="206">
        <v>0</v>
      </c>
    </row>
    <row r="24" spans="1:76" ht="12.95" customHeight="1">
      <c r="B24" s="206" t="s">
        <v>238</v>
      </c>
      <c r="R24" s="206">
        <v>0</v>
      </c>
    </row>
    <row r="25" spans="1:76">
      <c r="C25" s="206" t="s">
        <v>239</v>
      </c>
      <c r="F25" s="206">
        <v>7529897</v>
      </c>
      <c r="I25" s="206">
        <v>9270798</v>
      </c>
      <c r="L25" s="206">
        <v>10681932</v>
      </c>
      <c r="O25" s="206">
        <v>12101418</v>
      </c>
      <c r="R25" s="206">
        <v>14180617.359999999</v>
      </c>
      <c r="U25" s="206">
        <v>16245607.310000001</v>
      </c>
      <c r="X25" s="206">
        <v>16375780.779999999</v>
      </c>
      <c r="AA25" s="206">
        <v>15363224.17</v>
      </c>
      <c r="AD25" s="206">
        <v>18564847</v>
      </c>
      <c r="AG25" s="206">
        <v>22954675.890000001</v>
      </c>
      <c r="AJ25" s="206">
        <v>24168385</v>
      </c>
      <c r="AM25" s="206">
        <v>23449305</v>
      </c>
      <c r="AP25" s="206">
        <v>22229893.59</v>
      </c>
      <c r="AS25" s="206">
        <v>20884662</v>
      </c>
      <c r="AV25" s="206">
        <v>22002584</v>
      </c>
      <c r="AY25" s="206">
        <v>23228876</v>
      </c>
      <c r="BB25" s="206">
        <v>26272341</v>
      </c>
      <c r="BE25" s="206">
        <v>28927284.57</v>
      </c>
      <c r="BH25" s="206">
        <v>32494499.109999999</v>
      </c>
      <c r="BK25" s="206">
        <v>33658345.43</v>
      </c>
      <c r="BN25" s="206">
        <v>36363926.609999999</v>
      </c>
      <c r="BQ25" s="206">
        <v>37980055.880000003</v>
      </c>
      <c r="BT25" s="206">
        <v>44545061.590000004</v>
      </c>
      <c r="BV25" s="206">
        <v>42325000</v>
      </c>
      <c r="BX25" s="206">
        <f>+BV25</f>
        <v>42325000</v>
      </c>
    </row>
    <row r="26" spans="1:76">
      <c r="C26" s="206" t="s">
        <v>240</v>
      </c>
      <c r="F26" s="206">
        <v>-5704897</v>
      </c>
      <c r="I26" s="206">
        <v>-7445798</v>
      </c>
      <c r="L26" s="206">
        <v>-8856932</v>
      </c>
      <c r="O26" s="206">
        <v>-10276418</v>
      </c>
      <c r="R26" s="206">
        <f>-R25+1825000+2000000</f>
        <v>-10355617.359999999</v>
      </c>
      <c r="U26" s="206">
        <f>-U25+1825000+2000000</f>
        <v>-12420607.310000001</v>
      </c>
      <c r="X26" s="206">
        <f>-X25+1825000+2000000</f>
        <v>-12550780.779999999</v>
      </c>
      <c r="AA26" s="206">
        <f>-AA25+1825000+2000000</f>
        <v>-11538224.17</v>
      </c>
      <c r="AD26" s="206">
        <f>-AD25+1825000-AD27</f>
        <v>-16739847</v>
      </c>
      <c r="AG26" s="206">
        <f>-AG25+1825000-AG27</f>
        <v>-21129675.890000001</v>
      </c>
      <c r="AJ26" s="206">
        <f>-(+AJ25-1825000)</f>
        <v>-22343385</v>
      </c>
      <c r="AM26" s="206">
        <v>-21624305</v>
      </c>
      <c r="AP26" s="206">
        <f>-(+AP25-1825000)</f>
        <v>-20404893.59</v>
      </c>
      <c r="AS26" s="206">
        <f>-(+AS25-1825000)</f>
        <v>-19059662</v>
      </c>
      <c r="AV26" s="206">
        <f>-(+AV25-1825000)</f>
        <v>-20177584</v>
      </c>
      <c r="AY26" s="206">
        <f>-(+AY25-1825000)</f>
        <v>-21403876</v>
      </c>
      <c r="BB26" s="98">
        <f>-BB25+1825000</f>
        <v>-24447341</v>
      </c>
      <c r="BE26" s="206">
        <f>-BE25+1825000</f>
        <v>-27102284.57</v>
      </c>
      <c r="BH26" s="206">
        <f>-BH25+1825000</f>
        <v>-30669499.109999999</v>
      </c>
      <c r="BK26" s="206">
        <f>-BK25+1825000</f>
        <v>-31833345.43</v>
      </c>
      <c r="BN26" s="206">
        <f>-BN25+1825000</f>
        <v>-34538926.609999999</v>
      </c>
      <c r="BQ26" s="206">
        <f>-BQ25+1825000</f>
        <v>-36155055.880000003</v>
      </c>
      <c r="BT26" s="206">
        <f>-BT25+1825000</f>
        <v>-42720061.590000004</v>
      </c>
      <c r="BV26" s="206">
        <f>-BV25+1825000</f>
        <v>-40500000</v>
      </c>
      <c r="BX26" s="206">
        <f>+BV26</f>
        <v>-40500000</v>
      </c>
    </row>
    <row r="27" spans="1:76">
      <c r="C27" s="206" t="s">
        <v>241</v>
      </c>
      <c r="F27" s="206">
        <v>-5704897</v>
      </c>
      <c r="I27" s="206">
        <v>0</v>
      </c>
      <c r="L27" s="206">
        <v>0</v>
      </c>
      <c r="O27" s="206">
        <v>0</v>
      </c>
      <c r="R27" s="206">
        <v>-2000000</v>
      </c>
      <c r="U27" s="206">
        <v>-2000000</v>
      </c>
      <c r="X27" s="206">
        <v>-2000000</v>
      </c>
      <c r="AA27" s="206">
        <v>-2000000</v>
      </c>
    </row>
    <row r="28" spans="1:76">
      <c r="B28" s="206" t="s">
        <v>242</v>
      </c>
      <c r="F28" s="206">
        <v>2718374</v>
      </c>
      <c r="G28" s="213"/>
      <c r="I28" s="206">
        <v>2903670</v>
      </c>
      <c r="J28" s="213"/>
      <c r="L28" s="206">
        <v>2417459</v>
      </c>
      <c r="M28" s="213"/>
      <c r="O28" s="206">
        <v>2082139</v>
      </c>
      <c r="P28" s="213"/>
      <c r="R28" s="206">
        <v>2001858</v>
      </c>
      <c r="S28" s="213"/>
      <c r="U28" s="206">
        <v>2047604</v>
      </c>
      <c r="X28" s="206">
        <v>2359972</v>
      </c>
      <c r="AA28" s="206">
        <v>2180000</v>
      </c>
      <c r="AB28" s="213"/>
      <c r="AD28" s="206">
        <v>2180000</v>
      </c>
      <c r="AE28" s="213"/>
      <c r="AG28" s="206">
        <v>2154922</v>
      </c>
      <c r="AH28" s="213"/>
      <c r="AJ28" s="206">
        <v>1900000</v>
      </c>
      <c r="AK28" s="213"/>
      <c r="AM28" s="206">
        <v>1879739</v>
      </c>
      <c r="AN28" s="213"/>
      <c r="AP28" s="206">
        <v>2098906.73</v>
      </c>
      <c r="AQ28" s="213"/>
      <c r="AS28" s="206">
        <v>2260378</v>
      </c>
      <c r="AT28" s="213"/>
      <c r="AV28" s="206">
        <v>2613769.8199999998</v>
      </c>
      <c r="AW28" s="213"/>
      <c r="AY28" s="206">
        <v>3390905</v>
      </c>
      <c r="AZ28" s="213"/>
      <c r="BB28" s="206">
        <v>3902757</v>
      </c>
      <c r="BC28" s="213"/>
      <c r="BE28" s="206">
        <v>2524800.59</v>
      </c>
      <c r="BF28" s="213"/>
      <c r="BH28" s="206">
        <v>2240842.41</v>
      </c>
      <c r="BI28" s="213"/>
      <c r="BK28" s="206">
        <v>2234811.5099999998</v>
      </c>
      <c r="BL28" s="213"/>
      <c r="BN28" s="206">
        <v>2250000</v>
      </c>
      <c r="BO28" s="213"/>
      <c r="BQ28" s="206">
        <v>2250001</v>
      </c>
      <c r="BT28" s="206">
        <v>2250000</v>
      </c>
      <c r="BV28" s="206">
        <v>2250000</v>
      </c>
      <c r="BX28" s="206">
        <f>+BV28</f>
        <v>2250000</v>
      </c>
    </row>
    <row r="29" spans="1:76">
      <c r="B29" s="206" t="s">
        <v>243</v>
      </c>
      <c r="F29" s="206">
        <v>2662</v>
      </c>
      <c r="G29" s="213"/>
      <c r="I29" s="206">
        <v>1898</v>
      </c>
      <c r="J29" s="213"/>
      <c r="L29" s="206">
        <v>2177</v>
      </c>
      <c r="M29" s="213"/>
      <c r="P29" s="213"/>
      <c r="R29" s="206">
        <v>0</v>
      </c>
      <c r="S29" s="213"/>
      <c r="AB29" s="213"/>
      <c r="AE29" s="213"/>
      <c r="AH29" s="213"/>
      <c r="AK29" s="213"/>
      <c r="AN29" s="213"/>
      <c r="AQ29" s="213"/>
      <c r="AT29" s="213"/>
      <c r="AW29" s="213"/>
      <c r="AZ29" s="213"/>
      <c r="BC29" s="213"/>
      <c r="BF29" s="213"/>
      <c r="BI29" s="213"/>
      <c r="BL29" s="213"/>
      <c r="BO29" s="213"/>
    </row>
    <row r="30" spans="1:76" hidden="1"/>
    <row r="31" spans="1:76" ht="12.95" customHeight="1">
      <c r="B31" s="206" t="s">
        <v>244</v>
      </c>
      <c r="O31" s="206">
        <v>0</v>
      </c>
      <c r="R31" s="206">
        <v>0</v>
      </c>
    </row>
    <row r="32" spans="1:76" ht="12.95" customHeight="1">
      <c r="B32" s="206" t="s">
        <v>245</v>
      </c>
      <c r="O32" s="206">
        <v>0</v>
      </c>
      <c r="R32" s="206">
        <v>0</v>
      </c>
    </row>
    <row r="33" spans="1:76" ht="12.95" customHeight="1">
      <c r="B33" s="206" t="s">
        <v>246</v>
      </c>
      <c r="O33" s="206">
        <v>0</v>
      </c>
      <c r="R33" s="206">
        <v>0</v>
      </c>
    </row>
    <row r="34" spans="1:76">
      <c r="B34" s="206" t="s">
        <v>247</v>
      </c>
      <c r="F34" s="206">
        <v>37213</v>
      </c>
      <c r="I34" s="206">
        <v>34641</v>
      </c>
      <c r="L34" s="206">
        <v>39726</v>
      </c>
      <c r="O34" s="206">
        <v>32174</v>
      </c>
      <c r="R34" s="206">
        <v>69709</v>
      </c>
      <c r="U34" s="206">
        <v>90425</v>
      </c>
      <c r="X34" s="206">
        <v>106102</v>
      </c>
      <c r="AA34" s="206">
        <v>147661</v>
      </c>
      <c r="AD34" s="206">
        <v>151485</v>
      </c>
      <c r="AG34" s="206">
        <v>141168</v>
      </c>
      <c r="AJ34" s="206">
        <v>123395</v>
      </c>
      <c r="AM34" s="206">
        <v>123848</v>
      </c>
      <c r="AP34" s="206">
        <v>152228</v>
      </c>
      <c r="AS34" s="87">
        <v>158990</v>
      </c>
      <c r="AV34" s="206">
        <v>109180</v>
      </c>
      <c r="AY34" s="206">
        <v>24641</v>
      </c>
      <c r="BB34" s="206">
        <v>61445</v>
      </c>
      <c r="BE34" s="99">
        <v>0</v>
      </c>
      <c r="BH34" s="99">
        <v>0</v>
      </c>
      <c r="BK34" s="99">
        <v>0</v>
      </c>
      <c r="BN34" s="214">
        <v>0</v>
      </c>
      <c r="BQ34" s="214">
        <v>0</v>
      </c>
      <c r="BR34" s="214"/>
      <c r="BS34" s="214"/>
      <c r="BT34" s="214">
        <v>0</v>
      </c>
      <c r="BU34" s="214"/>
      <c r="BV34" s="214">
        <v>0</v>
      </c>
      <c r="BW34" s="214"/>
      <c r="BX34" s="214">
        <v>0</v>
      </c>
    </row>
    <row r="35" spans="1:76">
      <c r="B35" s="206" t="s">
        <v>248</v>
      </c>
      <c r="F35" s="206">
        <v>-37213</v>
      </c>
      <c r="I35" s="206">
        <v>-34641</v>
      </c>
      <c r="L35" s="206">
        <v>-39726</v>
      </c>
      <c r="O35" s="206">
        <v>-32174</v>
      </c>
      <c r="R35" s="206">
        <v>-69709</v>
      </c>
      <c r="U35" s="206">
        <f>-U34</f>
        <v>-90425</v>
      </c>
      <c r="X35" s="206">
        <f>-X34</f>
        <v>-106102</v>
      </c>
      <c r="AA35" s="206">
        <v>-147661</v>
      </c>
      <c r="AD35" s="206">
        <v>-151485</v>
      </c>
      <c r="AG35" s="206">
        <v>-141168</v>
      </c>
      <c r="AJ35" s="206">
        <v>-123395</v>
      </c>
      <c r="AM35" s="206">
        <f>-AM34</f>
        <v>-123848</v>
      </c>
      <c r="AP35" s="206">
        <f>-AP34</f>
        <v>-152228</v>
      </c>
      <c r="AS35" s="87">
        <v>-158990</v>
      </c>
      <c r="AV35" s="206">
        <f>-AV34</f>
        <v>-109180</v>
      </c>
      <c r="AY35" s="206">
        <f>-AY34</f>
        <v>-24641</v>
      </c>
      <c r="BB35" s="206">
        <f>-BB34</f>
        <v>-61445</v>
      </c>
      <c r="BE35" s="99">
        <v>0</v>
      </c>
      <c r="BH35" s="99">
        <v>0</v>
      </c>
      <c r="BK35" s="99">
        <v>0</v>
      </c>
      <c r="BN35" s="214">
        <v>0</v>
      </c>
      <c r="BQ35" s="214">
        <v>0</v>
      </c>
      <c r="BR35" s="214"/>
      <c r="BS35" s="214"/>
      <c r="BT35" s="214">
        <v>0</v>
      </c>
      <c r="BU35" s="214"/>
      <c r="BV35" s="214">
        <v>0</v>
      </c>
      <c r="BW35" s="214"/>
      <c r="BX35" s="214">
        <v>0</v>
      </c>
    </row>
    <row r="36" spans="1:76">
      <c r="B36" s="206" t="s">
        <v>249</v>
      </c>
      <c r="AD36" s="206">
        <v>200000</v>
      </c>
      <c r="AG36" s="206">
        <v>200000</v>
      </c>
      <c r="AJ36" s="206">
        <v>200000</v>
      </c>
      <c r="AM36" s="206">
        <v>200000</v>
      </c>
      <c r="AP36" s="206">
        <v>200000</v>
      </c>
      <c r="AS36" s="206">
        <v>200000</v>
      </c>
      <c r="AV36" s="206">
        <v>200000</v>
      </c>
      <c r="AY36" s="206">
        <v>200000</v>
      </c>
      <c r="BB36" s="206">
        <v>200000</v>
      </c>
      <c r="BE36" s="206">
        <v>250000</v>
      </c>
      <c r="BH36" s="206">
        <v>250000</v>
      </c>
      <c r="BK36" s="206">
        <v>250000</v>
      </c>
      <c r="BN36" s="206">
        <v>250000</v>
      </c>
      <c r="BQ36" s="369">
        <v>0</v>
      </c>
      <c r="BT36" s="370">
        <f>+BQ36</f>
        <v>0</v>
      </c>
      <c r="BV36" s="370">
        <f>+BS36</f>
        <v>0</v>
      </c>
      <c r="BX36" s="370">
        <f>+BU36</f>
        <v>0</v>
      </c>
    </row>
    <row r="37" spans="1:76">
      <c r="B37" s="206" t="s">
        <v>39</v>
      </c>
      <c r="F37" s="206">
        <v>37914</v>
      </c>
      <c r="I37" s="206">
        <v>-7353</v>
      </c>
      <c r="L37" s="206">
        <v>333</v>
      </c>
      <c r="O37" s="206">
        <v>-20119</v>
      </c>
      <c r="R37" s="206">
        <v>16225.29</v>
      </c>
      <c r="U37" s="206">
        <v>6487.52</v>
      </c>
      <c r="X37" s="206">
        <v>8652.7999999999993</v>
      </c>
      <c r="AA37" s="206">
        <f>70341.55-45950</f>
        <v>24391.550000000003</v>
      </c>
      <c r="AD37" s="206">
        <f>263708-200000</f>
        <v>63708</v>
      </c>
      <c r="AG37" s="206">
        <v>92158</v>
      </c>
      <c r="AJ37" s="206">
        <v>-17203</v>
      </c>
      <c r="AM37" s="206">
        <v>7874</v>
      </c>
      <c r="AP37" s="206">
        <v>-92277.11</v>
      </c>
      <c r="AS37" s="206">
        <v>1876</v>
      </c>
      <c r="AV37" s="206">
        <v>12984</v>
      </c>
      <c r="AY37" s="215">
        <v>0</v>
      </c>
    </row>
    <row r="38" spans="1:76">
      <c r="A38" s="207"/>
      <c r="B38" s="207"/>
      <c r="C38" s="207"/>
      <c r="D38" s="207" t="s">
        <v>250</v>
      </c>
      <c r="E38" s="210" t="s">
        <v>220</v>
      </c>
      <c r="F38" s="212">
        <f>SUM(F21:F37)</f>
        <v>-620947</v>
      </c>
      <c r="H38" s="210" t="s">
        <v>220</v>
      </c>
      <c r="I38" s="212">
        <f>SUM(I21:I37)</f>
        <v>5223215</v>
      </c>
      <c r="K38" s="210" t="s">
        <v>220</v>
      </c>
      <c r="L38" s="212">
        <f>SUM(L21:L37)</f>
        <v>4744969</v>
      </c>
      <c r="N38" s="210" t="s">
        <v>220</v>
      </c>
      <c r="O38" s="212">
        <f>SUM(O21:O37)</f>
        <v>4387020</v>
      </c>
      <c r="Q38" s="210" t="s">
        <v>220</v>
      </c>
      <c r="R38" s="212">
        <f>SUM(R21:R37)</f>
        <v>4343083.29</v>
      </c>
      <c r="T38" s="210" t="s">
        <v>220</v>
      </c>
      <c r="U38" s="212">
        <f>SUM(U21:U37)</f>
        <v>4379091.5199999996</v>
      </c>
      <c r="W38" s="210" t="s">
        <v>220</v>
      </c>
      <c r="X38" s="212">
        <f>SUM(X21:X37)</f>
        <v>4693624.8000000017</v>
      </c>
      <c r="Z38" s="210" t="s">
        <v>220</v>
      </c>
      <c r="AA38" s="212">
        <f>SUM(AA21:AA37)</f>
        <v>4529391.55</v>
      </c>
      <c r="AC38" s="210" t="s">
        <v>220</v>
      </c>
      <c r="AD38" s="212">
        <f>SUM(AD21:AD37)</f>
        <v>4768708</v>
      </c>
      <c r="AF38" s="210" t="s">
        <v>220</v>
      </c>
      <c r="AG38" s="212">
        <f>SUM(AG21:AG37)</f>
        <v>4772080</v>
      </c>
      <c r="AI38" s="210" t="s">
        <v>220</v>
      </c>
      <c r="AJ38" s="212">
        <f>SUM(AJ21:AJ37)</f>
        <v>4407797</v>
      </c>
      <c r="AL38" s="210" t="s">
        <v>220</v>
      </c>
      <c r="AM38" s="212">
        <f>SUM(AM21:AM37)</f>
        <v>4412613</v>
      </c>
      <c r="AO38" s="210" t="s">
        <v>220</v>
      </c>
      <c r="AP38" s="212">
        <f>SUM(AP21:AP37)</f>
        <v>4531629.62</v>
      </c>
      <c r="AR38" s="210" t="s">
        <v>220</v>
      </c>
      <c r="AS38" s="212">
        <f>SUM(AS21:AS37)</f>
        <v>4787254</v>
      </c>
      <c r="AU38" s="210" t="s">
        <v>220</v>
      </c>
      <c r="AV38" s="212">
        <f>SUM(AV21:AV37)</f>
        <v>5151753.82</v>
      </c>
      <c r="AX38" s="210" t="s">
        <v>220</v>
      </c>
      <c r="AY38" s="212">
        <f>SUM(AY21:AY37)</f>
        <v>5915905</v>
      </c>
      <c r="BA38" s="210" t="s">
        <v>220</v>
      </c>
      <c r="BB38" s="212">
        <f>SUM(BB21:BB37)</f>
        <v>6302757</v>
      </c>
      <c r="BD38" s="210" t="s">
        <v>220</v>
      </c>
      <c r="BE38" s="212">
        <f>SUM(BE21:BE37)</f>
        <v>5099800.59</v>
      </c>
      <c r="BG38" s="210" t="s">
        <v>220</v>
      </c>
      <c r="BH38" s="212">
        <f>SUM(BH21:BH37)</f>
        <v>4815842.41</v>
      </c>
      <c r="BJ38" s="210" t="s">
        <v>220</v>
      </c>
      <c r="BK38" s="212">
        <f>SUM(BK21:BK37)</f>
        <v>4809811.51</v>
      </c>
      <c r="BM38" s="210" t="s">
        <v>220</v>
      </c>
      <c r="BN38" s="212">
        <f>SUM(BN21:BN37)</f>
        <v>4825000</v>
      </c>
      <c r="BP38" s="210" t="s">
        <v>220</v>
      </c>
      <c r="BQ38" s="212">
        <f>SUM(BQ21:BQ37)</f>
        <v>4575001</v>
      </c>
      <c r="BS38" s="210" t="s">
        <v>220</v>
      </c>
      <c r="BT38" s="212">
        <f>SUM(BT21:BT37)</f>
        <v>4575000</v>
      </c>
      <c r="BU38" s="210" t="s">
        <v>220</v>
      </c>
      <c r="BV38" s="212">
        <f>SUM(BV21:BV37)</f>
        <v>4575000</v>
      </c>
      <c r="BW38" s="210" t="s">
        <v>220</v>
      </c>
      <c r="BX38" s="212">
        <f>SUM(BX21:BX37)</f>
        <v>4575000</v>
      </c>
    </row>
    <row r="39" spans="1:76">
      <c r="A39" s="206" t="s">
        <v>251</v>
      </c>
      <c r="E39" s="210" t="s">
        <v>220</v>
      </c>
      <c r="F39" s="371">
        <f>F9+F18+F38</f>
        <v>10676389</v>
      </c>
      <c r="H39" s="210" t="s">
        <v>220</v>
      </c>
      <c r="I39" s="371">
        <f>I9+I18+I38</f>
        <v>17231409</v>
      </c>
      <c r="K39" s="210" t="s">
        <v>220</v>
      </c>
      <c r="L39" s="371">
        <f>L9+L18+L38</f>
        <v>17212318</v>
      </c>
      <c r="N39" s="210" t="s">
        <v>220</v>
      </c>
      <c r="O39" s="371">
        <f>O9+O18+O38</f>
        <v>18148668</v>
      </c>
      <c r="Q39" s="210" t="s">
        <v>220</v>
      </c>
      <c r="R39" s="371">
        <f>R9+R18+R38</f>
        <v>20089174.16</v>
      </c>
      <c r="T39" s="210" t="s">
        <v>220</v>
      </c>
      <c r="U39" s="371">
        <f>U9+U18+U38</f>
        <v>22601680.169999998</v>
      </c>
      <c r="W39" s="210" t="s">
        <v>220</v>
      </c>
      <c r="X39" s="371">
        <f>X9+X18+X38</f>
        <v>23261519.789999999</v>
      </c>
      <c r="Z39" s="210" t="s">
        <v>220</v>
      </c>
      <c r="AA39" s="371">
        <f>AA9+AA18+AA38</f>
        <v>26486646.800000001</v>
      </c>
      <c r="AC39" s="210" t="s">
        <v>220</v>
      </c>
      <c r="AD39" s="371">
        <f>AD9+AD18+AD38</f>
        <v>28422470</v>
      </c>
      <c r="AF39" s="210" t="s">
        <v>220</v>
      </c>
      <c r="AG39" s="371">
        <f>AG9+AG18+AG38</f>
        <v>30840613.5</v>
      </c>
      <c r="AI39" s="210" t="s">
        <v>220</v>
      </c>
      <c r="AJ39" s="371">
        <f>AJ9+AJ18+AJ38</f>
        <v>34565901</v>
      </c>
      <c r="AL39" s="210" t="s">
        <v>220</v>
      </c>
      <c r="AM39" s="371">
        <f>AM9+AM18+AM38</f>
        <v>39002945</v>
      </c>
      <c r="AO39" s="210" t="s">
        <v>220</v>
      </c>
      <c r="AP39" s="371">
        <f>AP9+AP18+AP38</f>
        <v>39363770.460000001</v>
      </c>
      <c r="AR39" s="210" t="s">
        <v>220</v>
      </c>
      <c r="AS39" s="371">
        <f>AS9+AS18+AS38</f>
        <v>40948906</v>
      </c>
      <c r="AU39" s="210" t="s">
        <v>220</v>
      </c>
      <c r="AV39" s="371">
        <f>AV9+AV18+AV38</f>
        <v>41001014.760000005</v>
      </c>
      <c r="AX39" s="210" t="s">
        <v>220</v>
      </c>
      <c r="AY39" s="371">
        <f>AY9+AY18+AY38</f>
        <v>43675450</v>
      </c>
      <c r="BA39" s="210" t="s">
        <v>220</v>
      </c>
      <c r="BB39" s="371">
        <f>BB9+BB18+BB38</f>
        <v>47149424</v>
      </c>
      <c r="BD39" s="210" t="s">
        <v>220</v>
      </c>
      <c r="BE39" s="371">
        <f>BE9+BE18+BE38</f>
        <v>50120620.109999999</v>
      </c>
      <c r="BG39" s="210" t="s">
        <v>220</v>
      </c>
      <c r="BH39" s="371">
        <f>BH9+BH18+BH38</f>
        <v>53064010.939999998</v>
      </c>
      <c r="BJ39" s="210" t="s">
        <v>220</v>
      </c>
      <c r="BK39" s="371">
        <f>BK9+BK18+BK38</f>
        <v>56984238.799999997</v>
      </c>
      <c r="BM39" s="210" t="s">
        <v>220</v>
      </c>
      <c r="BN39" s="371">
        <f>BN9+BN18+BN38</f>
        <v>63075763.32</v>
      </c>
      <c r="BP39" s="210" t="s">
        <v>220</v>
      </c>
      <c r="BQ39" s="371">
        <f>BQ9+BQ18+BQ38</f>
        <v>63093121.739999995</v>
      </c>
      <c r="BS39" s="210" t="s">
        <v>220</v>
      </c>
      <c r="BT39" s="371">
        <f>BT9+BT18+BT38</f>
        <v>62302808.350000001</v>
      </c>
      <c r="BU39" s="210" t="s">
        <v>220</v>
      </c>
      <c r="BV39" s="371">
        <f>BV9+BV18+BV38</f>
        <v>64458782</v>
      </c>
      <c r="BW39" s="210" t="s">
        <v>220</v>
      </c>
      <c r="BX39" s="371">
        <f>BX9+BX18+BX38</f>
        <v>64458782</v>
      </c>
    </row>
    <row r="40" spans="1:76" ht="12.95" customHeight="1">
      <c r="A40" s="206" t="s">
        <v>252</v>
      </c>
      <c r="E40" s="210"/>
      <c r="F40" s="206">
        <v>-541004</v>
      </c>
      <c r="H40" s="210"/>
      <c r="I40" s="206">
        <v>94505</v>
      </c>
      <c r="K40" s="210"/>
      <c r="L40" s="206">
        <v>505273</v>
      </c>
      <c r="N40" s="210"/>
      <c r="O40" s="206">
        <v>333254</v>
      </c>
      <c r="Q40" s="210"/>
      <c r="R40" s="206">
        <v>-316670</v>
      </c>
      <c r="T40" s="210"/>
      <c r="U40" s="206">
        <f>770807.99-1045380.49</f>
        <v>-274572.5</v>
      </c>
      <c r="W40" s="210"/>
      <c r="X40" s="206">
        <f>669358.12-772026.74</f>
        <v>-102668.62</v>
      </c>
      <c r="Z40" s="210"/>
      <c r="AA40" s="206">
        <f>1044533.76-751500.37</f>
        <v>293033.39</v>
      </c>
      <c r="AC40" s="210"/>
      <c r="AD40" s="206">
        <f>994928.82-1040857.76</f>
        <v>-45928.940000000061</v>
      </c>
      <c r="AF40" s="210"/>
      <c r="AG40" s="206">
        <f>778564.6-987818.54</f>
        <v>-209253.94000000006</v>
      </c>
      <c r="AI40" s="210"/>
      <c r="AJ40" s="206">
        <f>1239081-778805</f>
        <v>460276</v>
      </c>
      <c r="AL40" s="210"/>
      <c r="AM40" s="206">
        <v>-575995</v>
      </c>
      <c r="AO40" s="210"/>
      <c r="AP40" s="206">
        <f>1401771.16-647642.38</f>
        <v>754128.77999999991</v>
      </c>
      <c r="AR40" s="210"/>
      <c r="AS40" s="206">
        <f>2149550.81-1404190.17</f>
        <v>745360.64000000013</v>
      </c>
      <c r="AU40" s="210"/>
      <c r="AX40" s="210"/>
      <c r="BA40" s="210"/>
      <c r="BD40" s="210"/>
      <c r="BG40" s="210"/>
      <c r="BJ40" s="210"/>
      <c r="BM40" s="210"/>
      <c r="BP40" s="210"/>
      <c r="BS40" s="210"/>
      <c r="BU40" s="210"/>
      <c r="BW40" s="210"/>
    </row>
    <row r="41" spans="1:76" ht="12.95" customHeight="1">
      <c r="A41" s="206" t="s">
        <v>253</v>
      </c>
      <c r="F41" s="206">
        <v>5704897</v>
      </c>
      <c r="I41" s="206">
        <v>7445798</v>
      </c>
      <c r="L41" s="206">
        <v>8856932</v>
      </c>
      <c r="O41" s="206">
        <v>10276418</v>
      </c>
      <c r="R41" s="206">
        <f>-R26</f>
        <v>10355617.359999999</v>
      </c>
      <c r="U41" s="206">
        <f>-U26</f>
        <v>12420607.310000001</v>
      </c>
      <c r="X41" s="206">
        <f>-X26</f>
        <v>12550780.779999999</v>
      </c>
      <c r="AA41" s="206">
        <f>-AA26</f>
        <v>11538224.17</v>
      </c>
      <c r="AD41" s="206">
        <f>-AD26</f>
        <v>16739847</v>
      </c>
      <c r="AG41" s="206">
        <f>-AG26</f>
        <v>21129675.890000001</v>
      </c>
      <c r="AJ41" s="206">
        <f>-AJ26</f>
        <v>22343385</v>
      </c>
      <c r="AM41" s="206">
        <f>-AM26</f>
        <v>21624305</v>
      </c>
      <c r="AP41" s="206">
        <f>-AP26</f>
        <v>20404893.59</v>
      </c>
      <c r="AS41" s="206">
        <f>-AS26</f>
        <v>19059662</v>
      </c>
      <c r="AV41" s="206">
        <f>-AV26</f>
        <v>20177584</v>
      </c>
      <c r="AY41" s="206">
        <f>-AY26</f>
        <v>21403876</v>
      </c>
      <c r="BB41" s="206">
        <f>-BB26</f>
        <v>24447341</v>
      </c>
      <c r="BE41" s="206">
        <f>-BE26</f>
        <v>27102284.57</v>
      </c>
      <c r="BH41" s="206">
        <f>-BH26</f>
        <v>30669499.109999999</v>
      </c>
      <c r="BK41" s="206">
        <f>-BK26</f>
        <v>31833345.43</v>
      </c>
      <c r="BN41" s="206">
        <f>-BN26</f>
        <v>34538926.609999999</v>
      </c>
      <c r="BQ41" s="206">
        <f>-BQ26</f>
        <v>36155055.880000003</v>
      </c>
      <c r="BT41" s="206">
        <f>-BT26</f>
        <v>42720061.590000004</v>
      </c>
      <c r="BV41" s="206">
        <f>-BV26</f>
        <v>40500000</v>
      </c>
      <c r="BX41" s="206">
        <f>-BX26</f>
        <v>40500000</v>
      </c>
    </row>
    <row r="42" spans="1:76">
      <c r="A42" s="206" t="s">
        <v>254</v>
      </c>
      <c r="U42" s="206">
        <v>7021264</v>
      </c>
      <c r="X42" s="206">
        <v>8351449</v>
      </c>
      <c r="AA42" s="206">
        <v>10355004</v>
      </c>
      <c r="AD42" s="206">
        <v>10294164</v>
      </c>
      <c r="AG42" s="206">
        <v>10107105.960000001</v>
      </c>
      <c r="AJ42" s="206">
        <v>10170402</v>
      </c>
      <c r="AM42" s="206">
        <v>10264800</v>
      </c>
      <c r="AP42" s="206">
        <v>10357200</v>
      </c>
      <c r="AS42" s="206">
        <v>10235400</v>
      </c>
      <c r="AV42" s="206">
        <v>10434648</v>
      </c>
      <c r="AY42" s="206">
        <v>10247664</v>
      </c>
      <c r="BB42" s="206">
        <v>9725625</v>
      </c>
      <c r="BE42" s="206">
        <v>10358730</v>
      </c>
      <c r="BH42" s="206">
        <v>11087208</v>
      </c>
      <c r="BK42" s="206">
        <v>11534598</v>
      </c>
      <c r="BN42" s="206">
        <f>6906211.25+661242.25*7</f>
        <v>11534907</v>
      </c>
      <c r="BQ42" s="206">
        <v>11635119.960000001</v>
      </c>
      <c r="BT42" s="206">
        <v>11230259</v>
      </c>
      <c r="BV42" s="206">
        <v>11800000</v>
      </c>
      <c r="BX42" s="206">
        <v>11800000</v>
      </c>
    </row>
    <row r="43" spans="1:76">
      <c r="A43" s="206" t="s">
        <v>255</v>
      </c>
      <c r="R43" s="206">
        <v>0</v>
      </c>
    </row>
    <row r="44" spans="1:76">
      <c r="A44" s="206" t="s">
        <v>256</v>
      </c>
      <c r="F44" s="206">
        <v>9743026</v>
      </c>
      <c r="I44" s="206">
        <v>10194280</v>
      </c>
      <c r="L44" s="206">
        <v>11438461</v>
      </c>
      <c r="O44" s="206">
        <v>17896732</v>
      </c>
      <c r="R44" s="206">
        <v>17535272.789999999</v>
      </c>
      <c r="U44" s="206">
        <v>18001672.789999999</v>
      </c>
      <c r="X44" s="206">
        <v>20636840.649999999</v>
      </c>
      <c r="AA44" s="206">
        <v>24457429.91</v>
      </c>
      <c r="AD44" s="206">
        <v>28084965</v>
      </c>
      <c r="AG44" s="206">
        <v>25777461.710000001</v>
      </c>
      <c r="AJ44" s="206">
        <v>27687726</v>
      </c>
      <c r="AM44" s="206">
        <v>25661403</v>
      </c>
      <c r="AP44" s="206">
        <v>27238907.309999999</v>
      </c>
      <c r="AS44" s="206">
        <v>26314832</v>
      </c>
      <c r="AV44" s="206">
        <v>19534229</v>
      </c>
      <c r="AY44" s="206">
        <v>16995512</v>
      </c>
      <c r="BB44" s="206">
        <v>19542125</v>
      </c>
      <c r="BE44" s="206">
        <v>21526541.41</v>
      </c>
      <c r="BH44" s="206">
        <v>18825520.149999999</v>
      </c>
      <c r="BK44" s="206">
        <v>22263953.27</v>
      </c>
      <c r="BN44" s="206">
        <v>12839028.310000001</v>
      </c>
      <c r="BO44" s="206" t="s">
        <v>318</v>
      </c>
      <c r="BQ44" s="206">
        <v>14532697.029999999</v>
      </c>
      <c r="BR44" s="206" t="s">
        <v>318</v>
      </c>
      <c r="BT44" s="206">
        <v>23312267.07</v>
      </c>
      <c r="BV44" s="206">
        <v>24800000</v>
      </c>
      <c r="BX44" s="206">
        <f>+BV44</f>
        <v>24800000</v>
      </c>
    </row>
    <row r="45" spans="1:76">
      <c r="A45" s="206" t="s">
        <v>257</v>
      </c>
      <c r="R45" s="206">
        <v>0</v>
      </c>
    </row>
    <row r="46" spans="1:76">
      <c r="A46" s="206" t="s">
        <v>258</v>
      </c>
      <c r="F46" s="206">
        <v>265225</v>
      </c>
      <c r="I46" s="206">
        <v>402446</v>
      </c>
      <c r="L46" s="206">
        <v>78306</v>
      </c>
    </row>
    <row r="47" spans="1:76" ht="12.95" customHeight="1">
      <c r="A47" s="206" t="s">
        <v>259</v>
      </c>
    </row>
    <row r="48" spans="1:76" ht="12.95" customHeight="1">
      <c r="A48" s="206" t="s">
        <v>260</v>
      </c>
      <c r="F48" s="206">
        <v>-936444</v>
      </c>
      <c r="I48" s="206">
        <v>-794625</v>
      </c>
      <c r="L48" s="206">
        <v>225194</v>
      </c>
      <c r="O48" s="206">
        <v>-536735</v>
      </c>
      <c r="R48" s="206">
        <v>-536735</v>
      </c>
      <c r="U48" s="206">
        <v>-536735</v>
      </c>
      <c r="X48" s="206">
        <v>-536735</v>
      </c>
      <c r="AA48" s="206">
        <v>-979600</v>
      </c>
      <c r="AD48" s="206">
        <v>-912838</v>
      </c>
      <c r="AG48" s="206">
        <v>-1610103</v>
      </c>
      <c r="AJ48" s="206">
        <v>-1309545</v>
      </c>
      <c r="AM48" s="206">
        <v>-1309545</v>
      </c>
      <c r="AP48" s="206">
        <v>-1309545</v>
      </c>
      <c r="AS48" s="206">
        <f>+AP48</f>
        <v>-1309545</v>
      </c>
      <c r="AV48" s="206">
        <f>+AS48</f>
        <v>-1309545</v>
      </c>
      <c r="AY48" s="206">
        <v>-1309545</v>
      </c>
      <c r="BB48" s="206">
        <v>-1309545</v>
      </c>
      <c r="BE48" s="206">
        <v>-1309545</v>
      </c>
      <c r="BH48" s="206">
        <v>-1309545</v>
      </c>
      <c r="BK48" s="206">
        <v>-1309545</v>
      </c>
      <c r="BN48" s="206">
        <v>-1309545.04</v>
      </c>
      <c r="BQ48" s="206">
        <v>-1309545.04</v>
      </c>
      <c r="BT48" s="206">
        <v>-1309545.04</v>
      </c>
      <c r="BV48" s="206">
        <v>-1309545</v>
      </c>
      <c r="BX48" s="206">
        <f>+BV48</f>
        <v>-1309545</v>
      </c>
    </row>
    <row r="49" spans="1:76" ht="12.95" customHeight="1">
      <c r="A49" s="206" t="s">
        <v>261</v>
      </c>
      <c r="O49" s="206">
        <v>-3942446</v>
      </c>
      <c r="R49" s="206">
        <v>-2453248</v>
      </c>
    </row>
    <row r="50" spans="1:76" ht="12.95" customHeight="1">
      <c r="A50" s="206" t="s">
        <v>39</v>
      </c>
      <c r="F50" s="206">
        <v>140497</v>
      </c>
      <c r="I50" s="206">
        <v>345912</v>
      </c>
      <c r="L50" s="206">
        <v>710184</v>
      </c>
      <c r="O50" s="206">
        <v>-1169286</v>
      </c>
      <c r="R50" s="206">
        <v>-1066933</v>
      </c>
      <c r="U50" s="206">
        <f>50292239-59233917</f>
        <v>-8941678</v>
      </c>
      <c r="X50" s="206">
        <f>58327316-64161187</f>
        <v>-5833871</v>
      </c>
      <c r="AA50" s="206">
        <v>-6040183</v>
      </c>
      <c r="AD50" s="206">
        <v>-9976718</v>
      </c>
      <c r="AG50" s="206">
        <v>-13421675</v>
      </c>
      <c r="AJ50" s="206">
        <v>-13412531</v>
      </c>
      <c r="AM50" s="206">
        <v>-6025674</v>
      </c>
    </row>
    <row r="51" spans="1:76" s="207" customFormat="1" ht="13.5" thickBot="1">
      <c r="A51" s="207" t="s">
        <v>262</v>
      </c>
      <c r="E51" s="216" t="s">
        <v>220</v>
      </c>
      <c r="F51" s="217">
        <f>SUM(F39:F50)</f>
        <v>25052586</v>
      </c>
      <c r="H51" s="216" t="s">
        <v>220</v>
      </c>
      <c r="I51" s="217">
        <f>SUM(I39:I50)</f>
        <v>34919725</v>
      </c>
      <c r="K51" s="216" t="s">
        <v>220</v>
      </c>
      <c r="L51" s="217">
        <f>SUM(L39:L50)</f>
        <v>39026668</v>
      </c>
      <c r="N51" s="216" t="s">
        <v>220</v>
      </c>
      <c r="O51" s="217">
        <f>SUM(O39:O50)</f>
        <v>41006605</v>
      </c>
      <c r="Q51" s="216" t="s">
        <v>220</v>
      </c>
      <c r="R51" s="217">
        <f>SUM(R39:R50)</f>
        <v>43606478.310000002</v>
      </c>
      <c r="T51" s="216" t="s">
        <v>220</v>
      </c>
      <c r="U51" s="217">
        <f>SUM(U39:U50)</f>
        <v>50292238.769999996</v>
      </c>
      <c r="W51" s="216" t="s">
        <v>220</v>
      </c>
      <c r="X51" s="217">
        <f>SUM(X39:X50)</f>
        <v>58327315.599999994</v>
      </c>
      <c r="Z51" s="216" t="s">
        <v>220</v>
      </c>
      <c r="AA51" s="217">
        <f>SUM(AA39:AA50)</f>
        <v>66110555.269999996</v>
      </c>
      <c r="AC51" s="216" t="s">
        <v>220</v>
      </c>
      <c r="AD51" s="217">
        <f>SUM(AD39:AD50)</f>
        <v>72605961.060000002</v>
      </c>
      <c r="AF51" s="216" t="s">
        <v>220</v>
      </c>
      <c r="AG51" s="217">
        <f>SUM(AG39:AG50)</f>
        <v>72613825.120000005</v>
      </c>
      <c r="AI51" s="216" t="s">
        <v>220</v>
      </c>
      <c r="AJ51" s="217">
        <f>SUM(AJ39:AJ50)</f>
        <v>80505614</v>
      </c>
      <c r="AL51" s="216" t="s">
        <v>220</v>
      </c>
      <c r="AM51" s="217">
        <f>SUM(AM39:AM50)</f>
        <v>88642239</v>
      </c>
      <c r="AO51" s="216" t="s">
        <v>220</v>
      </c>
      <c r="AP51" s="217">
        <f>SUM(AP39:AP50)</f>
        <v>96809355.140000001</v>
      </c>
      <c r="AR51" s="216" t="s">
        <v>220</v>
      </c>
      <c r="AS51" s="217">
        <f>SUM(AS39:AS50)</f>
        <v>95994615.640000001</v>
      </c>
      <c r="AU51" s="216" t="s">
        <v>220</v>
      </c>
      <c r="AV51" s="217">
        <f>SUM(AV39:AV50)</f>
        <v>89837930.760000005</v>
      </c>
      <c r="AX51" s="216" t="s">
        <v>220</v>
      </c>
      <c r="AY51" s="217">
        <f>SUM(AY39:AY50)</f>
        <v>91012957</v>
      </c>
      <c r="BA51" s="216" t="s">
        <v>220</v>
      </c>
      <c r="BB51" s="217">
        <f>SUM(BB39:BB50)</f>
        <v>99554970</v>
      </c>
      <c r="BD51" s="216" t="s">
        <v>220</v>
      </c>
      <c r="BE51" s="217">
        <f>SUM(BE39:BE50)</f>
        <v>107798631.09</v>
      </c>
      <c r="BG51" s="216" t="s">
        <v>220</v>
      </c>
      <c r="BH51" s="217">
        <f>SUM(BH39:BH50)</f>
        <v>112336693.19999999</v>
      </c>
      <c r="BJ51" s="216" t="s">
        <v>220</v>
      </c>
      <c r="BK51" s="217">
        <f>SUM(BK39:BK50)</f>
        <v>121306590.49999999</v>
      </c>
      <c r="BM51" s="216" t="s">
        <v>220</v>
      </c>
      <c r="BN51" s="217">
        <f>SUM(BN39:BN50)</f>
        <v>120679080.2</v>
      </c>
      <c r="BP51" s="216" t="s">
        <v>220</v>
      </c>
      <c r="BQ51" s="217">
        <f>SUM(BQ39:BQ50)</f>
        <v>124106449.57000001</v>
      </c>
      <c r="BS51" s="216" t="s">
        <v>220</v>
      </c>
      <c r="BT51" s="217">
        <f>SUM(BT39:BT50)</f>
        <v>138255850.97</v>
      </c>
      <c r="BU51" s="216" t="s">
        <v>220</v>
      </c>
      <c r="BV51" s="217">
        <f>SUM(BV39:BV50)</f>
        <v>140249237</v>
      </c>
      <c r="BW51" s="216" t="s">
        <v>220</v>
      </c>
      <c r="BX51" s="217">
        <f>SUM(BX39:BX50)</f>
        <v>140249237</v>
      </c>
    </row>
    <row r="52" spans="1:76" ht="13.5" thickTop="1"/>
    <row r="53" spans="1:76">
      <c r="A53" s="218"/>
      <c r="B53" s="219" t="s">
        <v>318</v>
      </c>
      <c r="C53" s="219" t="s">
        <v>319</v>
      </c>
      <c r="D53" s="219"/>
    </row>
    <row r="54" spans="1:76">
      <c r="A54" s="219"/>
      <c r="C54" s="219"/>
      <c r="D54" s="219"/>
    </row>
    <row r="55" spans="1:76">
      <c r="A55" s="219"/>
      <c r="B55" s="219"/>
      <c r="C55" s="219"/>
      <c r="D55" s="219"/>
    </row>
  </sheetData>
  <pageMargins left="0.2" right="0.2" top="0.5" bottom="0.25" header="0.05" footer="0.05"/>
  <pageSetup paperSize="5" scale="82" orientation="landscape" r:id="rId1"/>
  <headerFooter>
    <oddHeader>&amp;C&amp;"-,Bold"&amp;16University of Nebraska Medical Center
&amp;A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Enrollment &amp; Tuition Summary</vt:lpstr>
      <vt:lpstr>Student Fee Schedule</vt:lpstr>
      <vt:lpstr>Student Financial Aid</vt:lpstr>
      <vt:lpstr>Cash Fund Revenue Summary </vt:lpstr>
      <vt:lpstr>'Student Fee Schedule'!Print_Area</vt:lpstr>
      <vt:lpstr>'Student Financial Aid'!Print_Area</vt:lpstr>
      <vt:lpstr>'Student Fee Schedule'!Print_Titles</vt:lpstr>
      <vt:lpstr>'Student Financial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2021-12-10T18:01:06Z</dcterms:created>
  <dcterms:modified xsi:type="dcterms:W3CDTF">2024-04-17T19:14:49Z</dcterms:modified>
</cp:coreProperties>
</file>