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FD4971FC-33A6-48BC-A2A2-3AC00814056A}" xr6:coauthVersionLast="47" xr6:coauthVersionMax="47" xr10:uidLastSave="{00000000-0000-0000-0000-000000000000}"/>
  <bookViews>
    <workbookView xWindow="-120" yWindow="-120" windowWidth="29040" windowHeight="17640" xr2:uid="{00000000-000D-0000-FFFF-FFFF00000000}"/>
  </bookViews>
  <sheets>
    <sheet name="Enrollment &amp; Tuition Summary" sheetId="17" r:id="rId1"/>
    <sheet name="Student Fee Schedule" sheetId="15" r:id="rId2"/>
    <sheet name="Student Financial Aid" sheetId="16" r:id="rId3"/>
    <sheet name="Cash Fund Revenue Summary" sheetId="14" r:id="rId4"/>
  </sheets>
  <externalReferences>
    <externalReference r:id="rId5"/>
    <externalReference r:id="rId6"/>
    <externalReference r:id="rId7"/>
  </externalReferences>
  <definedNames>
    <definedName name="_22PRINT" localSheetId="3">#REF!</definedName>
    <definedName name="_22PRINT" localSheetId="0">#REF!</definedName>
    <definedName name="_22PRINT" localSheetId="1">#REF!</definedName>
    <definedName name="_22PRINT" localSheetId="2">#REF!</definedName>
    <definedName name="_22PRINT">#REF!</definedName>
    <definedName name="_Key1" localSheetId="3" hidden="1">#REF!</definedName>
    <definedName name="_Key1" localSheetId="0" hidden="1">#REF!</definedName>
    <definedName name="_Key1" localSheetId="1" hidden="1">#REF!</definedName>
    <definedName name="_Key1" localSheetId="2" hidden="1">#REF!</definedName>
    <definedName name="_Key1" hidden="1">#REF!</definedName>
    <definedName name="_Order1" hidden="1">0</definedName>
    <definedName name="_Sort" localSheetId="3" hidden="1">#REF!</definedName>
    <definedName name="_Sort" localSheetId="0" hidden="1">#REF!</definedName>
    <definedName name="_Sort" localSheetId="1" hidden="1">#REF!</definedName>
    <definedName name="_Sort" localSheetId="2" hidden="1">#REF!</definedName>
    <definedName name="_Sort" hidden="1">#REF!</definedName>
    <definedName name="DATA1" localSheetId="3" xml:space="preserve">    '[1]Remissions Recon to SAP'!$A$2:$A$31</definedName>
    <definedName name="DATA1" xml:space="preserve">    '[1]Remissions Recon to SAP'!$A$2:$A$31</definedName>
    <definedName name="DATA11" localSheetId="0">'[2]Remissions Recon to SAP'!#REF!</definedName>
    <definedName name="DATA11">'[2]Remissions Recon to SAP'!#REF!</definedName>
    <definedName name="DATA14">'[2]Remissions Recon to SAP'!$M$2:$M$35</definedName>
    <definedName name="EX_9697" localSheetId="3">#REF!</definedName>
    <definedName name="EX_9697" localSheetId="0">#REF!</definedName>
    <definedName name="EX_9697" localSheetId="1">#REF!</definedName>
    <definedName name="EX_9697" localSheetId="2">#REF!</definedName>
    <definedName name="EX_9697">#REF!</definedName>
    <definedName name="inst_nm" localSheetId="3">[3]CCPE_start!$U$2:$U$15</definedName>
    <definedName name="inst_nm">[3]CCPE_start!$U$2:$U$15</definedName>
    <definedName name="_xlnm.Print_Area" localSheetId="3">'Cash Fund Revenue Summary'!$A$1:$BT$54</definedName>
    <definedName name="_xlnm.Print_Area" localSheetId="0">'Enrollment &amp; Tuition Summary'!$D$1:$BQ$39</definedName>
    <definedName name="_xlnm.Print_Area" localSheetId="1">'Student Fee Schedule'!$B$1:$AM$51</definedName>
    <definedName name="_xlnm.Print_Area" localSheetId="2">'Student Financial Aid'!$A$2:$CC$148</definedName>
    <definedName name="_xlnm.Print_Titles" localSheetId="0">'Enrollment &amp; Tuition Summary'!$A:$C</definedName>
    <definedName name="_xlnm.Print_Titles" localSheetId="2">'Student Financial Aid'!$A:$A,'Student Financial Aid'!$2:$6</definedName>
    <definedName name="TEST1" localSheetId="0">#REF!</definedName>
    <definedName name="TEST1">#REF!</definedName>
    <definedName name="unitid" localSheetId="3">[3]CCPE_start!$S$1:$S$15</definedName>
    <definedName name="unitid">[3]CCPE_start!$S$1:$S$15</definedName>
    <definedName name="UNLW_OIANR" localSheetId="3">#REF!</definedName>
    <definedName name="UNLW_OIANR" localSheetId="0">#REF!</definedName>
    <definedName name="UNLW_OIANR" localSheetId="1">#REF!</definedName>
    <definedName name="UNLW_OIANR" localSheetId="2">#REF!</definedName>
    <definedName name="UNLW_OIANR">#REF!</definedName>
    <definedName name="valinst" localSheetId="3">#REF!</definedName>
    <definedName name="valinst" localSheetId="1">#REF!</definedName>
    <definedName name="valinst" localSheetId="2">#REF!</definedName>
    <definedName name="valin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37" i="17" l="1"/>
  <c r="BG37" i="17"/>
  <c r="BB37" i="17"/>
  <c r="AW37" i="17"/>
  <c r="AR37" i="17"/>
  <c r="AM37" i="17"/>
  <c r="AH37" i="17"/>
  <c r="AC37" i="17"/>
  <c r="X37" i="17"/>
  <c r="S37" i="17"/>
  <c r="N37" i="17"/>
  <c r="I37" i="17"/>
  <c r="D37" i="17"/>
  <c r="BM34" i="17"/>
  <c r="BL34" i="17"/>
  <c r="BH34" i="17"/>
  <c r="BG34" i="17"/>
  <c r="BC34" i="17"/>
  <c r="BB34" i="17"/>
  <c r="AX34" i="17"/>
  <c r="AW34" i="17"/>
  <c r="AS34" i="17"/>
  <c r="AR34" i="17"/>
  <c r="AN34" i="17"/>
  <c r="AM34" i="17"/>
  <c r="AK34" i="17"/>
  <c r="AI34" i="17"/>
  <c r="AH34" i="17"/>
  <c r="AD34" i="17"/>
  <c r="AC34" i="17"/>
  <c r="Y34" i="17"/>
  <c r="X34" i="17"/>
  <c r="T34" i="17"/>
  <c r="S34" i="17"/>
  <c r="O34" i="17"/>
  <c r="N34" i="17"/>
  <c r="J34" i="17"/>
  <c r="I34" i="17"/>
  <c r="F34" i="17"/>
  <c r="E34" i="17"/>
  <c r="D34" i="17"/>
  <c r="BO33" i="17"/>
  <c r="BJ33" i="17"/>
  <c r="BE33" i="17"/>
  <c r="AZ33" i="17"/>
  <c r="AU33" i="17"/>
  <c r="AU34" i="17" s="1"/>
  <c r="AP33" i="17"/>
  <c r="AK33" i="17"/>
  <c r="AF33" i="17"/>
  <c r="AA33" i="17"/>
  <c r="V33" i="17"/>
  <c r="Q33" i="17"/>
  <c r="L33" i="17"/>
  <c r="G33" i="17"/>
  <c r="G34" i="17" s="1"/>
  <c r="BO32" i="17"/>
  <c r="BO34" i="17" s="1"/>
  <c r="BJ32" i="17"/>
  <c r="BJ34" i="17" s="1"/>
  <c r="BE32" i="17"/>
  <c r="BE34" i="17" s="1"/>
  <c r="AZ32" i="17"/>
  <c r="AZ34" i="17" s="1"/>
  <c r="AU32" i="17"/>
  <c r="AP32" i="17"/>
  <c r="AP34" i="17" s="1"/>
  <c r="AK32" i="17"/>
  <c r="AF32" i="17"/>
  <c r="AF34" i="17" s="1"/>
  <c r="AA32" i="17"/>
  <c r="AA34" i="17" s="1"/>
  <c r="V32" i="17"/>
  <c r="V34" i="17" s="1"/>
  <c r="Q32" i="17"/>
  <c r="Q34" i="17" s="1"/>
  <c r="L32" i="17"/>
  <c r="L34" i="17" s="1"/>
  <c r="G32" i="17"/>
  <c r="BM30" i="17"/>
  <c r="BL30" i="17"/>
  <c r="BJ30" i="17"/>
  <c r="BH30" i="17"/>
  <c r="BG30" i="17"/>
  <c r="BC30" i="17"/>
  <c r="BB30" i="17"/>
  <c r="AX30" i="17"/>
  <c r="AW30" i="17"/>
  <c r="AS30" i="17"/>
  <c r="AR30" i="17"/>
  <c r="AN30" i="17"/>
  <c r="AM30" i="17"/>
  <c r="AI30" i="17"/>
  <c r="AH30" i="17"/>
  <c r="AD30" i="17"/>
  <c r="AC30" i="17"/>
  <c r="Y30" i="17"/>
  <c r="X30" i="17"/>
  <c r="V30" i="17"/>
  <c r="T30" i="17"/>
  <c r="S30" i="17"/>
  <c r="O30" i="17"/>
  <c r="N30" i="17"/>
  <c r="J30" i="17"/>
  <c r="I30" i="17"/>
  <c r="F30" i="17"/>
  <c r="E30" i="17"/>
  <c r="D30" i="17"/>
  <c r="BO29" i="17"/>
  <c r="BO30" i="17" s="1"/>
  <c r="BJ29" i="17"/>
  <c r="BE29" i="17"/>
  <c r="AZ29" i="17"/>
  <c r="AU29" i="17"/>
  <c r="AP29" i="17"/>
  <c r="AK29" i="17"/>
  <c r="AF29" i="17"/>
  <c r="AA29" i="17"/>
  <c r="AA30" i="17" s="1"/>
  <c r="V29" i="17"/>
  <c r="Q29" i="17"/>
  <c r="L29" i="17"/>
  <c r="G29" i="17"/>
  <c r="BO28" i="17"/>
  <c r="BJ28" i="17"/>
  <c r="BE28" i="17"/>
  <c r="BE30" i="17" s="1"/>
  <c r="AZ28" i="17"/>
  <c r="AZ30" i="17" s="1"/>
  <c r="AU28" i="17"/>
  <c r="AU30" i="17" s="1"/>
  <c r="AP28" i="17"/>
  <c r="AP30" i="17" s="1"/>
  <c r="AK28" i="17"/>
  <c r="AK30" i="17" s="1"/>
  <c r="AF28" i="17"/>
  <c r="AF30" i="17" s="1"/>
  <c r="AA28" i="17"/>
  <c r="V28" i="17"/>
  <c r="Q28" i="17"/>
  <c r="Q30" i="17" s="1"/>
  <c r="L28" i="17"/>
  <c r="L30" i="17" s="1"/>
  <c r="G28" i="17"/>
  <c r="G30" i="17" s="1"/>
  <c r="AQ23" i="17"/>
  <c r="BA22" i="17"/>
  <c r="BN20" i="17"/>
  <c r="BI20" i="17"/>
  <c r="AX20" i="17"/>
  <c r="AT20" i="17"/>
  <c r="AO20" i="17"/>
  <c r="AJ20" i="17"/>
  <c r="AH20" i="17"/>
  <c r="AE20" i="17"/>
  <c r="AC20" i="17"/>
  <c r="Z20" i="17"/>
  <c r="U20" i="17"/>
  <c r="S20" i="17"/>
  <c r="R20" i="17"/>
  <c r="R24" i="17" s="1"/>
  <c r="P20" i="17"/>
  <c r="K20" i="17"/>
  <c r="J20" i="17"/>
  <c r="F20" i="17"/>
  <c r="BP19" i="17"/>
  <c r="BN19" i="17"/>
  <c r="BM19" i="17"/>
  <c r="BL19" i="17"/>
  <c r="BK19" i="17"/>
  <c r="BJ19" i="17"/>
  <c r="BI19" i="17"/>
  <c r="BH19" i="17"/>
  <c r="BG19" i="17"/>
  <c r="BD19" i="17"/>
  <c r="BC19" i="17"/>
  <c r="BB19" i="17"/>
  <c r="AY19" i="17"/>
  <c r="AX19" i="17"/>
  <c r="AW19" i="17"/>
  <c r="AV19" i="17"/>
  <c r="AS19" i="17"/>
  <c r="AR19" i="17"/>
  <c r="AQ19" i="17"/>
  <c r="AN19" i="17"/>
  <c r="AM19" i="17"/>
  <c r="AL19" i="17"/>
  <c r="AI19" i="17"/>
  <c r="AH19" i="17"/>
  <c r="AG19" i="17"/>
  <c r="AD19" i="17"/>
  <c r="AC19" i="17"/>
  <c r="AB19" i="17"/>
  <c r="Y19" i="17"/>
  <c r="X19" i="17"/>
  <c r="W19" i="17"/>
  <c r="T19" i="17"/>
  <c r="S19" i="17"/>
  <c r="R19" i="17"/>
  <c r="O19" i="17"/>
  <c r="N19" i="17"/>
  <c r="M19" i="17"/>
  <c r="J19" i="17"/>
  <c r="I19" i="17"/>
  <c r="H19" i="17"/>
  <c r="E19" i="17"/>
  <c r="D19" i="17"/>
  <c r="BP18" i="17"/>
  <c r="BN18" i="17"/>
  <c r="BM18" i="17"/>
  <c r="BM20" i="17" s="1"/>
  <c r="BL18" i="17"/>
  <c r="BL20" i="17" s="1"/>
  <c r="BK18" i="17"/>
  <c r="BJ18" i="17"/>
  <c r="BJ20" i="17" s="1"/>
  <c r="BI18" i="17"/>
  <c r="BH18" i="17"/>
  <c r="BH20" i="17" s="1"/>
  <c r="BG18" i="17"/>
  <c r="BG20" i="17" s="1"/>
  <c r="BD18" i="17"/>
  <c r="BD20" i="17" s="1"/>
  <c r="BC18" i="17"/>
  <c r="BC20" i="17" s="1"/>
  <c r="BB18" i="17"/>
  <c r="BB20" i="17" s="1"/>
  <c r="AY18" i="17"/>
  <c r="AY20" i="17" s="1"/>
  <c r="AX18" i="17"/>
  <c r="AW18" i="17"/>
  <c r="AW20" i="17" s="1"/>
  <c r="AV18" i="17"/>
  <c r="AS18" i="17"/>
  <c r="AS20" i="17" s="1"/>
  <c r="AR18" i="17"/>
  <c r="AR20" i="17" s="1"/>
  <c r="AQ18" i="17"/>
  <c r="AN18" i="17"/>
  <c r="AN20" i="17" s="1"/>
  <c r="AM18" i="17"/>
  <c r="AM20" i="17" s="1"/>
  <c r="AL18" i="17"/>
  <c r="AI18" i="17"/>
  <c r="AI20" i="17" s="1"/>
  <c r="AH18" i="17"/>
  <c r="AG18" i="17"/>
  <c r="AF18" i="17"/>
  <c r="AD18" i="17"/>
  <c r="AD20" i="17" s="1"/>
  <c r="AC18" i="17"/>
  <c r="AB18" i="17"/>
  <c r="Y18" i="17"/>
  <c r="Y20" i="17" s="1"/>
  <c r="X18" i="17"/>
  <c r="X20" i="17" s="1"/>
  <c r="W18" i="17"/>
  <c r="T18" i="17"/>
  <c r="T20" i="17" s="1"/>
  <c r="S18" i="17"/>
  <c r="R18" i="17"/>
  <c r="O18" i="17"/>
  <c r="O20" i="17" s="1"/>
  <c r="N18" i="17"/>
  <c r="N20" i="17" s="1"/>
  <c r="M18" i="17"/>
  <c r="J18" i="17"/>
  <c r="I18" i="17"/>
  <c r="I20" i="17" s="1"/>
  <c r="H18" i="17"/>
  <c r="E18" i="17"/>
  <c r="E20" i="17" s="1"/>
  <c r="D18" i="17"/>
  <c r="D20" i="17" s="1"/>
  <c r="BP16" i="17"/>
  <c r="BP20" i="17" s="1"/>
  <c r="BP24" i="17" s="1"/>
  <c r="BN16" i="17"/>
  <c r="BM16" i="17"/>
  <c r="BL16" i="17"/>
  <c r="BK16" i="17"/>
  <c r="BK20" i="17" s="1"/>
  <c r="BK24" i="17" s="1"/>
  <c r="BJ16" i="17"/>
  <c r="BI16" i="17"/>
  <c r="BH16" i="17"/>
  <c r="BG16" i="17"/>
  <c r="BF16" i="17"/>
  <c r="BD16" i="17"/>
  <c r="BC16" i="17"/>
  <c r="BB16" i="17"/>
  <c r="BA16" i="17"/>
  <c r="AY16" i="17"/>
  <c r="AX16" i="17"/>
  <c r="AW16" i="17"/>
  <c r="AV16" i="17"/>
  <c r="AV20" i="17" s="1"/>
  <c r="AV24" i="17" s="1"/>
  <c r="AT16" i="17"/>
  <c r="AS16" i="17"/>
  <c r="AR16" i="17"/>
  <c r="AQ16" i="17"/>
  <c r="AQ20" i="17" s="1"/>
  <c r="AQ24" i="17" s="1"/>
  <c r="AO16" i="17"/>
  <c r="AN16" i="17"/>
  <c r="AM16" i="17"/>
  <c r="AL16" i="17"/>
  <c r="AL20" i="17" s="1"/>
  <c r="AL24" i="17" s="1"/>
  <c r="AJ16" i="17"/>
  <c r="AI16" i="17"/>
  <c r="AH16" i="17"/>
  <c r="AG16" i="17"/>
  <c r="AG20" i="17" s="1"/>
  <c r="AG24" i="17" s="1"/>
  <c r="AE16" i="17"/>
  <c r="AD16" i="17"/>
  <c r="AC16" i="17"/>
  <c r="AB16" i="17"/>
  <c r="AB20" i="17" s="1"/>
  <c r="AB24" i="17" s="1"/>
  <c r="Z16" i="17"/>
  <c r="Y16" i="17"/>
  <c r="X16" i="17"/>
  <c r="W16" i="17"/>
  <c r="W20" i="17" s="1"/>
  <c r="W24" i="17" s="1"/>
  <c r="V16" i="17"/>
  <c r="U16" i="17"/>
  <c r="T16" i="17"/>
  <c r="S16" i="17"/>
  <c r="R16" i="17"/>
  <c r="P16" i="17"/>
  <c r="O16" i="17"/>
  <c r="N16" i="17"/>
  <c r="M16" i="17"/>
  <c r="K16" i="17"/>
  <c r="J16" i="17"/>
  <c r="I16" i="17"/>
  <c r="H16" i="17"/>
  <c r="H20" i="17" s="1"/>
  <c r="H24" i="17" s="1"/>
  <c r="F16" i="17"/>
  <c r="E16" i="17"/>
  <c r="D16" i="17"/>
  <c r="BO15" i="17"/>
  <c r="BO19" i="17" s="1"/>
  <c r="BJ15" i="17"/>
  <c r="BE15" i="17"/>
  <c r="BE19" i="17" s="1"/>
  <c r="AZ15" i="17"/>
  <c r="AU15" i="17"/>
  <c r="AU19" i="17" s="1"/>
  <c r="AP15" i="17"/>
  <c r="AP19" i="17" s="1"/>
  <c r="AK15" i="17"/>
  <c r="AK19" i="17" s="1"/>
  <c r="AF15" i="17"/>
  <c r="AF19" i="17" s="1"/>
  <c r="AA15" i="17"/>
  <c r="AA19" i="17" s="1"/>
  <c r="V15" i="17"/>
  <c r="Q15" i="17"/>
  <c r="Q19" i="17" s="1"/>
  <c r="L15" i="17"/>
  <c r="G15" i="17"/>
  <c r="G19" i="17" s="1"/>
  <c r="BO14" i="17"/>
  <c r="BO18" i="17" s="1"/>
  <c r="BO20" i="17" s="1"/>
  <c r="BJ14" i="17"/>
  <c r="BE14" i="17"/>
  <c r="BE18" i="17" s="1"/>
  <c r="BE20" i="17" s="1"/>
  <c r="AZ14" i="17"/>
  <c r="AZ18" i="17" s="1"/>
  <c r="AU14" i="17"/>
  <c r="AU18" i="17" s="1"/>
  <c r="AP14" i="17"/>
  <c r="AP16" i="17" s="1"/>
  <c r="AK14" i="17"/>
  <c r="AK16" i="17" s="1"/>
  <c r="AF14" i="17"/>
  <c r="AF16" i="17" s="1"/>
  <c r="AA14" i="17"/>
  <c r="AA16" i="17" s="1"/>
  <c r="V14" i="17"/>
  <c r="Q14" i="17"/>
  <c r="Q16" i="17" s="1"/>
  <c r="L14" i="17"/>
  <c r="L16" i="17" s="1"/>
  <c r="G14" i="17"/>
  <c r="G18" i="17" s="1"/>
  <c r="BP12" i="17"/>
  <c r="BN12" i="17"/>
  <c r="BM12" i="17"/>
  <c r="BL12" i="17"/>
  <c r="BK12" i="17"/>
  <c r="BJ12" i="17"/>
  <c r="BI12" i="17"/>
  <c r="BH12" i="17"/>
  <c r="BG12" i="17"/>
  <c r="BD12" i="17"/>
  <c r="BC12" i="17"/>
  <c r="BB12" i="17"/>
  <c r="AY12" i="17"/>
  <c r="AX12" i="17"/>
  <c r="AW12" i="17"/>
  <c r="AV12" i="17"/>
  <c r="AT12" i="17"/>
  <c r="AS12" i="17"/>
  <c r="AR12" i="17"/>
  <c r="AQ12" i="17"/>
  <c r="AO12" i="17"/>
  <c r="AN12" i="17"/>
  <c r="AM12" i="17"/>
  <c r="AL12" i="17"/>
  <c r="AJ12" i="17"/>
  <c r="AI12" i="17"/>
  <c r="AH12" i="17"/>
  <c r="AG12" i="17"/>
  <c r="AE12" i="17"/>
  <c r="AD12" i="17"/>
  <c r="AC12" i="17"/>
  <c r="AB12" i="17"/>
  <c r="Z12" i="17"/>
  <c r="Y12" i="17"/>
  <c r="X12" i="17"/>
  <c r="W12" i="17"/>
  <c r="U12" i="17"/>
  <c r="T12" i="17"/>
  <c r="S12" i="17"/>
  <c r="R12" i="17"/>
  <c r="Q12" i="17"/>
  <c r="P12" i="17"/>
  <c r="O12" i="17"/>
  <c r="N12" i="17"/>
  <c r="M12" i="17"/>
  <c r="K12" i="17"/>
  <c r="J12" i="17"/>
  <c r="I12" i="17"/>
  <c r="H12" i="17"/>
  <c r="F12" i="17"/>
  <c r="E12" i="17"/>
  <c r="D12" i="17"/>
  <c r="BO11" i="17"/>
  <c r="BJ11" i="17"/>
  <c r="BF11" i="17"/>
  <c r="BF19" i="17" s="1"/>
  <c r="BE11" i="17"/>
  <c r="BA11" i="17"/>
  <c r="BA19" i="17" s="1"/>
  <c r="AZ11" i="17"/>
  <c r="AZ19" i="17" s="1"/>
  <c r="AU11" i="17"/>
  <c r="AP11" i="17"/>
  <c r="AK11" i="17"/>
  <c r="AF11" i="17"/>
  <c r="AA11" i="17"/>
  <c r="V11" i="17"/>
  <c r="Q11" i="17"/>
  <c r="L11" i="17"/>
  <c r="L19" i="17" s="1"/>
  <c r="G11" i="17"/>
  <c r="BO10" i="17"/>
  <c r="BO12" i="17" s="1"/>
  <c r="BJ10" i="17"/>
  <c r="BF10" i="17"/>
  <c r="BF18" i="17" s="1"/>
  <c r="BE10" i="17"/>
  <c r="BE12" i="17" s="1"/>
  <c r="BA10" i="17"/>
  <c r="BA18" i="17" s="1"/>
  <c r="AZ10" i="17"/>
  <c r="AZ12" i="17" s="1"/>
  <c r="AU10" i="17"/>
  <c r="AU12" i="17" s="1"/>
  <c r="AP10" i="17"/>
  <c r="AP12" i="17" s="1"/>
  <c r="AK10" i="17"/>
  <c r="AK12" i="17" s="1"/>
  <c r="AF10" i="17"/>
  <c r="AF12" i="17" s="1"/>
  <c r="AA10" i="17"/>
  <c r="AA12" i="17" s="1"/>
  <c r="V10" i="17"/>
  <c r="V18" i="17" s="1"/>
  <c r="Q10" i="17"/>
  <c r="L10" i="17"/>
  <c r="L12" i="17" s="1"/>
  <c r="G10" i="17"/>
  <c r="G12" i="17" s="1"/>
  <c r="BP8" i="17"/>
  <c r="BN8" i="17"/>
  <c r="BM8" i="17"/>
  <c r="BL8" i="17"/>
  <c r="BK8" i="17"/>
  <c r="BJ8" i="17"/>
  <c r="BI8" i="17"/>
  <c r="BH8" i="17"/>
  <c r="BG8" i="17"/>
  <c r="BD8" i="17"/>
  <c r="BC8" i="17"/>
  <c r="BB8" i="17"/>
  <c r="AY8" i="17"/>
  <c r="AX8" i="17"/>
  <c r="AW8" i="17"/>
  <c r="AV8" i="17"/>
  <c r="AT8" i="17"/>
  <c r="AS8" i="17"/>
  <c r="AR8" i="17"/>
  <c r="AQ8" i="17"/>
  <c r="AO8" i="17"/>
  <c r="AN8" i="17"/>
  <c r="AM8" i="17"/>
  <c r="AL8" i="17"/>
  <c r="AK8" i="17"/>
  <c r="AJ8" i="17"/>
  <c r="AI8" i="17"/>
  <c r="AH8" i="17"/>
  <c r="AG8" i="17"/>
  <c r="AF8" i="17"/>
  <c r="AE8" i="17"/>
  <c r="AD8" i="17"/>
  <c r="AC8" i="17"/>
  <c r="AB8" i="17"/>
  <c r="Z8" i="17"/>
  <c r="Y8" i="17"/>
  <c r="X8" i="17"/>
  <c r="W8" i="17"/>
  <c r="U8" i="17"/>
  <c r="T8" i="17"/>
  <c r="S8" i="17"/>
  <c r="R8" i="17"/>
  <c r="P8" i="17"/>
  <c r="O8" i="17"/>
  <c r="N8" i="17"/>
  <c r="M8" i="17"/>
  <c r="M20" i="17" s="1"/>
  <c r="M24" i="17" s="1"/>
  <c r="K8" i="17"/>
  <c r="J8" i="17"/>
  <c r="I8" i="17"/>
  <c r="H8" i="17"/>
  <c r="F8" i="17"/>
  <c r="E8" i="17"/>
  <c r="D8" i="17"/>
  <c r="BO7" i="17"/>
  <c r="BJ7" i="17"/>
  <c r="BF7" i="17"/>
  <c r="BE7" i="17"/>
  <c r="BA7" i="17"/>
  <c r="AZ7" i="17"/>
  <c r="AU7" i="17"/>
  <c r="AP7" i="17"/>
  <c r="AK7" i="17"/>
  <c r="AF7" i="17"/>
  <c r="AA7" i="17"/>
  <c r="V7" i="17"/>
  <c r="V8" i="17" s="1"/>
  <c r="Q7" i="17"/>
  <c r="L7" i="17"/>
  <c r="G7" i="17"/>
  <c r="BO6" i="17"/>
  <c r="BO8" i="17" s="1"/>
  <c r="BJ6" i="17"/>
  <c r="BF6" i="17"/>
  <c r="BF8" i="17" s="1"/>
  <c r="BE6" i="17"/>
  <c r="BE8" i="17" s="1"/>
  <c r="BA6" i="17"/>
  <c r="BA8" i="17" s="1"/>
  <c r="AZ6" i="17"/>
  <c r="AZ8" i="17" s="1"/>
  <c r="AU6" i="17"/>
  <c r="AU8" i="17" s="1"/>
  <c r="AP6" i="17"/>
  <c r="AP18" i="17" s="1"/>
  <c r="AP20" i="17" s="1"/>
  <c r="AK6" i="17"/>
  <c r="AF6" i="17"/>
  <c r="AA6" i="17"/>
  <c r="AA8" i="17" s="1"/>
  <c r="V6" i="17"/>
  <c r="Q6" i="17"/>
  <c r="Q8" i="17" s="1"/>
  <c r="L6" i="17"/>
  <c r="L8" i="17" s="1"/>
  <c r="G6" i="17"/>
  <c r="G8" i="17" s="1"/>
  <c r="G20" i="17" l="1"/>
  <c r="AU20" i="17"/>
  <c r="AZ20" i="17"/>
  <c r="AF20" i="17"/>
  <c r="BF12" i="17"/>
  <c r="BF20" i="17" s="1"/>
  <c r="BF24" i="17" s="1"/>
  <c r="G16" i="17"/>
  <c r="AU16" i="17"/>
  <c r="Q18" i="17"/>
  <c r="Q20" i="17" s="1"/>
  <c r="AA18" i="17"/>
  <c r="AA20" i="17" s="1"/>
  <c r="AK18" i="17"/>
  <c r="AK20" i="17" s="1"/>
  <c r="AP8" i="17"/>
  <c r="BE16" i="17"/>
  <c r="BA12" i="17"/>
  <c r="BA20" i="17" s="1"/>
  <c r="BA24" i="17" s="1"/>
  <c r="V12" i="17"/>
  <c r="BO16" i="17"/>
  <c r="L18" i="17"/>
  <c r="L20" i="17" s="1"/>
  <c r="V19" i="17"/>
  <c r="V20" i="17" s="1"/>
  <c r="AZ16" i="17"/>
  <c r="BT140" i="16" l="1"/>
  <c r="BJ140" i="16"/>
  <c r="AZ140" i="16"/>
  <c r="BT134" i="16"/>
  <c r="BJ134" i="16"/>
  <c r="AZ134" i="16"/>
  <c r="AP134" i="16"/>
  <c r="AF134" i="16"/>
  <c r="V134" i="16"/>
  <c r="L134" i="16"/>
  <c r="B134" i="16"/>
  <c r="BT132" i="16"/>
  <c r="BJ132" i="16"/>
  <c r="AZ132" i="16"/>
  <c r="AP132" i="16"/>
  <c r="AF132" i="16"/>
  <c r="V132" i="16"/>
  <c r="L132" i="16"/>
  <c r="B132" i="16"/>
  <c r="BU128" i="16"/>
  <c r="BT128" i="16"/>
  <c r="BJ128" i="16"/>
  <c r="BK128" i="16" s="1"/>
  <c r="AZ128" i="16"/>
  <c r="BA128" i="16" s="1"/>
  <c r="AP128" i="16"/>
  <c r="AQ128" i="16" s="1"/>
  <c r="AG128" i="16"/>
  <c r="AF128" i="16"/>
  <c r="V128" i="16"/>
  <c r="W128" i="16" s="1"/>
  <c r="L128" i="16"/>
  <c r="M128" i="16" s="1"/>
  <c r="B128" i="16"/>
  <c r="C128" i="16" s="1"/>
  <c r="CB125" i="16"/>
  <c r="CA125" i="16"/>
  <c r="BZ125" i="16"/>
  <c r="BY125" i="16"/>
  <c r="BX125" i="16"/>
  <c r="BW125" i="16"/>
  <c r="BT125" i="16"/>
  <c r="BR125" i="16"/>
  <c r="BQ125" i="16"/>
  <c r="BP125" i="16"/>
  <c r="BP127" i="16" s="1"/>
  <c r="BO125" i="16"/>
  <c r="BO127" i="16" s="1"/>
  <c r="BN125" i="16"/>
  <c r="BM125" i="16"/>
  <c r="BJ125" i="16"/>
  <c r="BH125" i="16"/>
  <c r="BG125" i="16"/>
  <c r="BG127" i="16" s="1"/>
  <c r="BF125" i="16"/>
  <c r="BE125" i="16"/>
  <c r="BD125" i="16"/>
  <c r="BD127" i="16" s="1"/>
  <c r="BC125" i="16"/>
  <c r="AZ125" i="16"/>
  <c r="AX125" i="16"/>
  <c r="AW125" i="16"/>
  <c r="AV125" i="16"/>
  <c r="AU125" i="16"/>
  <c r="AT125" i="16"/>
  <c r="AS125" i="16"/>
  <c r="AP125" i="16"/>
  <c r="AN125" i="16"/>
  <c r="AM125" i="16"/>
  <c r="AL125" i="16"/>
  <c r="AK125" i="16"/>
  <c r="AJ125" i="16"/>
  <c r="AI125" i="16"/>
  <c r="AF125" i="16"/>
  <c r="AD125" i="16"/>
  <c r="AC125" i="16"/>
  <c r="AB125" i="16"/>
  <c r="AA125" i="16"/>
  <c r="Z125" i="16"/>
  <c r="Z127" i="16" s="1"/>
  <c r="Y125" i="16"/>
  <c r="V125" i="16"/>
  <c r="T125" i="16"/>
  <c r="T127" i="16" s="1"/>
  <c r="L136" i="16" s="1"/>
  <c r="S125" i="16"/>
  <c r="R125" i="16"/>
  <c r="Q125" i="16"/>
  <c r="P125" i="16"/>
  <c r="O125" i="16"/>
  <c r="L125" i="16"/>
  <c r="J125" i="16"/>
  <c r="J127" i="16" s="1"/>
  <c r="B136" i="16" s="1"/>
  <c r="I125" i="16"/>
  <c r="H125" i="16"/>
  <c r="G125" i="16"/>
  <c r="F125" i="16"/>
  <c r="E125" i="16"/>
  <c r="B125" i="16"/>
  <c r="CC123" i="16"/>
  <c r="BV123" i="16"/>
  <c r="BU123" i="16"/>
  <c r="BS123" i="16"/>
  <c r="BK123" i="16"/>
  <c r="BL123" i="16" s="1"/>
  <c r="BI123" i="16"/>
  <c r="BA123" i="16"/>
  <c r="BB123" i="16" s="1"/>
  <c r="AY123" i="16"/>
  <c r="AQ123" i="16"/>
  <c r="AR123" i="16" s="1"/>
  <c r="AO123" i="16"/>
  <c r="AH123" i="16"/>
  <c r="AG123" i="16"/>
  <c r="AE123" i="16"/>
  <c r="X123" i="16"/>
  <c r="W123" i="16"/>
  <c r="U123" i="16"/>
  <c r="M123" i="16"/>
  <c r="N123" i="16" s="1"/>
  <c r="K123" i="16"/>
  <c r="D123" i="16"/>
  <c r="C123" i="16"/>
  <c r="CC122" i="16"/>
  <c r="BV122" i="16"/>
  <c r="BU122" i="16"/>
  <c r="BS122" i="16"/>
  <c r="BL122" i="16"/>
  <c r="BK122" i="16"/>
  <c r="BI122" i="16"/>
  <c r="BA122" i="16"/>
  <c r="BB122" i="16" s="1"/>
  <c r="AY122" i="16"/>
  <c r="AQ122" i="16"/>
  <c r="AR122" i="16" s="1"/>
  <c r="AO122" i="16"/>
  <c r="AH122" i="16"/>
  <c r="AG122" i="16"/>
  <c r="AE122" i="16"/>
  <c r="X122" i="16"/>
  <c r="W122" i="16"/>
  <c r="U122" i="16"/>
  <c r="M122" i="16"/>
  <c r="N122" i="16" s="1"/>
  <c r="K122" i="16"/>
  <c r="D122" i="16"/>
  <c r="C122" i="16"/>
  <c r="CC121" i="16"/>
  <c r="BV121" i="16"/>
  <c r="BU121" i="16"/>
  <c r="BS121" i="16"/>
  <c r="BL121" i="16"/>
  <c r="BK121" i="16"/>
  <c r="BI121" i="16"/>
  <c r="BA121" i="16"/>
  <c r="BB121" i="16" s="1"/>
  <c r="AY121" i="16"/>
  <c r="AQ121" i="16"/>
  <c r="AR121" i="16" s="1"/>
  <c r="AO121" i="16"/>
  <c r="AH121" i="16"/>
  <c r="AG121" i="16"/>
  <c r="AE121" i="16"/>
  <c r="X121" i="16"/>
  <c r="W121" i="16"/>
  <c r="U121" i="16"/>
  <c r="M121" i="16"/>
  <c r="N121" i="16" s="1"/>
  <c r="K121" i="16"/>
  <c r="C121" i="16"/>
  <c r="D121" i="16" s="1"/>
  <c r="CC120" i="16"/>
  <c r="BV120" i="16"/>
  <c r="BU120" i="16"/>
  <c r="BS120" i="16"/>
  <c r="BL120" i="16"/>
  <c r="BK120" i="16"/>
  <c r="BI120" i="16"/>
  <c r="BB120" i="16"/>
  <c r="BA120" i="16"/>
  <c r="AY120" i="16"/>
  <c r="AQ120" i="16"/>
  <c r="AR120" i="16" s="1"/>
  <c r="AO120" i="16"/>
  <c r="AH120" i="16"/>
  <c r="AG120" i="16"/>
  <c r="AE120" i="16"/>
  <c r="X120" i="16"/>
  <c r="W120" i="16"/>
  <c r="U120" i="16"/>
  <c r="M120" i="16"/>
  <c r="N120" i="16" s="1"/>
  <c r="K120" i="16"/>
  <c r="C120" i="16"/>
  <c r="D120" i="16" s="1"/>
  <c r="CC119" i="16"/>
  <c r="BV119" i="16"/>
  <c r="BU119" i="16"/>
  <c r="BS119" i="16"/>
  <c r="BL119" i="16"/>
  <c r="BK119" i="16"/>
  <c r="BI119" i="16"/>
  <c r="BB119" i="16"/>
  <c r="BA119" i="16"/>
  <c r="AY119" i="16"/>
  <c r="AQ119" i="16"/>
  <c r="AR119" i="16" s="1"/>
  <c r="AO119" i="16"/>
  <c r="AH119" i="16"/>
  <c r="AG119" i="16"/>
  <c r="AE119" i="16"/>
  <c r="X119" i="16"/>
  <c r="W119" i="16"/>
  <c r="U119" i="16"/>
  <c r="M119" i="16"/>
  <c r="N119" i="16" s="1"/>
  <c r="K119" i="16"/>
  <c r="C119" i="16"/>
  <c r="D119" i="16" s="1"/>
  <c r="CC118" i="16"/>
  <c r="BV118" i="16"/>
  <c r="BU118" i="16"/>
  <c r="BS118" i="16"/>
  <c r="BL118" i="16"/>
  <c r="BK118" i="16"/>
  <c r="BI118" i="16"/>
  <c r="BB118" i="16"/>
  <c r="BA118" i="16"/>
  <c r="AY118" i="16"/>
  <c r="AQ118" i="16"/>
  <c r="AR118" i="16" s="1"/>
  <c r="AO118" i="16"/>
  <c r="AH118" i="16"/>
  <c r="AG118" i="16"/>
  <c r="AE118" i="16"/>
  <c r="X118" i="16"/>
  <c r="W118" i="16"/>
  <c r="U118" i="16"/>
  <c r="M118" i="16"/>
  <c r="N118" i="16" s="1"/>
  <c r="K118" i="16"/>
  <c r="C118" i="16"/>
  <c r="D118" i="16" s="1"/>
  <c r="CC117" i="16"/>
  <c r="BU117" i="16"/>
  <c r="BV117" i="16" s="1"/>
  <c r="BS117" i="16"/>
  <c r="BL117" i="16"/>
  <c r="BK117" i="16"/>
  <c r="BI117" i="16"/>
  <c r="BB117" i="16"/>
  <c r="BA117" i="16"/>
  <c r="AY117" i="16"/>
  <c r="AQ117" i="16"/>
  <c r="AR117" i="16" s="1"/>
  <c r="AO117" i="16"/>
  <c r="AH117" i="16"/>
  <c r="AG117" i="16"/>
  <c r="AE117" i="16"/>
  <c r="W117" i="16"/>
  <c r="X117" i="16" s="1"/>
  <c r="U117" i="16"/>
  <c r="M117" i="16"/>
  <c r="N117" i="16" s="1"/>
  <c r="K117" i="16"/>
  <c r="C117" i="16"/>
  <c r="D117" i="16" s="1"/>
  <c r="CC116" i="16"/>
  <c r="BV116" i="16"/>
  <c r="BU116" i="16"/>
  <c r="BS116" i="16"/>
  <c r="BL116" i="16"/>
  <c r="BK116" i="16"/>
  <c r="BI116" i="16"/>
  <c r="BB116" i="16"/>
  <c r="BA116" i="16"/>
  <c r="AY116" i="16"/>
  <c r="AQ116" i="16"/>
  <c r="AR116" i="16" s="1"/>
  <c r="AO116" i="16"/>
  <c r="AH116" i="16"/>
  <c r="AG116" i="16"/>
  <c r="AE116" i="16"/>
  <c r="W116" i="16"/>
  <c r="X116" i="16" s="1"/>
  <c r="U116" i="16"/>
  <c r="M116" i="16"/>
  <c r="N116" i="16" s="1"/>
  <c r="K116" i="16"/>
  <c r="C116" i="16"/>
  <c r="D116" i="16" s="1"/>
  <c r="CC115" i="16"/>
  <c r="BV115" i="16"/>
  <c r="BU115" i="16"/>
  <c r="BS115" i="16"/>
  <c r="BL115" i="16"/>
  <c r="BK115" i="16"/>
  <c r="BI115" i="16"/>
  <c r="BB115" i="16"/>
  <c r="BA115" i="16"/>
  <c r="AY115" i="16"/>
  <c r="AQ115" i="16"/>
  <c r="AR115" i="16" s="1"/>
  <c r="AO115" i="16"/>
  <c r="AH115" i="16"/>
  <c r="AG115" i="16"/>
  <c r="AE115" i="16"/>
  <c r="W115" i="16"/>
  <c r="X115" i="16" s="1"/>
  <c r="U115" i="16"/>
  <c r="M115" i="16"/>
  <c r="N115" i="16" s="1"/>
  <c r="K115" i="16"/>
  <c r="C115" i="16"/>
  <c r="D115" i="16" s="1"/>
  <c r="CC114" i="16"/>
  <c r="BV114" i="16"/>
  <c r="BU114" i="16"/>
  <c r="BS114" i="16"/>
  <c r="BL114" i="16"/>
  <c r="BK114" i="16"/>
  <c r="BI114" i="16"/>
  <c r="BB114" i="16"/>
  <c r="BA114" i="16"/>
  <c r="AY114" i="16"/>
  <c r="AQ114" i="16"/>
  <c r="AR114" i="16" s="1"/>
  <c r="AO114" i="16"/>
  <c r="AH114" i="16"/>
  <c r="AG114" i="16"/>
  <c r="AE114" i="16"/>
  <c r="W114" i="16"/>
  <c r="X114" i="16" s="1"/>
  <c r="U114" i="16"/>
  <c r="M114" i="16"/>
  <c r="N114" i="16" s="1"/>
  <c r="K114" i="16"/>
  <c r="C114" i="16"/>
  <c r="D114" i="16" s="1"/>
  <c r="CC113" i="16"/>
  <c r="BV113" i="16"/>
  <c r="BU113" i="16"/>
  <c r="BS113" i="16"/>
  <c r="BL113" i="16"/>
  <c r="BK113" i="16"/>
  <c r="BI113" i="16"/>
  <c r="BB113" i="16"/>
  <c r="BA113" i="16"/>
  <c r="AY113" i="16"/>
  <c r="AQ113" i="16"/>
  <c r="AR113" i="16" s="1"/>
  <c r="AO113" i="16"/>
  <c r="AH113" i="16"/>
  <c r="AG113" i="16"/>
  <c r="AE113" i="16"/>
  <c r="W113" i="16"/>
  <c r="X113" i="16" s="1"/>
  <c r="U113" i="16"/>
  <c r="M113" i="16"/>
  <c r="N113" i="16" s="1"/>
  <c r="K113" i="16"/>
  <c r="C113" i="16"/>
  <c r="D113" i="16" s="1"/>
  <c r="CC112" i="16"/>
  <c r="CC125" i="16" s="1"/>
  <c r="BV112" i="16"/>
  <c r="BU112" i="16"/>
  <c r="BU125" i="16" s="1"/>
  <c r="BS112" i="16"/>
  <c r="BS125" i="16" s="1"/>
  <c r="BL112" i="16"/>
  <c r="BK112" i="16"/>
  <c r="BK125" i="16" s="1"/>
  <c r="BI112" i="16"/>
  <c r="BI125" i="16" s="1"/>
  <c r="BB112" i="16"/>
  <c r="BA112" i="16"/>
  <c r="BA125" i="16" s="1"/>
  <c r="AY112" i="16"/>
  <c r="AY125" i="16" s="1"/>
  <c r="AQ112" i="16"/>
  <c r="AQ125" i="16" s="1"/>
  <c r="AO112" i="16"/>
  <c r="AO125" i="16" s="1"/>
  <c r="AH112" i="16"/>
  <c r="AG112" i="16"/>
  <c r="AG125" i="16" s="1"/>
  <c r="AE112" i="16"/>
  <c r="AE125" i="16" s="1"/>
  <c r="W112" i="16"/>
  <c r="U112" i="16"/>
  <c r="U125" i="16" s="1"/>
  <c r="M112" i="16"/>
  <c r="N112" i="16" s="1"/>
  <c r="K112" i="16"/>
  <c r="K125" i="16" s="1"/>
  <c r="C112" i="16"/>
  <c r="C125" i="16" s="1"/>
  <c r="CB107" i="16"/>
  <c r="CA107" i="16"/>
  <c r="BZ107" i="16"/>
  <c r="BZ109" i="16" s="1"/>
  <c r="BY107" i="16"/>
  <c r="BY109" i="16" s="1"/>
  <c r="BX107" i="16"/>
  <c r="BX109" i="16" s="1"/>
  <c r="BW107" i="16"/>
  <c r="BW109" i="16" s="1"/>
  <c r="BT107" i="16"/>
  <c r="BR107" i="16"/>
  <c r="BR109" i="16" s="1"/>
  <c r="BQ107" i="16"/>
  <c r="BQ109" i="16" s="1"/>
  <c r="BP107" i="16"/>
  <c r="BP109" i="16" s="1"/>
  <c r="BO107" i="16"/>
  <c r="BO109" i="16" s="1"/>
  <c r="BN107" i="16"/>
  <c r="BN109" i="16" s="1"/>
  <c r="BM107" i="16"/>
  <c r="BM109" i="16" s="1"/>
  <c r="BL107" i="16"/>
  <c r="BJ107" i="16"/>
  <c r="BJ109" i="16" s="1"/>
  <c r="BI107" i="16"/>
  <c r="BH107" i="16"/>
  <c r="BH109" i="16" s="1"/>
  <c r="BG107" i="16"/>
  <c r="BG109" i="16" s="1"/>
  <c r="BF107" i="16"/>
  <c r="BF109" i="16" s="1"/>
  <c r="BE107" i="16"/>
  <c r="BE109" i="16" s="1"/>
  <c r="BD107" i="16"/>
  <c r="BD109" i="16" s="1"/>
  <c r="BC107" i="16"/>
  <c r="BC109" i="16" s="1"/>
  <c r="AZ107" i="16"/>
  <c r="AZ109" i="16" s="1"/>
  <c r="AX107" i="16"/>
  <c r="AX109" i="16" s="1"/>
  <c r="AW107" i="16"/>
  <c r="AV107" i="16"/>
  <c r="AU107" i="16"/>
  <c r="AU109" i="16" s="1"/>
  <c r="AT107" i="16"/>
  <c r="AT109" i="16" s="1"/>
  <c r="AS107" i="16"/>
  <c r="AS109" i="16" s="1"/>
  <c r="AP107" i="16"/>
  <c r="AP109" i="16" s="1"/>
  <c r="AN107" i="16"/>
  <c r="AM107" i="16"/>
  <c r="AL107" i="16"/>
  <c r="AL109" i="16" s="1"/>
  <c r="AK107" i="16"/>
  <c r="AK109" i="16" s="1"/>
  <c r="AJ107" i="16"/>
  <c r="AJ109" i="16" s="1"/>
  <c r="AI107" i="16"/>
  <c r="AI109" i="16" s="1"/>
  <c r="AF107" i="16"/>
  <c r="AF109" i="16" s="1"/>
  <c r="AD107" i="16"/>
  <c r="AD109" i="16" s="1"/>
  <c r="AC107" i="16"/>
  <c r="AC109" i="16" s="1"/>
  <c r="AB107" i="16"/>
  <c r="AB109" i="16" s="1"/>
  <c r="AA107" i="16"/>
  <c r="AA109" i="16" s="1"/>
  <c r="Z107" i="16"/>
  <c r="Z109" i="16" s="1"/>
  <c r="Y107" i="16"/>
  <c r="Y109" i="16" s="1"/>
  <c r="V107" i="16"/>
  <c r="V109" i="16" s="1"/>
  <c r="T107" i="16"/>
  <c r="T109" i="16" s="1"/>
  <c r="S107" i="16"/>
  <c r="S109" i="16" s="1"/>
  <c r="R107" i="16"/>
  <c r="R109" i="16" s="1"/>
  <c r="Q107" i="16"/>
  <c r="P107" i="16"/>
  <c r="P109" i="16" s="1"/>
  <c r="O107" i="16"/>
  <c r="O109" i="16" s="1"/>
  <c r="L107" i="16"/>
  <c r="L109" i="16" s="1"/>
  <c r="J107" i="16"/>
  <c r="J109" i="16" s="1"/>
  <c r="I107" i="16"/>
  <c r="H107" i="16"/>
  <c r="H109" i="16" s="1"/>
  <c r="G107" i="16"/>
  <c r="F107" i="16"/>
  <c r="F109" i="16" s="1"/>
  <c r="E107" i="16"/>
  <c r="E109" i="16" s="1"/>
  <c r="B107" i="16"/>
  <c r="B109" i="16" s="1"/>
  <c r="CC105" i="16"/>
  <c r="BV105" i="16"/>
  <c r="BU105" i="16"/>
  <c r="BS105" i="16"/>
  <c r="BL105" i="16"/>
  <c r="BK105" i="16"/>
  <c r="BI105" i="16"/>
  <c r="BB105" i="16"/>
  <c r="BA105" i="16"/>
  <c r="AY105" i="16"/>
  <c r="AR105" i="16"/>
  <c r="AQ105" i="16"/>
  <c r="AO105" i="16"/>
  <c r="AH105" i="16"/>
  <c r="AG105" i="16"/>
  <c r="AE105" i="16"/>
  <c r="W105" i="16"/>
  <c r="X105" i="16" s="1"/>
  <c r="U105" i="16"/>
  <c r="M105" i="16"/>
  <c r="N105" i="16" s="1"/>
  <c r="K105" i="16"/>
  <c r="C105" i="16"/>
  <c r="D105" i="16" s="1"/>
  <c r="CC104" i="16"/>
  <c r="BV104" i="16"/>
  <c r="BU104" i="16"/>
  <c r="BS104" i="16"/>
  <c r="BL104" i="16"/>
  <c r="BK104" i="16"/>
  <c r="BI104" i="16"/>
  <c r="BB104" i="16"/>
  <c r="BA104" i="16"/>
  <c r="AY104" i="16"/>
  <c r="AR104" i="16"/>
  <c r="AQ104" i="16"/>
  <c r="AO104" i="16"/>
  <c r="AH104" i="16"/>
  <c r="AG104" i="16"/>
  <c r="AE104" i="16"/>
  <c r="W104" i="16"/>
  <c r="X104" i="16" s="1"/>
  <c r="U104" i="16"/>
  <c r="M104" i="16"/>
  <c r="N104" i="16" s="1"/>
  <c r="K104" i="16"/>
  <c r="C104" i="16"/>
  <c r="D104" i="16" s="1"/>
  <c r="CC103" i="16"/>
  <c r="BV103" i="16"/>
  <c r="BU103" i="16"/>
  <c r="BS103" i="16"/>
  <c r="BL103" i="16"/>
  <c r="BK103" i="16"/>
  <c r="BI103" i="16"/>
  <c r="BB103" i="16"/>
  <c r="BA103" i="16"/>
  <c r="AY103" i="16"/>
  <c r="AR103" i="16"/>
  <c r="AQ103" i="16"/>
  <c r="AO103" i="16"/>
  <c r="AH103" i="16"/>
  <c r="AG103" i="16"/>
  <c r="AE103" i="16"/>
  <c r="W103" i="16"/>
  <c r="X103" i="16" s="1"/>
  <c r="U103" i="16"/>
  <c r="M103" i="16"/>
  <c r="N103" i="16" s="1"/>
  <c r="K103" i="16"/>
  <c r="C103" i="16"/>
  <c r="D103" i="16" s="1"/>
  <c r="CC102" i="16"/>
  <c r="BV102" i="16"/>
  <c r="BU102" i="16"/>
  <c r="BS102" i="16"/>
  <c r="BL102" i="16"/>
  <c r="BK102" i="16"/>
  <c r="BI102" i="16"/>
  <c r="BB102" i="16"/>
  <c r="BA102" i="16"/>
  <c r="AY102" i="16"/>
  <c r="AR102" i="16"/>
  <c r="AQ102" i="16"/>
  <c r="AO102" i="16"/>
  <c r="AH102" i="16"/>
  <c r="AG102" i="16"/>
  <c r="AE102" i="16"/>
  <c r="W102" i="16"/>
  <c r="X102" i="16" s="1"/>
  <c r="U102" i="16"/>
  <c r="M102" i="16"/>
  <c r="N102" i="16" s="1"/>
  <c r="K102" i="16"/>
  <c r="C102" i="16"/>
  <c r="D102" i="16" s="1"/>
  <c r="CC101" i="16"/>
  <c r="BV101" i="16"/>
  <c r="BU101" i="16"/>
  <c r="BS101" i="16"/>
  <c r="BL101" i="16"/>
  <c r="BK101" i="16"/>
  <c r="BI101" i="16"/>
  <c r="BB101" i="16"/>
  <c r="BA101" i="16"/>
  <c r="AY101" i="16"/>
  <c r="AR101" i="16"/>
  <c r="AQ101" i="16"/>
  <c r="AO101" i="16"/>
  <c r="AH101" i="16"/>
  <c r="AG101" i="16"/>
  <c r="AE101" i="16"/>
  <c r="W101" i="16"/>
  <c r="X101" i="16" s="1"/>
  <c r="U101" i="16"/>
  <c r="M101" i="16"/>
  <c r="N101" i="16" s="1"/>
  <c r="K101" i="16"/>
  <c r="C101" i="16"/>
  <c r="D101" i="16" s="1"/>
  <c r="CC100" i="16"/>
  <c r="BV100" i="16"/>
  <c r="BU100" i="16"/>
  <c r="BS100" i="16"/>
  <c r="BL100" i="16"/>
  <c r="BK100" i="16"/>
  <c r="BI100" i="16"/>
  <c r="BB100" i="16"/>
  <c r="BA100" i="16"/>
  <c r="AY100" i="16"/>
  <c r="AR100" i="16"/>
  <c r="AQ100" i="16"/>
  <c r="AO100" i="16"/>
  <c r="AH100" i="16"/>
  <c r="AG100" i="16"/>
  <c r="AE100" i="16"/>
  <c r="W100" i="16"/>
  <c r="X100" i="16" s="1"/>
  <c r="U100" i="16"/>
  <c r="M100" i="16"/>
  <c r="N100" i="16" s="1"/>
  <c r="K100" i="16"/>
  <c r="C100" i="16"/>
  <c r="D100" i="16" s="1"/>
  <c r="CC99" i="16"/>
  <c r="BV99" i="16"/>
  <c r="BU99" i="16"/>
  <c r="BS99" i="16"/>
  <c r="BL99" i="16"/>
  <c r="BK99" i="16"/>
  <c r="BI99" i="16"/>
  <c r="BA99" i="16"/>
  <c r="BB99" i="16" s="1"/>
  <c r="AY99" i="16"/>
  <c r="AQ99" i="16"/>
  <c r="AR99" i="16" s="1"/>
  <c r="AO99" i="16"/>
  <c r="AH99" i="16"/>
  <c r="AG99" i="16"/>
  <c r="AE99" i="16"/>
  <c r="W99" i="16"/>
  <c r="X99" i="16" s="1"/>
  <c r="U99" i="16"/>
  <c r="M99" i="16"/>
  <c r="N99" i="16" s="1"/>
  <c r="K99" i="16"/>
  <c r="D99" i="16"/>
  <c r="C99" i="16"/>
  <c r="CC98" i="16"/>
  <c r="BU98" i="16"/>
  <c r="BV98" i="16" s="1"/>
  <c r="BS98" i="16"/>
  <c r="BL98" i="16"/>
  <c r="BK98" i="16"/>
  <c r="BI98" i="16"/>
  <c r="BA98" i="16"/>
  <c r="BB98" i="16" s="1"/>
  <c r="AY98" i="16"/>
  <c r="AR98" i="16"/>
  <c r="AQ98" i="16"/>
  <c r="AO98" i="16"/>
  <c r="AH98" i="16"/>
  <c r="AG98" i="16"/>
  <c r="AE98" i="16"/>
  <c r="X98" i="16"/>
  <c r="W98" i="16"/>
  <c r="U98" i="16"/>
  <c r="M98" i="16"/>
  <c r="N98" i="16" s="1"/>
  <c r="K98" i="16"/>
  <c r="C98" i="16"/>
  <c r="D98" i="16" s="1"/>
  <c r="CC97" i="16"/>
  <c r="BU97" i="16"/>
  <c r="BV97" i="16" s="1"/>
  <c r="BS97" i="16"/>
  <c r="BL97" i="16"/>
  <c r="BK97" i="16"/>
  <c r="BI97" i="16"/>
  <c r="BA97" i="16"/>
  <c r="BB97" i="16" s="1"/>
  <c r="AY97" i="16"/>
  <c r="AR97" i="16"/>
  <c r="AQ97" i="16"/>
  <c r="AO97" i="16"/>
  <c r="AH97" i="16"/>
  <c r="AG97" i="16"/>
  <c r="AE97" i="16"/>
  <c r="W97" i="16"/>
  <c r="X97" i="16" s="1"/>
  <c r="U97" i="16"/>
  <c r="M97" i="16"/>
  <c r="N97" i="16" s="1"/>
  <c r="K97" i="16"/>
  <c r="C97" i="16"/>
  <c r="D97" i="16" s="1"/>
  <c r="CC96" i="16"/>
  <c r="BU96" i="16"/>
  <c r="BV96" i="16" s="1"/>
  <c r="BS96" i="16"/>
  <c r="BL96" i="16"/>
  <c r="BK96" i="16"/>
  <c r="BI96" i="16"/>
  <c r="BA96" i="16"/>
  <c r="BB96" i="16" s="1"/>
  <c r="AY96" i="16"/>
  <c r="AR96" i="16"/>
  <c r="AQ96" i="16"/>
  <c r="AO96" i="16"/>
  <c r="AH96" i="16"/>
  <c r="AG96" i="16"/>
  <c r="AE96" i="16"/>
  <c r="X96" i="16"/>
  <c r="W96" i="16"/>
  <c r="U96" i="16"/>
  <c r="M96" i="16"/>
  <c r="N96" i="16" s="1"/>
  <c r="K96" i="16"/>
  <c r="C96" i="16"/>
  <c r="D96" i="16" s="1"/>
  <c r="CC95" i="16"/>
  <c r="BU95" i="16"/>
  <c r="BV95" i="16" s="1"/>
  <c r="BS95" i="16"/>
  <c r="BL95" i="16"/>
  <c r="BK95" i="16"/>
  <c r="BI95" i="16"/>
  <c r="BA95" i="16"/>
  <c r="BB95" i="16" s="1"/>
  <c r="AY95" i="16"/>
  <c r="AR95" i="16"/>
  <c r="AQ95" i="16"/>
  <c r="AO95" i="16"/>
  <c r="AH95" i="16"/>
  <c r="AG95" i="16"/>
  <c r="AE95" i="16"/>
  <c r="W95" i="16"/>
  <c r="X95" i="16" s="1"/>
  <c r="U95" i="16"/>
  <c r="M95" i="16"/>
  <c r="N95" i="16" s="1"/>
  <c r="K95" i="16"/>
  <c r="C95" i="16"/>
  <c r="D95" i="16" s="1"/>
  <c r="CC94" i="16"/>
  <c r="BV94" i="16"/>
  <c r="BU94" i="16"/>
  <c r="BS94" i="16"/>
  <c r="BL94" i="16"/>
  <c r="BK94" i="16"/>
  <c r="BI94" i="16"/>
  <c r="BA94" i="16"/>
  <c r="BB94" i="16" s="1"/>
  <c r="AY94" i="16"/>
  <c r="AR94" i="16"/>
  <c r="AQ94" i="16"/>
  <c r="AO94" i="16"/>
  <c r="AH94" i="16"/>
  <c r="AG94" i="16"/>
  <c r="AE94" i="16"/>
  <c r="W94" i="16"/>
  <c r="X94" i="16" s="1"/>
  <c r="U94" i="16"/>
  <c r="M94" i="16"/>
  <c r="N94" i="16" s="1"/>
  <c r="K94" i="16"/>
  <c r="C94" i="16"/>
  <c r="D94" i="16" s="1"/>
  <c r="CC93" i="16"/>
  <c r="BU93" i="16"/>
  <c r="BV93" i="16" s="1"/>
  <c r="BS93" i="16"/>
  <c r="BL93" i="16"/>
  <c r="BK93" i="16"/>
  <c r="BI93" i="16"/>
  <c r="BA93" i="16"/>
  <c r="BB93" i="16" s="1"/>
  <c r="AY93" i="16"/>
  <c r="AR93" i="16"/>
  <c r="AQ93" i="16"/>
  <c r="AO93" i="16"/>
  <c r="AH93" i="16"/>
  <c r="AG93" i="16"/>
  <c r="AE93" i="16"/>
  <c r="W93" i="16"/>
  <c r="X93" i="16" s="1"/>
  <c r="U93" i="16"/>
  <c r="M93" i="16"/>
  <c r="N93" i="16" s="1"/>
  <c r="K93" i="16"/>
  <c r="C93" i="16"/>
  <c r="D93" i="16" s="1"/>
  <c r="CC92" i="16"/>
  <c r="BV92" i="16"/>
  <c r="BU92" i="16"/>
  <c r="BS92" i="16"/>
  <c r="BS107" i="16" s="1"/>
  <c r="BL92" i="16"/>
  <c r="BK92" i="16"/>
  <c r="BK107" i="16" s="1"/>
  <c r="BI92" i="16"/>
  <c r="BA92" i="16"/>
  <c r="AY92" i="16"/>
  <c r="AR92" i="16"/>
  <c r="AQ92" i="16"/>
  <c r="AQ107" i="16" s="1"/>
  <c r="AO92" i="16"/>
  <c r="AO107" i="16" s="1"/>
  <c r="AH92" i="16"/>
  <c r="AG92" i="16"/>
  <c r="AG107" i="16" s="1"/>
  <c r="AE92" i="16"/>
  <c r="AE107" i="16" s="1"/>
  <c r="AE109" i="16" s="1"/>
  <c r="W92" i="16"/>
  <c r="U92" i="16"/>
  <c r="M92" i="16"/>
  <c r="N92" i="16" s="1"/>
  <c r="K92" i="16"/>
  <c r="K107" i="16" s="1"/>
  <c r="C92" i="16"/>
  <c r="C107" i="16" s="1"/>
  <c r="CB89" i="16"/>
  <c r="CA89" i="16"/>
  <c r="BZ89" i="16"/>
  <c r="BY89" i="16"/>
  <c r="BX89" i="16"/>
  <c r="BW89" i="16"/>
  <c r="BT89" i="16"/>
  <c r="BT109" i="16" s="1"/>
  <c r="BS89" i="16"/>
  <c r="BR89" i="16"/>
  <c r="BQ89" i="16"/>
  <c r="BP89" i="16"/>
  <c r="BO89" i="16"/>
  <c r="BN89" i="16"/>
  <c r="BM89" i="16"/>
  <c r="BK89" i="16"/>
  <c r="BL89" i="16" s="1"/>
  <c r="BJ89" i="16"/>
  <c r="BH89" i="16"/>
  <c r="BG89" i="16"/>
  <c r="BF89" i="16"/>
  <c r="BE89" i="16"/>
  <c r="BD89" i="16"/>
  <c r="BC89" i="16"/>
  <c r="AZ89" i="16"/>
  <c r="AX89" i="16"/>
  <c r="AW89" i="16"/>
  <c r="AV89" i="16"/>
  <c r="AV109" i="16" s="1"/>
  <c r="AU89" i="16"/>
  <c r="AT89" i="16"/>
  <c r="AS89" i="16"/>
  <c r="AP89" i="16"/>
  <c r="AO89" i="16"/>
  <c r="AN89" i="16"/>
  <c r="AN109" i="16" s="1"/>
  <c r="AM89" i="16"/>
  <c r="AL89" i="16"/>
  <c r="AK89" i="16"/>
  <c r="AJ89" i="16"/>
  <c r="AI89" i="16"/>
  <c r="AG89" i="16"/>
  <c r="AF89" i="16"/>
  <c r="AE89" i="16"/>
  <c r="AD89" i="16"/>
  <c r="AC89" i="16"/>
  <c r="AB89" i="16"/>
  <c r="AA89" i="16"/>
  <c r="Z89" i="16"/>
  <c r="Y89" i="16"/>
  <c r="W89" i="16"/>
  <c r="X89" i="16" s="1"/>
  <c r="V89" i="16"/>
  <c r="T89" i="16"/>
  <c r="S89" i="16"/>
  <c r="R89" i="16"/>
  <c r="Q89" i="16"/>
  <c r="P89" i="16"/>
  <c r="O89" i="16"/>
  <c r="L89" i="16"/>
  <c r="J89" i="16"/>
  <c r="I89" i="16"/>
  <c r="H89" i="16"/>
  <c r="G89" i="16"/>
  <c r="F89" i="16"/>
  <c r="E89" i="16"/>
  <c r="B89" i="16"/>
  <c r="CC87" i="16"/>
  <c r="BU87" i="16"/>
  <c r="BV87" i="16" s="1"/>
  <c r="BS87" i="16"/>
  <c r="BL87" i="16"/>
  <c r="BK87" i="16"/>
  <c r="BI87" i="16"/>
  <c r="BA87" i="16"/>
  <c r="BB87" i="16" s="1"/>
  <c r="AY87" i="16"/>
  <c r="AR87" i="16"/>
  <c r="AQ87" i="16"/>
  <c r="AO87" i="16"/>
  <c r="AG87" i="16"/>
  <c r="AH87" i="16" s="1"/>
  <c r="AE87" i="16"/>
  <c r="W87" i="16"/>
  <c r="X87" i="16" s="1"/>
  <c r="U87" i="16"/>
  <c r="M87" i="16"/>
  <c r="N87" i="16" s="1"/>
  <c r="K87" i="16"/>
  <c r="C87" i="16"/>
  <c r="D87" i="16" s="1"/>
  <c r="CC86" i="16"/>
  <c r="BU86" i="16"/>
  <c r="BV86" i="16" s="1"/>
  <c r="BS86" i="16"/>
  <c r="BL86" i="16"/>
  <c r="BK86" i="16"/>
  <c r="BI86" i="16"/>
  <c r="BA86" i="16"/>
  <c r="BB86" i="16" s="1"/>
  <c r="AY86" i="16"/>
  <c r="AR86" i="16"/>
  <c r="AQ86" i="16"/>
  <c r="AO86" i="16"/>
  <c r="AG86" i="16"/>
  <c r="AH86" i="16" s="1"/>
  <c r="AE86" i="16"/>
  <c r="X86" i="16"/>
  <c r="W86" i="16"/>
  <c r="U86" i="16"/>
  <c r="M86" i="16"/>
  <c r="N86" i="16" s="1"/>
  <c r="K86" i="16"/>
  <c r="D86" i="16"/>
  <c r="C86" i="16"/>
  <c r="CC85" i="16"/>
  <c r="BV85" i="16"/>
  <c r="BU85" i="16"/>
  <c r="BS85" i="16"/>
  <c r="BL85" i="16"/>
  <c r="BK85" i="16"/>
  <c r="BI85" i="16"/>
  <c r="BA85" i="16"/>
  <c r="BB85" i="16" s="1"/>
  <c r="AY85" i="16"/>
  <c r="AR85" i="16"/>
  <c r="AQ85" i="16"/>
  <c r="AO85" i="16"/>
  <c r="AG85" i="16"/>
  <c r="AH85" i="16" s="1"/>
  <c r="AE85" i="16"/>
  <c r="W85" i="16"/>
  <c r="X85" i="16" s="1"/>
  <c r="U85" i="16"/>
  <c r="M85" i="16"/>
  <c r="N85" i="16" s="1"/>
  <c r="K85" i="16"/>
  <c r="C85" i="16"/>
  <c r="D85" i="16" s="1"/>
  <c r="CC84" i="16"/>
  <c r="BU84" i="16"/>
  <c r="BV84" i="16" s="1"/>
  <c r="BS84" i="16"/>
  <c r="BL84" i="16"/>
  <c r="BK84" i="16"/>
  <c r="BI84" i="16"/>
  <c r="BA84" i="16"/>
  <c r="BB84" i="16" s="1"/>
  <c r="AY84" i="16"/>
  <c r="AR84" i="16"/>
  <c r="AQ84" i="16"/>
  <c r="AO84" i="16"/>
  <c r="AG84" i="16"/>
  <c r="AH84" i="16" s="1"/>
  <c r="AE84" i="16"/>
  <c r="W84" i="16"/>
  <c r="X84" i="16" s="1"/>
  <c r="U84" i="16"/>
  <c r="M84" i="16"/>
  <c r="N84" i="16" s="1"/>
  <c r="K84" i="16"/>
  <c r="C84" i="16"/>
  <c r="D84" i="16" s="1"/>
  <c r="CC83" i="16"/>
  <c r="BV83" i="16"/>
  <c r="BU83" i="16"/>
  <c r="BS83" i="16"/>
  <c r="BL83" i="16"/>
  <c r="BK83" i="16"/>
  <c r="BI83" i="16"/>
  <c r="BA83" i="16"/>
  <c r="BB83" i="16" s="1"/>
  <c r="AY83" i="16"/>
  <c r="AR83" i="16"/>
  <c r="AQ83" i="16"/>
  <c r="AO83" i="16"/>
  <c r="AG83" i="16"/>
  <c r="AH83" i="16" s="1"/>
  <c r="AE83" i="16"/>
  <c r="W83" i="16"/>
  <c r="X83" i="16" s="1"/>
  <c r="U83" i="16"/>
  <c r="M83" i="16"/>
  <c r="N83" i="16" s="1"/>
  <c r="K83" i="16"/>
  <c r="C83" i="16"/>
  <c r="D83" i="16" s="1"/>
  <c r="CC82" i="16"/>
  <c r="BU82" i="16"/>
  <c r="BV82" i="16" s="1"/>
  <c r="BS82" i="16"/>
  <c r="BL82" i="16"/>
  <c r="BK82" i="16"/>
  <c r="BI82" i="16"/>
  <c r="BA82" i="16"/>
  <c r="BB82" i="16" s="1"/>
  <c r="AY82" i="16"/>
  <c r="AR82" i="16"/>
  <c r="AQ82" i="16"/>
  <c r="AO82" i="16"/>
  <c r="AH82" i="16"/>
  <c r="AG82" i="16"/>
  <c r="AE82" i="16"/>
  <c r="X82" i="16"/>
  <c r="W82" i="16"/>
  <c r="U82" i="16"/>
  <c r="M82" i="16"/>
  <c r="N82" i="16" s="1"/>
  <c r="K82" i="16"/>
  <c r="C82" i="16"/>
  <c r="D82" i="16" s="1"/>
  <c r="CC81" i="16"/>
  <c r="BU81" i="16"/>
  <c r="BV81" i="16" s="1"/>
  <c r="BS81" i="16"/>
  <c r="BL81" i="16"/>
  <c r="BK81" i="16"/>
  <c r="BI81" i="16"/>
  <c r="BA81" i="16"/>
  <c r="BB81" i="16" s="1"/>
  <c r="AY81" i="16"/>
  <c r="AR81" i="16"/>
  <c r="AQ81" i="16"/>
  <c r="AO81" i="16"/>
  <c r="AH81" i="16"/>
  <c r="AG81" i="16"/>
  <c r="AE81" i="16"/>
  <c r="W81" i="16"/>
  <c r="X81" i="16" s="1"/>
  <c r="U81" i="16"/>
  <c r="M81" i="16"/>
  <c r="N81" i="16" s="1"/>
  <c r="K81" i="16"/>
  <c r="C81" i="16"/>
  <c r="D81" i="16" s="1"/>
  <c r="CC80" i="16"/>
  <c r="CC89" i="16" s="1"/>
  <c r="BV80" i="16"/>
  <c r="BU80" i="16"/>
  <c r="BS80" i="16"/>
  <c r="BL80" i="16"/>
  <c r="BK80" i="16"/>
  <c r="BI80" i="16"/>
  <c r="BI89" i="16" s="1"/>
  <c r="BA80" i="16"/>
  <c r="AY80" i="16"/>
  <c r="AY89" i="16" s="1"/>
  <c r="AR80" i="16"/>
  <c r="AQ80" i="16"/>
  <c r="AQ89" i="16" s="1"/>
  <c r="AR89" i="16" s="1"/>
  <c r="AO80" i="16"/>
  <c r="AG80" i="16"/>
  <c r="AH80" i="16" s="1"/>
  <c r="AE80" i="16"/>
  <c r="W80" i="16"/>
  <c r="X80" i="16" s="1"/>
  <c r="U80" i="16"/>
  <c r="U89" i="16" s="1"/>
  <c r="M80" i="16"/>
  <c r="N80" i="16" s="1"/>
  <c r="K80" i="16"/>
  <c r="K89" i="16" s="1"/>
  <c r="C80" i="16"/>
  <c r="C89" i="16" s="1"/>
  <c r="D89" i="16" s="1"/>
  <c r="H75" i="16"/>
  <c r="G75" i="16"/>
  <c r="CB73" i="16"/>
  <c r="CA73" i="16"/>
  <c r="BZ73" i="16"/>
  <c r="BY73" i="16"/>
  <c r="BX73" i="16"/>
  <c r="BW73" i="16"/>
  <c r="BT73" i="16"/>
  <c r="BR73" i="16"/>
  <c r="BQ73" i="16"/>
  <c r="BP73" i="16"/>
  <c r="BO73" i="16"/>
  <c r="BN73" i="16"/>
  <c r="BM73" i="16"/>
  <c r="BM75" i="16" s="1"/>
  <c r="BL73" i="16"/>
  <c r="BK73" i="16"/>
  <c r="BJ73" i="16"/>
  <c r="BH73" i="16"/>
  <c r="BG73" i="16"/>
  <c r="BF73" i="16"/>
  <c r="BE73" i="16"/>
  <c r="BD73" i="16"/>
  <c r="BC73" i="16"/>
  <c r="AZ73" i="16"/>
  <c r="AX73" i="16"/>
  <c r="AW73" i="16"/>
  <c r="AW75" i="16" s="1"/>
  <c r="AV73" i="16"/>
  <c r="AV75" i="16" s="1"/>
  <c r="AU73" i="16"/>
  <c r="AU75" i="16" s="1"/>
  <c r="AT73" i="16"/>
  <c r="AS73" i="16"/>
  <c r="AP73" i="16"/>
  <c r="AN73" i="16"/>
  <c r="AM73" i="16"/>
  <c r="AL73" i="16"/>
  <c r="AK73" i="16"/>
  <c r="AJ73" i="16"/>
  <c r="AI73" i="16"/>
  <c r="AG73" i="16"/>
  <c r="AF73" i="16"/>
  <c r="AE73" i="16"/>
  <c r="AD73" i="16"/>
  <c r="AC73" i="16"/>
  <c r="AB73" i="16"/>
  <c r="AA73" i="16"/>
  <c r="Z73" i="16"/>
  <c r="Y73" i="16"/>
  <c r="Y75" i="16" s="1"/>
  <c r="V73" i="16"/>
  <c r="T73" i="16"/>
  <c r="S73" i="16"/>
  <c r="R73" i="16"/>
  <c r="Q73" i="16"/>
  <c r="P73" i="16"/>
  <c r="O73" i="16"/>
  <c r="L73" i="16"/>
  <c r="J73" i="16"/>
  <c r="I73" i="16"/>
  <c r="I75" i="16" s="1"/>
  <c r="H73" i="16"/>
  <c r="G73" i="16"/>
  <c r="F73" i="16"/>
  <c r="E73" i="16"/>
  <c r="B73" i="16"/>
  <c r="CC71" i="16"/>
  <c r="BU71" i="16"/>
  <c r="BV71" i="16" s="1"/>
  <c r="BS71" i="16"/>
  <c r="BK71" i="16"/>
  <c r="BL71" i="16" s="1"/>
  <c r="BI71" i="16"/>
  <c r="BA71" i="16"/>
  <c r="BB71" i="16" s="1"/>
  <c r="AY71" i="16"/>
  <c r="AQ71" i="16"/>
  <c r="AR71" i="16" s="1"/>
  <c r="AO71" i="16"/>
  <c r="AH71" i="16"/>
  <c r="AG71" i="16"/>
  <c r="AE71" i="16"/>
  <c r="X71" i="16"/>
  <c r="W71" i="16"/>
  <c r="U71" i="16"/>
  <c r="N71" i="16"/>
  <c r="M71" i="16"/>
  <c r="K71" i="16"/>
  <c r="C71" i="16"/>
  <c r="D71" i="16" s="1"/>
  <c r="CC70" i="16"/>
  <c r="BV70" i="16"/>
  <c r="BU70" i="16"/>
  <c r="BS70" i="16"/>
  <c r="BK70" i="16"/>
  <c r="BL70" i="16" s="1"/>
  <c r="BI70" i="16"/>
  <c r="BA70" i="16"/>
  <c r="BB70" i="16" s="1"/>
  <c r="AY70" i="16"/>
  <c r="AQ70" i="16"/>
  <c r="AR70" i="16" s="1"/>
  <c r="AO70" i="16"/>
  <c r="AH70" i="16"/>
  <c r="AG70" i="16"/>
  <c r="AE70" i="16"/>
  <c r="W70" i="16"/>
  <c r="X70" i="16" s="1"/>
  <c r="U70" i="16"/>
  <c r="N70" i="16"/>
  <c r="M70" i="16"/>
  <c r="K70" i="16"/>
  <c r="C70" i="16"/>
  <c r="D70" i="16" s="1"/>
  <c r="CC69" i="16"/>
  <c r="BU69" i="16"/>
  <c r="BV69" i="16" s="1"/>
  <c r="BS69" i="16"/>
  <c r="BK69" i="16"/>
  <c r="BL69" i="16" s="1"/>
  <c r="BI69" i="16"/>
  <c r="BA69" i="16"/>
  <c r="BB69" i="16" s="1"/>
  <c r="AY69" i="16"/>
  <c r="AR69" i="16"/>
  <c r="AQ69" i="16"/>
  <c r="AO69" i="16"/>
  <c r="AG69" i="16"/>
  <c r="AH69" i="16" s="1"/>
  <c r="AE69" i="16"/>
  <c r="W69" i="16"/>
  <c r="X69" i="16" s="1"/>
  <c r="U69" i="16"/>
  <c r="N69" i="16"/>
  <c r="M69" i="16"/>
  <c r="K69" i="16"/>
  <c r="D69" i="16"/>
  <c r="C69" i="16"/>
  <c r="CC68" i="16"/>
  <c r="BU68" i="16"/>
  <c r="BV68" i="16" s="1"/>
  <c r="BS68" i="16"/>
  <c r="BK68" i="16"/>
  <c r="BL68" i="16" s="1"/>
  <c r="BI68" i="16"/>
  <c r="BA68" i="16"/>
  <c r="BB68" i="16" s="1"/>
  <c r="AY68" i="16"/>
  <c r="AQ68" i="16"/>
  <c r="AR68" i="16" s="1"/>
  <c r="AO68" i="16"/>
  <c r="AG68" i="16"/>
  <c r="AH68" i="16" s="1"/>
  <c r="AE68" i="16"/>
  <c r="X68" i="16"/>
  <c r="W68" i="16"/>
  <c r="U68" i="16"/>
  <c r="N68" i="16"/>
  <c r="M68" i="16"/>
  <c r="K68" i="16"/>
  <c r="D68" i="16"/>
  <c r="C68" i="16"/>
  <c r="CC67" i="16"/>
  <c r="BU67" i="16"/>
  <c r="BV67" i="16" s="1"/>
  <c r="BS67" i="16"/>
  <c r="BK67" i="16"/>
  <c r="BL67" i="16" s="1"/>
  <c r="BI67" i="16"/>
  <c r="BA67" i="16"/>
  <c r="BB67" i="16" s="1"/>
  <c r="AY67" i="16"/>
  <c r="AR67" i="16"/>
  <c r="AQ67" i="16"/>
  <c r="AO67" i="16"/>
  <c r="AG67" i="16"/>
  <c r="AH67" i="16" s="1"/>
  <c r="AE67" i="16"/>
  <c r="W67" i="16"/>
  <c r="X67" i="16" s="1"/>
  <c r="U67" i="16"/>
  <c r="N67" i="16"/>
  <c r="M67" i="16"/>
  <c r="K67" i="16"/>
  <c r="D67" i="16"/>
  <c r="C67" i="16"/>
  <c r="CC66" i="16"/>
  <c r="BV66" i="16"/>
  <c r="BU66" i="16"/>
  <c r="BS66" i="16"/>
  <c r="BL66" i="16"/>
  <c r="BK66" i="16"/>
  <c r="BI66" i="16"/>
  <c r="BA66" i="16"/>
  <c r="BB66" i="16" s="1"/>
  <c r="AY66" i="16"/>
  <c r="AR66" i="16"/>
  <c r="AQ66" i="16"/>
  <c r="AO66" i="16"/>
  <c r="AG66" i="16"/>
  <c r="AH66" i="16" s="1"/>
  <c r="AE66" i="16"/>
  <c r="W66" i="16"/>
  <c r="X66" i="16" s="1"/>
  <c r="U66" i="16"/>
  <c r="N66" i="16"/>
  <c r="M66" i="16"/>
  <c r="K66" i="16"/>
  <c r="D66" i="16"/>
  <c r="C66" i="16"/>
  <c r="CC65" i="16"/>
  <c r="BU65" i="16"/>
  <c r="BV65" i="16" s="1"/>
  <c r="BS65" i="16"/>
  <c r="BK65" i="16"/>
  <c r="BL65" i="16" s="1"/>
  <c r="BI65" i="16"/>
  <c r="BA65" i="16"/>
  <c r="BB65" i="16" s="1"/>
  <c r="AY65" i="16"/>
  <c r="AQ65" i="16"/>
  <c r="AR65" i="16" s="1"/>
  <c r="AO65" i="16"/>
  <c r="AG65" i="16"/>
  <c r="AH65" i="16" s="1"/>
  <c r="AE65" i="16"/>
  <c r="X65" i="16"/>
  <c r="W65" i="16"/>
  <c r="U65" i="16"/>
  <c r="N65" i="16"/>
  <c r="M65" i="16"/>
  <c r="K65" i="16"/>
  <c r="D65" i="16"/>
  <c r="C65" i="16"/>
  <c r="CC64" i="16"/>
  <c r="BU64" i="16"/>
  <c r="BV64" i="16" s="1"/>
  <c r="BS64" i="16"/>
  <c r="BK64" i="16"/>
  <c r="BL64" i="16" s="1"/>
  <c r="BI64" i="16"/>
  <c r="BA64" i="16"/>
  <c r="BB64" i="16" s="1"/>
  <c r="AY64" i="16"/>
  <c r="AR64" i="16"/>
  <c r="AQ64" i="16"/>
  <c r="AO64" i="16"/>
  <c r="AG64" i="16"/>
  <c r="AH64" i="16" s="1"/>
  <c r="AE64" i="16"/>
  <c r="W64" i="16"/>
  <c r="X64" i="16" s="1"/>
  <c r="U64" i="16"/>
  <c r="N64" i="16"/>
  <c r="M64" i="16"/>
  <c r="K64" i="16"/>
  <c r="C64" i="16"/>
  <c r="D64" i="16" s="1"/>
  <c r="CC63" i="16"/>
  <c r="BU63" i="16"/>
  <c r="BV63" i="16" s="1"/>
  <c r="BS63" i="16"/>
  <c r="BK63" i="16"/>
  <c r="BL63" i="16" s="1"/>
  <c r="BI63" i="16"/>
  <c r="BA63" i="16"/>
  <c r="BB63" i="16" s="1"/>
  <c r="AY63" i="16"/>
  <c r="AQ63" i="16"/>
  <c r="AR63" i="16" s="1"/>
  <c r="AO63" i="16"/>
  <c r="AG63" i="16"/>
  <c r="AH63" i="16" s="1"/>
  <c r="AE63" i="16"/>
  <c r="W63" i="16"/>
  <c r="X63" i="16" s="1"/>
  <c r="U63" i="16"/>
  <c r="N63" i="16"/>
  <c r="M63" i="16"/>
  <c r="K63" i="16"/>
  <c r="C63" i="16"/>
  <c r="D63" i="16" s="1"/>
  <c r="CC62" i="16"/>
  <c r="BU62" i="16"/>
  <c r="BV62" i="16" s="1"/>
  <c r="BS62" i="16"/>
  <c r="BK62" i="16"/>
  <c r="BL62" i="16" s="1"/>
  <c r="BI62" i="16"/>
  <c r="BA62" i="16"/>
  <c r="BB62" i="16" s="1"/>
  <c r="AY62" i="16"/>
  <c r="AR62" i="16"/>
  <c r="AQ62" i="16"/>
  <c r="AO62" i="16"/>
  <c r="AG62" i="16"/>
  <c r="AH62" i="16" s="1"/>
  <c r="AE62" i="16"/>
  <c r="W62" i="16"/>
  <c r="X62" i="16" s="1"/>
  <c r="U62" i="16"/>
  <c r="N62" i="16"/>
  <c r="M62" i="16"/>
  <c r="K62" i="16"/>
  <c r="D62" i="16"/>
  <c r="C62" i="16"/>
  <c r="CC61" i="16"/>
  <c r="BV61" i="16"/>
  <c r="BU61" i="16"/>
  <c r="BS61" i="16"/>
  <c r="BL61" i="16"/>
  <c r="BK61" i="16"/>
  <c r="BI61" i="16"/>
  <c r="BA61" i="16"/>
  <c r="BB61" i="16" s="1"/>
  <c r="AY61" i="16"/>
  <c r="AR61" i="16"/>
  <c r="AQ61" i="16"/>
  <c r="AO61" i="16"/>
  <c r="AG61" i="16"/>
  <c r="AH61" i="16" s="1"/>
  <c r="AE61" i="16"/>
  <c r="W61" i="16"/>
  <c r="X61" i="16" s="1"/>
  <c r="U61" i="16"/>
  <c r="N61" i="16"/>
  <c r="M61" i="16"/>
  <c r="K61" i="16"/>
  <c r="C61" i="16"/>
  <c r="D61" i="16" s="1"/>
  <c r="CC60" i="16"/>
  <c r="BU60" i="16"/>
  <c r="BV60" i="16" s="1"/>
  <c r="BS60" i="16"/>
  <c r="BK60" i="16"/>
  <c r="BL60" i="16" s="1"/>
  <c r="BI60" i="16"/>
  <c r="BA60" i="16"/>
  <c r="BB60" i="16" s="1"/>
  <c r="AY60" i="16"/>
  <c r="AR60" i="16"/>
  <c r="AQ60" i="16"/>
  <c r="AO60" i="16"/>
  <c r="AH60" i="16"/>
  <c r="AG60" i="16"/>
  <c r="AE60" i="16"/>
  <c r="X60" i="16"/>
  <c r="W60" i="16"/>
  <c r="U60" i="16"/>
  <c r="N60" i="16"/>
  <c r="M60" i="16"/>
  <c r="K60" i="16"/>
  <c r="C60" i="16"/>
  <c r="D60" i="16" s="1"/>
  <c r="CC59" i="16"/>
  <c r="BV59" i="16"/>
  <c r="BU59" i="16"/>
  <c r="BS59" i="16"/>
  <c r="BL59" i="16"/>
  <c r="BK59" i="16"/>
  <c r="BI59" i="16"/>
  <c r="BA59" i="16"/>
  <c r="BB59" i="16" s="1"/>
  <c r="AY59" i="16"/>
  <c r="AR59" i="16"/>
  <c r="AQ59" i="16"/>
  <c r="AO59" i="16"/>
  <c r="AG59" i="16"/>
  <c r="AH59" i="16" s="1"/>
  <c r="AE59" i="16"/>
  <c r="W59" i="16"/>
  <c r="X59" i="16" s="1"/>
  <c r="U59" i="16"/>
  <c r="N59" i="16"/>
  <c r="M59" i="16"/>
  <c r="K59" i="16"/>
  <c r="C59" i="16"/>
  <c r="D59" i="16" s="1"/>
  <c r="CC58" i="16"/>
  <c r="BU58" i="16"/>
  <c r="BV58" i="16" s="1"/>
  <c r="BS58" i="16"/>
  <c r="BL58" i="16"/>
  <c r="BK58" i="16"/>
  <c r="BI58" i="16"/>
  <c r="BA58" i="16"/>
  <c r="BB58" i="16" s="1"/>
  <c r="AY58" i="16"/>
  <c r="AQ58" i="16"/>
  <c r="AR58" i="16" s="1"/>
  <c r="AO58" i="16"/>
  <c r="AG58" i="16"/>
  <c r="AH58" i="16" s="1"/>
  <c r="AE58" i="16"/>
  <c r="X58" i="16"/>
  <c r="W58" i="16"/>
  <c r="U58" i="16"/>
  <c r="N58" i="16"/>
  <c r="M58" i="16"/>
  <c r="K58" i="16"/>
  <c r="C58" i="16"/>
  <c r="D58" i="16" s="1"/>
  <c r="CC57" i="16"/>
  <c r="BV57" i="16"/>
  <c r="BU57" i="16"/>
  <c r="BS57" i="16"/>
  <c r="BK57" i="16"/>
  <c r="BL57" i="16" s="1"/>
  <c r="BI57" i="16"/>
  <c r="BA57" i="16"/>
  <c r="BB57" i="16" s="1"/>
  <c r="AY57" i="16"/>
  <c r="AQ57" i="16"/>
  <c r="AR57" i="16" s="1"/>
  <c r="AO57" i="16"/>
  <c r="AG57" i="16"/>
  <c r="AH57" i="16" s="1"/>
  <c r="AE57" i="16"/>
  <c r="X57" i="16"/>
  <c r="W57" i="16"/>
  <c r="U57" i="16"/>
  <c r="N57" i="16"/>
  <c r="M57" i="16"/>
  <c r="K57" i="16"/>
  <c r="C57" i="16"/>
  <c r="D57" i="16" s="1"/>
  <c r="CC56" i="16"/>
  <c r="BV56" i="16"/>
  <c r="BU56" i="16"/>
  <c r="BS56" i="16"/>
  <c r="BK56" i="16"/>
  <c r="BL56" i="16" s="1"/>
  <c r="BI56" i="16"/>
  <c r="BA56" i="16"/>
  <c r="BB56" i="16" s="1"/>
  <c r="AY56" i="16"/>
  <c r="AQ56" i="16"/>
  <c r="AR56" i="16" s="1"/>
  <c r="AO56" i="16"/>
  <c r="AG56" i="16"/>
  <c r="AH56" i="16" s="1"/>
  <c r="AE56" i="16"/>
  <c r="X56" i="16"/>
  <c r="W56" i="16"/>
  <c r="U56" i="16"/>
  <c r="N56" i="16"/>
  <c r="M56" i="16"/>
  <c r="K56" i="16"/>
  <c r="C56" i="16"/>
  <c r="D56" i="16" s="1"/>
  <c r="CC55" i="16"/>
  <c r="BV55" i="16"/>
  <c r="BU55" i="16"/>
  <c r="BS55" i="16"/>
  <c r="BK55" i="16"/>
  <c r="BL55" i="16" s="1"/>
  <c r="BI55" i="16"/>
  <c r="BA55" i="16"/>
  <c r="BB55" i="16" s="1"/>
  <c r="AY55" i="16"/>
  <c r="AQ55" i="16"/>
  <c r="AR55" i="16" s="1"/>
  <c r="AO55" i="16"/>
  <c r="AG55" i="16"/>
  <c r="AH55" i="16" s="1"/>
  <c r="AE55" i="16"/>
  <c r="X55" i="16"/>
  <c r="W55" i="16"/>
  <c r="U55" i="16"/>
  <c r="N55" i="16"/>
  <c r="M55" i="16"/>
  <c r="K55" i="16"/>
  <c r="C55" i="16"/>
  <c r="D55" i="16" s="1"/>
  <c r="CC54" i="16"/>
  <c r="BV54" i="16"/>
  <c r="BU54" i="16"/>
  <c r="BS54" i="16"/>
  <c r="BK54" i="16"/>
  <c r="BL54" i="16" s="1"/>
  <c r="BI54" i="16"/>
  <c r="BA54" i="16"/>
  <c r="BB54" i="16" s="1"/>
  <c r="AY54" i="16"/>
  <c r="AQ54" i="16"/>
  <c r="AR54" i="16" s="1"/>
  <c r="AO54" i="16"/>
  <c r="AG54" i="16"/>
  <c r="AH54" i="16" s="1"/>
  <c r="AE54" i="16"/>
  <c r="X54" i="16"/>
  <c r="W54" i="16"/>
  <c r="U54" i="16"/>
  <c r="N54" i="16"/>
  <c r="M54" i="16"/>
  <c r="K54" i="16"/>
  <c r="C54" i="16"/>
  <c r="D54" i="16" s="1"/>
  <c r="CC53" i="16"/>
  <c r="BV53" i="16"/>
  <c r="BU53" i="16"/>
  <c r="BS53" i="16"/>
  <c r="BK53" i="16"/>
  <c r="BL53" i="16" s="1"/>
  <c r="BI53" i="16"/>
  <c r="BA53" i="16"/>
  <c r="BB53" i="16" s="1"/>
  <c r="AY53" i="16"/>
  <c r="AQ53" i="16"/>
  <c r="AR53" i="16" s="1"/>
  <c r="AO53" i="16"/>
  <c r="AG53" i="16"/>
  <c r="AH53" i="16" s="1"/>
  <c r="AE53" i="16"/>
  <c r="X53" i="16"/>
  <c r="W53" i="16"/>
  <c r="U53" i="16"/>
  <c r="N53" i="16"/>
  <c r="M53" i="16"/>
  <c r="K53" i="16"/>
  <c r="D53" i="16"/>
  <c r="C53" i="16"/>
  <c r="CC52" i="16"/>
  <c r="CC73" i="16" s="1"/>
  <c r="BU52" i="16"/>
  <c r="BV52" i="16" s="1"/>
  <c r="BL52" i="16"/>
  <c r="BK52" i="16"/>
  <c r="BI52" i="16"/>
  <c r="BA52" i="16"/>
  <c r="BB52" i="16" s="1"/>
  <c r="AY52" i="16"/>
  <c r="AR52" i="16"/>
  <c r="AQ52" i="16"/>
  <c r="AO52" i="16"/>
  <c r="AG52" i="16"/>
  <c r="AH52" i="16" s="1"/>
  <c r="AE52" i="16"/>
  <c r="W52" i="16"/>
  <c r="X52" i="16" s="1"/>
  <c r="U52" i="16"/>
  <c r="M52" i="16"/>
  <c r="N52" i="16" s="1"/>
  <c r="K52" i="16"/>
  <c r="C52" i="16"/>
  <c r="D52" i="16" s="1"/>
  <c r="CC51" i="16"/>
  <c r="BV51" i="16"/>
  <c r="BU51" i="16"/>
  <c r="BU73" i="16" s="1"/>
  <c r="BV73" i="16" s="1"/>
  <c r="BS51" i="16"/>
  <c r="BS73" i="16" s="1"/>
  <c r="BL51" i="16"/>
  <c r="BK51" i="16"/>
  <c r="BI51" i="16"/>
  <c r="BI73" i="16" s="1"/>
  <c r="BA51" i="16"/>
  <c r="AY51" i="16"/>
  <c r="AR51" i="16"/>
  <c r="AQ51" i="16"/>
  <c r="AO51" i="16"/>
  <c r="AO73" i="16" s="1"/>
  <c r="AG51" i="16"/>
  <c r="AH51" i="16" s="1"/>
  <c r="AE51" i="16"/>
  <c r="W51" i="16"/>
  <c r="X51" i="16" s="1"/>
  <c r="U51" i="16"/>
  <c r="M51" i="16"/>
  <c r="K51" i="16"/>
  <c r="K73" i="16" s="1"/>
  <c r="C51" i="16"/>
  <c r="D51" i="16" s="1"/>
  <c r="CB48" i="16"/>
  <c r="CA48" i="16"/>
  <c r="BZ48" i="16"/>
  <c r="BY48" i="16"/>
  <c r="BX48" i="16"/>
  <c r="BW48" i="16"/>
  <c r="BT48" i="16"/>
  <c r="BR48" i="16"/>
  <c r="BQ48" i="16"/>
  <c r="BP48" i="16"/>
  <c r="BO48" i="16"/>
  <c r="BN48" i="16"/>
  <c r="BM48" i="16"/>
  <c r="BK48" i="16"/>
  <c r="BL48" i="16" s="1"/>
  <c r="BJ48" i="16"/>
  <c r="BI48" i="16"/>
  <c r="BH48" i="16"/>
  <c r="BG48" i="16"/>
  <c r="BF48" i="16"/>
  <c r="BE48" i="16"/>
  <c r="BD48" i="16"/>
  <c r="BC48" i="16"/>
  <c r="BA48" i="16"/>
  <c r="BB48" i="16" s="1"/>
  <c r="AZ48" i="16"/>
  <c r="AX48" i="16"/>
  <c r="AW48" i="16"/>
  <c r="AV48" i="16"/>
  <c r="AU48" i="16"/>
  <c r="AT48" i="16"/>
  <c r="AS48" i="16"/>
  <c r="AP48" i="16"/>
  <c r="AN48" i="16"/>
  <c r="AM48" i="16"/>
  <c r="AL48" i="16"/>
  <c r="AK48" i="16"/>
  <c r="AJ48" i="16"/>
  <c r="AI48" i="16"/>
  <c r="AF48" i="16"/>
  <c r="AE48" i="16"/>
  <c r="AD48" i="16"/>
  <c r="AC48" i="16"/>
  <c r="AB48" i="16"/>
  <c r="AA48" i="16"/>
  <c r="Z48" i="16"/>
  <c r="Y48" i="16"/>
  <c r="V48" i="16"/>
  <c r="T48" i="16"/>
  <c r="S48" i="16"/>
  <c r="R48" i="16"/>
  <c r="Q48" i="16"/>
  <c r="P48" i="16"/>
  <c r="O48" i="16"/>
  <c r="L48" i="16"/>
  <c r="J48" i="16"/>
  <c r="I48" i="16"/>
  <c r="H48" i="16"/>
  <c r="G48" i="16"/>
  <c r="F48" i="16"/>
  <c r="E48" i="16"/>
  <c r="B48" i="16"/>
  <c r="CC46" i="16"/>
  <c r="BU46" i="16"/>
  <c r="BV46" i="16" s="1"/>
  <c r="BS46" i="16"/>
  <c r="BL46" i="16"/>
  <c r="BK46" i="16"/>
  <c r="BI46" i="16"/>
  <c r="BB46" i="16"/>
  <c r="BA46" i="16"/>
  <c r="AY46" i="16"/>
  <c r="AQ46" i="16"/>
  <c r="AR46" i="16" s="1"/>
  <c r="AO46" i="16"/>
  <c r="AH46" i="16"/>
  <c r="AG46" i="16"/>
  <c r="AE46" i="16"/>
  <c r="W46" i="16"/>
  <c r="X46" i="16" s="1"/>
  <c r="U46" i="16"/>
  <c r="M46" i="16"/>
  <c r="N46" i="16" s="1"/>
  <c r="K46" i="16"/>
  <c r="C46" i="16"/>
  <c r="D46" i="16" s="1"/>
  <c r="CC45" i="16"/>
  <c r="BV45" i="16"/>
  <c r="BU45" i="16"/>
  <c r="BS45" i="16"/>
  <c r="BL45" i="16"/>
  <c r="BK45" i="16"/>
  <c r="BI45" i="16"/>
  <c r="BB45" i="16"/>
  <c r="BA45" i="16"/>
  <c r="AY45" i="16"/>
  <c r="AQ45" i="16"/>
  <c r="AR45" i="16" s="1"/>
  <c r="AO45" i="16"/>
  <c r="AH45" i="16"/>
  <c r="AG45" i="16"/>
  <c r="AE45" i="16"/>
  <c r="W45" i="16"/>
  <c r="X45" i="16" s="1"/>
  <c r="U45" i="16"/>
  <c r="M45" i="16"/>
  <c r="N45" i="16" s="1"/>
  <c r="K45" i="16"/>
  <c r="C45" i="16"/>
  <c r="D45" i="16" s="1"/>
  <c r="CC44" i="16"/>
  <c r="BV44" i="16"/>
  <c r="BU44" i="16"/>
  <c r="BS44" i="16"/>
  <c r="BL44" i="16"/>
  <c r="BK44" i="16"/>
  <c r="BI44" i="16"/>
  <c r="BB44" i="16"/>
  <c r="BA44" i="16"/>
  <c r="AY44" i="16"/>
  <c r="AQ44" i="16"/>
  <c r="AR44" i="16" s="1"/>
  <c r="AO44" i="16"/>
  <c r="AH44" i="16"/>
  <c r="AG44" i="16"/>
  <c r="AE44" i="16"/>
  <c r="W44" i="16"/>
  <c r="X44" i="16" s="1"/>
  <c r="U44" i="16"/>
  <c r="M44" i="16"/>
  <c r="N44" i="16" s="1"/>
  <c r="K44" i="16"/>
  <c r="C44" i="16"/>
  <c r="D44" i="16" s="1"/>
  <c r="CC43" i="16"/>
  <c r="BU43" i="16"/>
  <c r="BV43" i="16" s="1"/>
  <c r="BS43" i="16"/>
  <c r="BL43" i="16"/>
  <c r="BK43" i="16"/>
  <c r="BI43" i="16"/>
  <c r="BB43" i="16"/>
  <c r="BA43" i="16"/>
  <c r="AY43" i="16"/>
  <c r="AQ43" i="16"/>
  <c r="AR43" i="16" s="1"/>
  <c r="AO43" i="16"/>
  <c r="AG43" i="16"/>
  <c r="AH43" i="16" s="1"/>
  <c r="AE43" i="16"/>
  <c r="W43" i="16"/>
  <c r="X43" i="16" s="1"/>
  <c r="U43" i="16"/>
  <c r="M43" i="16"/>
  <c r="N43" i="16" s="1"/>
  <c r="K43" i="16"/>
  <c r="C43" i="16"/>
  <c r="D43" i="16" s="1"/>
  <c r="CC42" i="16"/>
  <c r="BU42" i="16"/>
  <c r="BV42" i="16" s="1"/>
  <c r="BS42" i="16"/>
  <c r="BL42" i="16"/>
  <c r="BK42" i="16"/>
  <c r="BI42" i="16"/>
  <c r="BB42" i="16"/>
  <c r="BA42" i="16"/>
  <c r="AY42" i="16"/>
  <c r="AR42" i="16"/>
  <c r="AQ42" i="16"/>
  <c r="AO42" i="16"/>
  <c r="AG42" i="16"/>
  <c r="AH42" i="16" s="1"/>
  <c r="AE42" i="16"/>
  <c r="W42" i="16"/>
  <c r="X42" i="16" s="1"/>
  <c r="U42" i="16"/>
  <c r="M42" i="16"/>
  <c r="N42" i="16" s="1"/>
  <c r="K42" i="16"/>
  <c r="C42" i="16"/>
  <c r="D42" i="16" s="1"/>
  <c r="CC41" i="16"/>
  <c r="BV41" i="16"/>
  <c r="BU41" i="16"/>
  <c r="BS41" i="16"/>
  <c r="BL41" i="16"/>
  <c r="BK41" i="16"/>
  <c r="BI41" i="16"/>
  <c r="BA41" i="16"/>
  <c r="BB41" i="16" s="1"/>
  <c r="AY41" i="16"/>
  <c r="AR41" i="16"/>
  <c r="AQ41" i="16"/>
  <c r="AO41" i="16"/>
  <c r="AG41" i="16"/>
  <c r="AH41" i="16" s="1"/>
  <c r="AE41" i="16"/>
  <c r="W41" i="16"/>
  <c r="X41" i="16" s="1"/>
  <c r="U41" i="16"/>
  <c r="M41" i="16"/>
  <c r="N41" i="16" s="1"/>
  <c r="K41" i="16"/>
  <c r="D41" i="16"/>
  <c r="C41" i="16"/>
  <c r="CC40" i="16"/>
  <c r="BU40" i="16"/>
  <c r="BV40" i="16" s="1"/>
  <c r="BS40" i="16"/>
  <c r="BL40" i="16"/>
  <c r="BK40" i="16"/>
  <c r="BI40" i="16"/>
  <c r="BA40" i="16"/>
  <c r="BB40" i="16" s="1"/>
  <c r="AY40" i="16"/>
  <c r="AQ40" i="16"/>
  <c r="AR40" i="16" s="1"/>
  <c r="AO40" i="16"/>
  <c r="AH40" i="16"/>
  <c r="AG40" i="16"/>
  <c r="AE40" i="16"/>
  <c r="W40" i="16"/>
  <c r="X40" i="16" s="1"/>
  <c r="U40" i="16"/>
  <c r="M40" i="16"/>
  <c r="N40" i="16" s="1"/>
  <c r="K40" i="16"/>
  <c r="C40" i="16"/>
  <c r="D40" i="16" s="1"/>
  <c r="CC39" i="16"/>
  <c r="BV39" i="16"/>
  <c r="BU39" i="16"/>
  <c r="BS39" i="16"/>
  <c r="BL39" i="16"/>
  <c r="BK39" i="16"/>
  <c r="BI39" i="16"/>
  <c r="BA39" i="16"/>
  <c r="BB39" i="16" s="1"/>
  <c r="AY39" i="16"/>
  <c r="AR39" i="16"/>
  <c r="AQ39" i="16"/>
  <c r="AO39" i="16"/>
  <c r="AG39" i="16"/>
  <c r="AH39" i="16" s="1"/>
  <c r="AE39" i="16"/>
  <c r="W39" i="16"/>
  <c r="X39" i="16" s="1"/>
  <c r="U39" i="16"/>
  <c r="M39" i="16"/>
  <c r="N39" i="16" s="1"/>
  <c r="K39" i="16"/>
  <c r="C39" i="16"/>
  <c r="D39" i="16" s="1"/>
  <c r="CC38" i="16"/>
  <c r="BU38" i="16"/>
  <c r="BV38" i="16" s="1"/>
  <c r="BS38" i="16"/>
  <c r="BS48" i="16" s="1"/>
  <c r="BL38" i="16"/>
  <c r="BK38" i="16"/>
  <c r="BI38" i="16"/>
  <c r="BA38" i="16"/>
  <c r="BB38" i="16" s="1"/>
  <c r="AY38" i="16"/>
  <c r="AQ38" i="16"/>
  <c r="AR38" i="16" s="1"/>
  <c r="AO38" i="16"/>
  <c r="AG38" i="16"/>
  <c r="AH38" i="16" s="1"/>
  <c r="AE38" i="16"/>
  <c r="W38" i="16"/>
  <c r="X38" i="16" s="1"/>
  <c r="U38" i="16"/>
  <c r="M38" i="16"/>
  <c r="N38" i="16" s="1"/>
  <c r="K38" i="16"/>
  <c r="D38" i="16"/>
  <c r="C38" i="16"/>
  <c r="CC37" i="16"/>
  <c r="BU37" i="16"/>
  <c r="BV37" i="16" s="1"/>
  <c r="BS37" i="16"/>
  <c r="BL37" i="16"/>
  <c r="BK37" i="16"/>
  <c r="BI37" i="16"/>
  <c r="BA37" i="16"/>
  <c r="BB37" i="16" s="1"/>
  <c r="AY37" i="16"/>
  <c r="AQ37" i="16"/>
  <c r="AR37" i="16" s="1"/>
  <c r="AO37" i="16"/>
  <c r="AG37" i="16"/>
  <c r="AH37" i="16" s="1"/>
  <c r="AE37" i="16"/>
  <c r="W37" i="16"/>
  <c r="X37" i="16" s="1"/>
  <c r="U37" i="16"/>
  <c r="N37" i="16"/>
  <c r="M37" i="16"/>
  <c r="K37" i="16"/>
  <c r="C37" i="16"/>
  <c r="D37" i="16" s="1"/>
  <c r="CC36" i="16"/>
  <c r="BU36" i="16"/>
  <c r="BV36" i="16" s="1"/>
  <c r="BS36" i="16"/>
  <c r="BL36" i="16"/>
  <c r="BK36" i="16"/>
  <c r="BI36" i="16"/>
  <c r="BA36" i="16"/>
  <c r="BB36" i="16" s="1"/>
  <c r="AY36" i="16"/>
  <c r="AQ36" i="16"/>
  <c r="AR36" i="16" s="1"/>
  <c r="AO36" i="16"/>
  <c r="AG36" i="16"/>
  <c r="AH36" i="16" s="1"/>
  <c r="AE36" i="16"/>
  <c r="W36" i="16"/>
  <c r="X36" i="16" s="1"/>
  <c r="U36" i="16"/>
  <c r="M36" i="16"/>
  <c r="M48" i="16" s="1"/>
  <c r="N48" i="16" s="1"/>
  <c r="K36" i="16"/>
  <c r="C36" i="16"/>
  <c r="D36" i="16" s="1"/>
  <c r="CC35" i="16"/>
  <c r="CC48" i="16" s="1"/>
  <c r="BU35" i="16"/>
  <c r="BS35" i="16"/>
  <c r="BL35" i="16"/>
  <c r="BK35" i="16"/>
  <c r="BI35" i="16"/>
  <c r="BA35" i="16"/>
  <c r="BB35" i="16" s="1"/>
  <c r="AY35" i="16"/>
  <c r="AQ35" i="16"/>
  <c r="AO35" i="16"/>
  <c r="AG35" i="16"/>
  <c r="AH35" i="16" s="1"/>
  <c r="AE35" i="16"/>
  <c r="W35" i="16"/>
  <c r="X35" i="16" s="1"/>
  <c r="U35" i="16"/>
  <c r="U48" i="16" s="1"/>
  <c r="N35" i="16"/>
  <c r="M35" i="16"/>
  <c r="K35" i="16"/>
  <c r="K48" i="16" s="1"/>
  <c r="C35" i="16"/>
  <c r="C48" i="16" s="1"/>
  <c r="D48" i="16" s="1"/>
  <c r="CB32" i="16"/>
  <c r="CA32" i="16"/>
  <c r="BZ32" i="16"/>
  <c r="BZ75" i="16" s="1"/>
  <c r="BY32" i="16"/>
  <c r="BY75" i="16" s="1"/>
  <c r="BX32" i="16"/>
  <c r="BX75" i="16" s="1"/>
  <c r="BW32" i="16"/>
  <c r="BW75" i="16" s="1"/>
  <c r="BT32" i="16"/>
  <c r="BT75" i="16" s="1"/>
  <c r="BR32" i="16"/>
  <c r="BQ32" i="16"/>
  <c r="BP32" i="16"/>
  <c r="BP75" i="16" s="1"/>
  <c r="BO32" i="16"/>
  <c r="BO75" i="16" s="1"/>
  <c r="BN32" i="16"/>
  <c r="BN75" i="16" s="1"/>
  <c r="BM32" i="16"/>
  <c r="BJ32" i="16"/>
  <c r="BI32" i="16"/>
  <c r="BH32" i="16"/>
  <c r="BH75" i="16" s="1"/>
  <c r="BG32" i="16"/>
  <c r="BG75" i="16" s="1"/>
  <c r="BF32" i="16"/>
  <c r="BF75" i="16" s="1"/>
  <c r="BE32" i="16"/>
  <c r="BD32" i="16"/>
  <c r="BD75" i="16" s="1"/>
  <c r="BC32" i="16"/>
  <c r="BA32" i="16"/>
  <c r="BB32" i="16" s="1"/>
  <c r="AZ32" i="16"/>
  <c r="AZ75" i="16" s="1"/>
  <c r="AX32" i="16"/>
  <c r="AX75" i="16" s="1"/>
  <c r="AW32" i="16"/>
  <c r="AV32" i="16"/>
  <c r="AU32" i="16"/>
  <c r="AT32" i="16"/>
  <c r="AS32" i="16"/>
  <c r="AP32" i="16"/>
  <c r="AP75" i="16" s="1"/>
  <c r="AN32" i="16"/>
  <c r="AN75" i="16" s="1"/>
  <c r="AM32" i="16"/>
  <c r="AL32" i="16"/>
  <c r="AK32" i="16"/>
  <c r="AJ32" i="16"/>
  <c r="AJ75" i="16" s="1"/>
  <c r="AI32" i="16"/>
  <c r="AI75" i="16" s="1"/>
  <c r="AF32" i="16"/>
  <c r="AE32" i="16"/>
  <c r="AE75" i="16" s="1"/>
  <c r="AD32" i="16"/>
  <c r="AD75" i="16" s="1"/>
  <c r="AC32" i="16"/>
  <c r="AC75" i="16" s="1"/>
  <c r="AB32" i="16"/>
  <c r="AB75" i="16" s="1"/>
  <c r="AA32" i="16"/>
  <c r="AA75" i="16" s="1"/>
  <c r="Z32" i="16"/>
  <c r="Z75" i="16" s="1"/>
  <c r="Y32" i="16"/>
  <c r="V32" i="16"/>
  <c r="V75" i="16" s="1"/>
  <c r="T32" i="16"/>
  <c r="T75" i="16" s="1"/>
  <c r="S32" i="16"/>
  <c r="S75" i="16" s="1"/>
  <c r="R32" i="16"/>
  <c r="R75" i="16" s="1"/>
  <c r="Q32" i="16"/>
  <c r="Q75" i="16" s="1"/>
  <c r="P32" i="16"/>
  <c r="O32" i="16"/>
  <c r="L32" i="16"/>
  <c r="L75" i="16" s="1"/>
  <c r="J32" i="16"/>
  <c r="J75" i="16" s="1"/>
  <c r="I32" i="16"/>
  <c r="H32" i="16"/>
  <c r="G32" i="16"/>
  <c r="F32" i="16"/>
  <c r="F75" i="16" s="1"/>
  <c r="E32" i="16"/>
  <c r="E75" i="16" s="1"/>
  <c r="B32" i="16"/>
  <c r="B75" i="16" s="1"/>
  <c r="CC30" i="16"/>
  <c r="BU30" i="16"/>
  <c r="BV30" i="16" s="1"/>
  <c r="BS30" i="16"/>
  <c r="BL30" i="16"/>
  <c r="BK30" i="16"/>
  <c r="BI30" i="16"/>
  <c r="BB30" i="16"/>
  <c r="BA30" i="16"/>
  <c r="AY30" i="16"/>
  <c r="AR30" i="16"/>
  <c r="AQ30" i="16"/>
  <c r="AO30" i="16"/>
  <c r="AH30" i="16"/>
  <c r="AG30" i="16"/>
  <c r="AE30" i="16"/>
  <c r="W30" i="16"/>
  <c r="X30" i="16" s="1"/>
  <c r="U30" i="16"/>
  <c r="N30" i="16"/>
  <c r="M30" i="16"/>
  <c r="K30" i="16"/>
  <c r="C30" i="16"/>
  <c r="D30" i="16" s="1"/>
  <c r="CC29" i="16"/>
  <c r="BV29" i="16"/>
  <c r="BU29" i="16"/>
  <c r="BS29" i="16"/>
  <c r="BL29" i="16"/>
  <c r="BK29" i="16"/>
  <c r="BI29" i="16"/>
  <c r="BB29" i="16"/>
  <c r="BA29" i="16"/>
  <c r="AY29" i="16"/>
  <c r="AR29" i="16"/>
  <c r="AQ29" i="16"/>
  <c r="AO29" i="16"/>
  <c r="AG29" i="16"/>
  <c r="AH29" i="16" s="1"/>
  <c r="AE29" i="16"/>
  <c r="W29" i="16"/>
  <c r="X29" i="16" s="1"/>
  <c r="U29" i="16"/>
  <c r="N29" i="16"/>
  <c r="M29" i="16"/>
  <c r="K29" i="16"/>
  <c r="C29" i="16"/>
  <c r="D29" i="16" s="1"/>
  <c r="CC28" i="16"/>
  <c r="BU28" i="16"/>
  <c r="BV28" i="16" s="1"/>
  <c r="BS28" i="16"/>
  <c r="BL28" i="16"/>
  <c r="BK28" i="16"/>
  <c r="BI28" i="16"/>
  <c r="BB28" i="16"/>
  <c r="BA28" i="16"/>
  <c r="AY28" i="16"/>
  <c r="AQ28" i="16"/>
  <c r="AR28" i="16" s="1"/>
  <c r="AO28" i="16"/>
  <c r="AG28" i="16"/>
  <c r="AH28" i="16" s="1"/>
  <c r="AE28" i="16"/>
  <c r="W28" i="16"/>
  <c r="X28" i="16" s="1"/>
  <c r="U28" i="16"/>
  <c r="M28" i="16"/>
  <c r="N28" i="16" s="1"/>
  <c r="K28" i="16"/>
  <c r="C28" i="16"/>
  <c r="D28" i="16" s="1"/>
  <c r="CC27" i="16"/>
  <c r="BU27" i="16"/>
  <c r="BV27" i="16" s="1"/>
  <c r="BS27" i="16"/>
  <c r="BL27" i="16"/>
  <c r="BK27" i="16"/>
  <c r="BI27" i="16"/>
  <c r="BB27" i="16"/>
  <c r="BA27" i="16"/>
  <c r="AY27" i="16"/>
  <c r="AR27" i="16"/>
  <c r="AQ27" i="16"/>
  <c r="AO27" i="16"/>
  <c r="AG27" i="16"/>
  <c r="AH27" i="16" s="1"/>
  <c r="AE27" i="16"/>
  <c r="W27" i="16"/>
  <c r="X27" i="16" s="1"/>
  <c r="U27" i="16"/>
  <c r="M27" i="16"/>
  <c r="N27" i="16" s="1"/>
  <c r="K27" i="16"/>
  <c r="C27" i="16"/>
  <c r="D27" i="16" s="1"/>
  <c r="CC26" i="16"/>
  <c r="BV26" i="16"/>
  <c r="BU26" i="16"/>
  <c r="BS26" i="16"/>
  <c r="BL26" i="16"/>
  <c r="BK26" i="16"/>
  <c r="BI26" i="16"/>
  <c r="BB26" i="16"/>
  <c r="BA26" i="16"/>
  <c r="AY26" i="16"/>
  <c r="AR26" i="16"/>
  <c r="AQ26" i="16"/>
  <c r="AO26" i="16"/>
  <c r="AG26" i="16"/>
  <c r="AH26" i="16" s="1"/>
  <c r="AE26" i="16"/>
  <c r="W26" i="16"/>
  <c r="X26" i="16" s="1"/>
  <c r="U26" i="16"/>
  <c r="N26" i="16"/>
  <c r="M26" i="16"/>
  <c r="K26" i="16"/>
  <c r="C26" i="16"/>
  <c r="D26" i="16" s="1"/>
  <c r="CC25" i="16"/>
  <c r="BU25" i="16"/>
  <c r="BV25" i="16" s="1"/>
  <c r="BS25" i="16"/>
  <c r="BL25" i="16"/>
  <c r="BK25" i="16"/>
  <c r="BI25" i="16"/>
  <c r="BB25" i="16"/>
  <c r="BA25" i="16"/>
  <c r="AY25" i="16"/>
  <c r="AQ25" i="16"/>
  <c r="AR25" i="16" s="1"/>
  <c r="AO25" i="16"/>
  <c r="AG25" i="16"/>
  <c r="AH25" i="16" s="1"/>
  <c r="AE25" i="16"/>
  <c r="W25" i="16"/>
  <c r="X25" i="16" s="1"/>
  <c r="U25" i="16"/>
  <c r="M25" i="16"/>
  <c r="N25" i="16" s="1"/>
  <c r="K25" i="16"/>
  <c r="C25" i="16"/>
  <c r="D25" i="16" s="1"/>
  <c r="CC24" i="16"/>
  <c r="BV24" i="16"/>
  <c r="BU24" i="16"/>
  <c r="BS24" i="16"/>
  <c r="BL24" i="16"/>
  <c r="BK24" i="16"/>
  <c r="BI24" i="16"/>
  <c r="BB24" i="16"/>
  <c r="BA24" i="16"/>
  <c r="AY24" i="16"/>
  <c r="AQ24" i="16"/>
  <c r="AR24" i="16" s="1"/>
  <c r="AO24" i="16"/>
  <c r="AG24" i="16"/>
  <c r="AH24" i="16" s="1"/>
  <c r="AE24" i="16"/>
  <c r="W24" i="16"/>
  <c r="X24" i="16" s="1"/>
  <c r="U24" i="16"/>
  <c r="N24" i="16"/>
  <c r="M24" i="16"/>
  <c r="K24" i="16"/>
  <c r="C24" i="16"/>
  <c r="D24" i="16" s="1"/>
  <c r="CC23" i="16"/>
  <c r="BU23" i="16"/>
  <c r="BV23" i="16" s="1"/>
  <c r="BL23" i="16"/>
  <c r="BK23" i="16"/>
  <c r="BI23" i="16"/>
  <c r="BA23" i="16"/>
  <c r="BB23" i="16" s="1"/>
  <c r="AY23" i="16"/>
  <c r="AQ23" i="16"/>
  <c r="AR23" i="16" s="1"/>
  <c r="AO23" i="16"/>
  <c r="AH23" i="16"/>
  <c r="AG23" i="16"/>
  <c r="AE23" i="16"/>
  <c r="W23" i="16"/>
  <c r="X23" i="16" s="1"/>
  <c r="U23" i="16"/>
  <c r="M23" i="16"/>
  <c r="N23" i="16" s="1"/>
  <c r="K23" i="16"/>
  <c r="C23" i="16"/>
  <c r="D23" i="16" s="1"/>
  <c r="CC22" i="16"/>
  <c r="BU22" i="16"/>
  <c r="BV22" i="16" s="1"/>
  <c r="BS22" i="16"/>
  <c r="BK22" i="16"/>
  <c r="BL22" i="16" s="1"/>
  <c r="BI22" i="16"/>
  <c r="BA22" i="16"/>
  <c r="BB22" i="16" s="1"/>
  <c r="AY22" i="16"/>
  <c r="AR22" i="16"/>
  <c r="AQ22" i="16"/>
  <c r="AO22" i="16"/>
  <c r="AH22" i="16"/>
  <c r="AG22" i="16"/>
  <c r="AE22" i="16"/>
  <c r="W22" i="16"/>
  <c r="X22" i="16" s="1"/>
  <c r="U22" i="16"/>
  <c r="N22" i="16"/>
  <c r="M22" i="16"/>
  <c r="K22" i="16"/>
  <c r="C22" i="16"/>
  <c r="D22" i="16" s="1"/>
  <c r="CC21" i="16"/>
  <c r="BU21" i="16"/>
  <c r="BV21" i="16" s="1"/>
  <c r="BS21" i="16"/>
  <c r="BL21" i="16"/>
  <c r="BK21" i="16"/>
  <c r="BI21" i="16"/>
  <c r="BA21" i="16"/>
  <c r="BB21" i="16" s="1"/>
  <c r="AY21" i="16"/>
  <c r="AQ21" i="16"/>
  <c r="AR21" i="16" s="1"/>
  <c r="AO21" i="16"/>
  <c r="AH21" i="16"/>
  <c r="AG21" i="16"/>
  <c r="AE21" i="16"/>
  <c r="W21" i="16"/>
  <c r="X21" i="16" s="1"/>
  <c r="U21" i="16"/>
  <c r="M21" i="16"/>
  <c r="N21" i="16" s="1"/>
  <c r="K21" i="16"/>
  <c r="C21" i="16"/>
  <c r="D21" i="16" s="1"/>
  <c r="CC20" i="16"/>
  <c r="BU20" i="16"/>
  <c r="BV20" i="16" s="1"/>
  <c r="BS20" i="16"/>
  <c r="BK20" i="16"/>
  <c r="BL20" i="16" s="1"/>
  <c r="BI20" i="16"/>
  <c r="BA20" i="16"/>
  <c r="BB20" i="16" s="1"/>
  <c r="AY20" i="16"/>
  <c r="AR20" i="16"/>
  <c r="AQ20" i="16"/>
  <c r="AO20" i="16"/>
  <c r="AH20" i="16"/>
  <c r="AG20" i="16"/>
  <c r="AE20" i="16"/>
  <c r="W20" i="16"/>
  <c r="X20" i="16" s="1"/>
  <c r="U20" i="16"/>
  <c r="N20" i="16"/>
  <c r="M20" i="16"/>
  <c r="K20" i="16"/>
  <c r="C20" i="16"/>
  <c r="D20" i="16" s="1"/>
  <c r="CC19" i="16"/>
  <c r="BU19" i="16"/>
  <c r="BV19" i="16" s="1"/>
  <c r="BS19" i="16"/>
  <c r="BL19" i="16"/>
  <c r="BK19" i="16"/>
  <c r="BI19" i="16"/>
  <c r="BA19" i="16"/>
  <c r="BB19" i="16" s="1"/>
  <c r="AY19" i="16"/>
  <c r="AQ19" i="16"/>
  <c r="AR19" i="16" s="1"/>
  <c r="AO19" i="16"/>
  <c r="AH19" i="16"/>
  <c r="AG19" i="16"/>
  <c r="AE19" i="16"/>
  <c r="X19" i="16"/>
  <c r="W19" i="16"/>
  <c r="U19" i="16"/>
  <c r="M19" i="16"/>
  <c r="N19" i="16" s="1"/>
  <c r="K19" i="16"/>
  <c r="C19" i="16"/>
  <c r="D19" i="16" s="1"/>
  <c r="CC18" i="16"/>
  <c r="BU18" i="16"/>
  <c r="BV18" i="16" s="1"/>
  <c r="BS18" i="16"/>
  <c r="BK18" i="16"/>
  <c r="BL18" i="16" s="1"/>
  <c r="BI18" i="16"/>
  <c r="BA18" i="16"/>
  <c r="BB18" i="16" s="1"/>
  <c r="AY18" i="16"/>
  <c r="AQ18" i="16"/>
  <c r="AR18" i="16" s="1"/>
  <c r="AO18" i="16"/>
  <c r="AH18" i="16"/>
  <c r="AG18" i="16"/>
  <c r="AE18" i="16"/>
  <c r="W18" i="16"/>
  <c r="X18" i="16" s="1"/>
  <c r="U18" i="16"/>
  <c r="M18" i="16"/>
  <c r="N18" i="16" s="1"/>
  <c r="K18" i="16"/>
  <c r="C18" i="16"/>
  <c r="D18" i="16" s="1"/>
  <c r="CC17" i="16"/>
  <c r="BU17" i="16"/>
  <c r="BV17" i="16" s="1"/>
  <c r="BS17" i="16"/>
  <c r="BL17" i="16"/>
  <c r="BK17" i="16"/>
  <c r="BI17" i="16"/>
  <c r="BA17" i="16"/>
  <c r="BB17" i="16" s="1"/>
  <c r="AY17" i="16"/>
  <c r="AQ17" i="16"/>
  <c r="AR17" i="16" s="1"/>
  <c r="AO17" i="16"/>
  <c r="AH17" i="16"/>
  <c r="AG17" i="16"/>
  <c r="AE17" i="16"/>
  <c r="W17" i="16"/>
  <c r="X17" i="16" s="1"/>
  <c r="U17" i="16"/>
  <c r="M17" i="16"/>
  <c r="N17" i="16" s="1"/>
  <c r="K17" i="16"/>
  <c r="C17" i="16"/>
  <c r="D17" i="16" s="1"/>
  <c r="CC16" i="16"/>
  <c r="BU16" i="16"/>
  <c r="BV16" i="16" s="1"/>
  <c r="BS16" i="16"/>
  <c r="BK16" i="16"/>
  <c r="BL16" i="16" s="1"/>
  <c r="BI16" i="16"/>
  <c r="BA16" i="16"/>
  <c r="BB16" i="16" s="1"/>
  <c r="AY16" i="16"/>
  <c r="AQ16" i="16"/>
  <c r="AR16" i="16" s="1"/>
  <c r="AO16" i="16"/>
  <c r="AH16" i="16"/>
  <c r="AG16" i="16"/>
  <c r="AE16" i="16"/>
  <c r="W16" i="16"/>
  <c r="X16" i="16" s="1"/>
  <c r="U16" i="16"/>
  <c r="M16" i="16"/>
  <c r="N16" i="16" s="1"/>
  <c r="K16" i="16"/>
  <c r="C16" i="16"/>
  <c r="D16" i="16" s="1"/>
  <c r="CC15" i="16"/>
  <c r="BU15" i="16"/>
  <c r="BV15" i="16" s="1"/>
  <c r="BS15" i="16"/>
  <c r="BL15" i="16"/>
  <c r="BK15" i="16"/>
  <c r="BI15" i="16"/>
  <c r="BB15" i="16"/>
  <c r="BA15" i="16"/>
  <c r="AY15" i="16"/>
  <c r="AR15" i="16"/>
  <c r="AQ15" i="16"/>
  <c r="AO15" i="16"/>
  <c r="AH15" i="16"/>
  <c r="AG15" i="16"/>
  <c r="AE15" i="16"/>
  <c r="W15" i="16"/>
  <c r="X15" i="16" s="1"/>
  <c r="U15" i="16"/>
  <c r="N15" i="16"/>
  <c r="M15" i="16"/>
  <c r="K15" i="16"/>
  <c r="C15" i="16"/>
  <c r="D15" i="16" s="1"/>
  <c r="CC14" i="16"/>
  <c r="BU14" i="16"/>
  <c r="BV14" i="16" s="1"/>
  <c r="BS14" i="16"/>
  <c r="BK14" i="16"/>
  <c r="BL14" i="16" s="1"/>
  <c r="BI14" i="16"/>
  <c r="BB14" i="16"/>
  <c r="BA14" i="16"/>
  <c r="AY14" i="16"/>
  <c r="AQ14" i="16"/>
  <c r="AR14" i="16" s="1"/>
  <c r="AO14" i="16"/>
  <c r="AH14" i="16"/>
  <c r="AG14" i="16"/>
  <c r="AE14" i="16"/>
  <c r="W14" i="16"/>
  <c r="X14" i="16" s="1"/>
  <c r="U14" i="16"/>
  <c r="M14" i="16"/>
  <c r="N14" i="16" s="1"/>
  <c r="K14" i="16"/>
  <c r="C14" i="16"/>
  <c r="D14" i="16" s="1"/>
  <c r="CC13" i="16"/>
  <c r="BU13" i="16"/>
  <c r="BV13" i="16" s="1"/>
  <c r="BS13" i="16"/>
  <c r="BL13" i="16"/>
  <c r="BK13" i="16"/>
  <c r="BI13" i="16"/>
  <c r="BB13" i="16"/>
  <c r="BA13" i="16"/>
  <c r="AY13" i="16"/>
  <c r="AR13" i="16"/>
  <c r="AQ13" i="16"/>
  <c r="AO13" i="16"/>
  <c r="AH13" i="16"/>
  <c r="AG13" i="16"/>
  <c r="AE13" i="16"/>
  <c r="W13" i="16"/>
  <c r="X13" i="16" s="1"/>
  <c r="U13" i="16"/>
  <c r="N13" i="16"/>
  <c r="M13" i="16"/>
  <c r="K13" i="16"/>
  <c r="C13" i="16"/>
  <c r="D13" i="16" s="1"/>
  <c r="CC12" i="16"/>
  <c r="BU12" i="16"/>
  <c r="BV12" i="16" s="1"/>
  <c r="BS12" i="16"/>
  <c r="BL12" i="16"/>
  <c r="BK12" i="16"/>
  <c r="BI12" i="16"/>
  <c r="BB12" i="16"/>
  <c r="BA12" i="16"/>
  <c r="AY12" i="16"/>
  <c r="AQ12" i="16"/>
  <c r="AR12" i="16" s="1"/>
  <c r="AO12" i="16"/>
  <c r="AH12" i="16"/>
  <c r="AG12" i="16"/>
  <c r="AE12" i="16"/>
  <c r="W12" i="16"/>
  <c r="X12" i="16" s="1"/>
  <c r="U12" i="16"/>
  <c r="U32" i="16" s="1"/>
  <c r="M12" i="16"/>
  <c r="N12" i="16" s="1"/>
  <c r="K12" i="16"/>
  <c r="C12" i="16"/>
  <c r="D12" i="16" s="1"/>
  <c r="CC11" i="16"/>
  <c r="CC32" i="16" s="1"/>
  <c r="BV11" i="16"/>
  <c r="BU11" i="16"/>
  <c r="BS11" i="16"/>
  <c r="BS32" i="16" s="1"/>
  <c r="BK11" i="16"/>
  <c r="BK32" i="16" s="1"/>
  <c r="BI11" i="16"/>
  <c r="BB11" i="16"/>
  <c r="BA11" i="16"/>
  <c r="AY11" i="16"/>
  <c r="AQ11" i="16"/>
  <c r="AR11" i="16" s="1"/>
  <c r="AO11" i="16"/>
  <c r="AH11" i="16"/>
  <c r="AG11" i="16"/>
  <c r="AG32" i="16" s="1"/>
  <c r="AE11" i="16"/>
  <c r="W11" i="16"/>
  <c r="X11" i="16" s="1"/>
  <c r="U11" i="16"/>
  <c r="M11" i="16"/>
  <c r="M32" i="16" s="1"/>
  <c r="K11" i="16"/>
  <c r="K32" i="16" s="1"/>
  <c r="K75" i="16" s="1"/>
  <c r="D11" i="16"/>
  <c r="C11" i="16"/>
  <c r="C32" i="16" s="1"/>
  <c r="U75" i="16" l="1"/>
  <c r="BS75" i="16"/>
  <c r="BK75" i="16"/>
  <c r="BL32" i="16"/>
  <c r="N32" i="16"/>
  <c r="I127" i="16"/>
  <c r="AS127" i="16"/>
  <c r="BL11" i="16"/>
  <c r="O75" i="16"/>
  <c r="BQ75" i="16"/>
  <c r="AR125" i="16"/>
  <c r="V127" i="16"/>
  <c r="P75" i="16"/>
  <c r="AS75" i="16"/>
  <c r="N36" i="16"/>
  <c r="BU32" i="16"/>
  <c r="AT75" i="16"/>
  <c r="BC75" i="16"/>
  <c r="AO48" i="16"/>
  <c r="AQ73" i="16"/>
  <c r="AR73" i="16" s="1"/>
  <c r="W73" i="16"/>
  <c r="X73" i="16" s="1"/>
  <c r="CB109" i="16"/>
  <c r="BB125" i="16"/>
  <c r="B127" i="16"/>
  <c r="O127" i="16"/>
  <c r="AV127" i="16"/>
  <c r="W48" i="16"/>
  <c r="X48" i="16" s="1"/>
  <c r="D125" i="16"/>
  <c r="BV125" i="16"/>
  <c r="AY32" i="16"/>
  <c r="AQ48" i="16"/>
  <c r="AR48" i="16" s="1"/>
  <c r="BU48" i="16"/>
  <c r="BV48" i="16" s="1"/>
  <c r="M73" i="16"/>
  <c r="N73" i="16" s="1"/>
  <c r="AO32" i="16"/>
  <c r="AO75" i="16" s="1"/>
  <c r="W32" i="16"/>
  <c r="CA75" i="16"/>
  <c r="AI127" i="16"/>
  <c r="N11" i="16"/>
  <c r="BJ75" i="16"/>
  <c r="BJ127" i="16" s="1"/>
  <c r="CC75" i="16"/>
  <c r="CC127" i="16" s="1"/>
  <c r="BT137" i="16" s="1"/>
  <c r="AK75" i="16"/>
  <c r="AK127" i="16" s="1"/>
  <c r="BE75" i="16"/>
  <c r="AR35" i="16"/>
  <c r="BV35" i="16"/>
  <c r="N51" i="16"/>
  <c r="AY73" i="16"/>
  <c r="AH73" i="16"/>
  <c r="U107" i="16"/>
  <c r="U109" i="16" s="1"/>
  <c r="U127" i="16" s="1"/>
  <c r="L137" i="16" s="1"/>
  <c r="BZ127" i="16"/>
  <c r="BR75" i="16"/>
  <c r="BR127" i="16" s="1"/>
  <c r="BJ136" i="16" s="1"/>
  <c r="L127" i="16"/>
  <c r="AJ127" i="16"/>
  <c r="BF127" i="16"/>
  <c r="CB127" i="16"/>
  <c r="BT136" i="16" s="1"/>
  <c r="D32" i="16"/>
  <c r="AL75" i="16"/>
  <c r="AY48" i="16"/>
  <c r="U73" i="16"/>
  <c r="BA73" i="16"/>
  <c r="BB73" i="16" s="1"/>
  <c r="W107" i="16"/>
  <c r="AY107" i="16"/>
  <c r="AY109" i="16" s="1"/>
  <c r="CC107" i="16"/>
  <c r="CC109" i="16" s="1"/>
  <c r="I109" i="16"/>
  <c r="BI75" i="16"/>
  <c r="AT127" i="16"/>
  <c r="BE127" i="16"/>
  <c r="CA127" i="16"/>
  <c r="AQ32" i="16"/>
  <c r="AF75" i="16"/>
  <c r="AF127" i="16" s="1"/>
  <c r="CB75" i="16"/>
  <c r="Y127" i="16"/>
  <c r="AU127" i="16"/>
  <c r="BQ127" i="16"/>
  <c r="AG75" i="16"/>
  <c r="AG127" i="16" s="1"/>
  <c r="AH32" i="16"/>
  <c r="AM75" i="16"/>
  <c r="BU89" i="16"/>
  <c r="BV89" i="16" s="1"/>
  <c r="X92" i="16"/>
  <c r="BB92" i="16"/>
  <c r="BA107" i="16"/>
  <c r="AG48" i="16"/>
  <c r="AH48" i="16" s="1"/>
  <c r="BB80" i="16"/>
  <c r="BA89" i="16"/>
  <c r="BB89" i="16" s="1"/>
  <c r="AH89" i="16"/>
  <c r="AH107" i="16"/>
  <c r="AG109" i="16"/>
  <c r="BK109" i="16"/>
  <c r="CA109" i="16"/>
  <c r="X112" i="16"/>
  <c r="W125" i="16"/>
  <c r="E127" i="16"/>
  <c r="P127" i="16"/>
  <c r="AA127" i="16"/>
  <c r="AL127" i="16"/>
  <c r="BH127" i="16"/>
  <c r="AZ136" i="16" s="1"/>
  <c r="BT127" i="16"/>
  <c r="BB51" i="16"/>
  <c r="C73" i="16"/>
  <c r="D73" i="16" s="1"/>
  <c r="D107" i="16"/>
  <c r="C109" i="16"/>
  <c r="Q109" i="16"/>
  <c r="AW109" i="16"/>
  <c r="AW127" i="16" s="1"/>
  <c r="AE127" i="16"/>
  <c r="V137" i="16" s="1"/>
  <c r="BI127" i="16"/>
  <c r="AZ137" i="16" s="1"/>
  <c r="F127" i="16"/>
  <c r="Q127" i="16"/>
  <c r="AB127" i="16"/>
  <c r="AX127" i="16"/>
  <c r="AP136" i="16" s="1"/>
  <c r="BW127" i="16"/>
  <c r="D35" i="16"/>
  <c r="K109" i="16"/>
  <c r="K127" i="16" s="1"/>
  <c r="B137" i="16" s="1"/>
  <c r="AO109" i="16"/>
  <c r="AO127" i="16" s="1"/>
  <c r="AF137" i="16" s="1"/>
  <c r="BS109" i="16"/>
  <c r="BS127" i="16" s="1"/>
  <c r="BJ137" i="16" s="1"/>
  <c r="G109" i="16"/>
  <c r="AM109" i="16"/>
  <c r="AM127" i="16" s="1"/>
  <c r="BI109" i="16"/>
  <c r="AH125" i="16"/>
  <c r="BL125" i="16"/>
  <c r="G127" i="16"/>
  <c r="R127" i="16"/>
  <c r="AC127" i="16"/>
  <c r="AN127" i="16"/>
  <c r="AF136" i="16" s="1"/>
  <c r="AZ127" i="16"/>
  <c r="BM127" i="16"/>
  <c r="BX127" i="16"/>
  <c r="AR107" i="16"/>
  <c r="AQ109" i="16"/>
  <c r="BU107" i="16"/>
  <c r="H127" i="16"/>
  <c r="S127" i="16"/>
  <c r="AD127" i="16"/>
  <c r="V136" i="16" s="1"/>
  <c r="AP127" i="16"/>
  <c r="BC127" i="16"/>
  <c r="BN127" i="16"/>
  <c r="BY127" i="16"/>
  <c r="M89" i="16"/>
  <c r="N89" i="16" s="1"/>
  <c r="M107" i="16"/>
  <c r="M125" i="16"/>
  <c r="AR112" i="16"/>
  <c r="D80" i="16"/>
  <c r="D92" i="16"/>
  <c r="D112" i="16"/>
  <c r="AY127" i="16" l="1"/>
  <c r="AP137" i="16" s="1"/>
  <c r="AP138" i="16" s="1"/>
  <c r="AH127" i="16"/>
  <c r="AF135" i="16"/>
  <c r="N125" i="16"/>
  <c r="N107" i="16"/>
  <c r="M109" i="16"/>
  <c r="BB107" i="16"/>
  <c r="BA109" i="16"/>
  <c r="BV107" i="16"/>
  <c r="BU109" i="16"/>
  <c r="BL109" i="16"/>
  <c r="V138" i="16"/>
  <c r="V141" i="16"/>
  <c r="BA75" i="16"/>
  <c r="AF142" i="16"/>
  <c r="AF141" i="16"/>
  <c r="AF138" i="16"/>
  <c r="M75" i="16"/>
  <c r="AQ75" i="16"/>
  <c r="AR32" i="16"/>
  <c r="BJ141" i="16"/>
  <c r="BJ138" i="16"/>
  <c r="B138" i="16"/>
  <c r="B141" i="16"/>
  <c r="L138" i="16"/>
  <c r="L141" i="16"/>
  <c r="X125" i="16"/>
  <c r="W127" i="16"/>
  <c r="BT141" i="16"/>
  <c r="BT138" i="16"/>
  <c r="AR109" i="16"/>
  <c r="AH109" i="16"/>
  <c r="AF144" i="16"/>
  <c r="C75" i="16"/>
  <c r="AY75" i="16"/>
  <c r="BV32" i="16"/>
  <c r="BU75" i="16"/>
  <c r="AZ141" i="16"/>
  <c r="AZ138" i="16"/>
  <c r="W109" i="16"/>
  <c r="X107" i="16"/>
  <c r="AH75" i="16"/>
  <c r="AF143" i="16"/>
  <c r="BK127" i="16"/>
  <c r="D109" i="16"/>
  <c r="BL75" i="16"/>
  <c r="X32" i="16"/>
  <c r="W75" i="16"/>
  <c r="AP141" i="16"/>
  <c r="AR75" i="16" l="1"/>
  <c r="AQ127" i="16"/>
  <c r="N109" i="16"/>
  <c r="D75" i="16"/>
  <c r="C127" i="16"/>
  <c r="V135" i="16"/>
  <c r="X127" i="16"/>
  <c r="N75" i="16"/>
  <c r="M127" i="16"/>
  <c r="V144" i="16"/>
  <c r="X109" i="16"/>
  <c r="BV109" i="16"/>
  <c r="BU127" i="16"/>
  <c r="BB75" i="16"/>
  <c r="BB109" i="16"/>
  <c r="BA127" i="16"/>
  <c r="BJ135" i="16"/>
  <c r="BL127" i="16"/>
  <c r="BJ142" i="16"/>
  <c r="AF147" i="16"/>
  <c r="AF146" i="16"/>
  <c r="AF145" i="16"/>
  <c r="AF148" i="16"/>
  <c r="V143" i="16"/>
  <c r="X75" i="16"/>
  <c r="AF139" i="16"/>
  <c r="BV75" i="16"/>
  <c r="V142" i="16"/>
  <c r="BJ147" i="16" l="1"/>
  <c r="BJ146" i="16"/>
  <c r="BJ145" i="16"/>
  <c r="BJ148" i="16"/>
  <c r="BJ143" i="16"/>
  <c r="BJ139" i="16"/>
  <c r="BJ144" i="16"/>
  <c r="AZ135" i="16"/>
  <c r="BB127" i="16"/>
  <c r="AZ142" i="16"/>
  <c r="D127" i="16"/>
  <c r="B135" i="16"/>
  <c r="B142" i="16"/>
  <c r="L135" i="16"/>
  <c r="N127" i="16"/>
  <c r="L142" i="16"/>
  <c r="AR127" i="16"/>
  <c r="AP135" i="16"/>
  <c r="AP142" i="16"/>
  <c r="BV127" i="16"/>
  <c r="BT135" i="16"/>
  <c r="BT142" i="16"/>
  <c r="V147" i="16"/>
  <c r="V146" i="16"/>
  <c r="V145" i="16"/>
  <c r="V139" i="16"/>
  <c r="V148" i="16"/>
  <c r="AZ147" i="16" l="1"/>
  <c r="AZ146" i="16"/>
  <c r="AZ145" i="16"/>
  <c r="AZ148" i="16"/>
  <c r="AZ139" i="16"/>
  <c r="AZ143" i="16"/>
  <c r="AZ144" i="16"/>
  <c r="L147" i="16"/>
  <c r="L146" i="16"/>
  <c r="L145" i="16"/>
  <c r="L139" i="16"/>
  <c r="L148" i="16"/>
  <c r="L143" i="16"/>
  <c r="L144" i="16"/>
  <c r="BT147" i="16"/>
  <c r="BT146" i="16"/>
  <c r="BT145" i="16"/>
  <c r="BT148" i="16"/>
  <c r="BT139" i="16"/>
  <c r="BT143" i="16"/>
  <c r="BT144" i="16"/>
  <c r="AP147" i="16"/>
  <c r="AP146" i="16"/>
  <c r="AP145" i="16"/>
  <c r="AP148" i="16"/>
  <c r="AP144" i="16"/>
  <c r="AP139" i="16"/>
  <c r="AP143" i="16"/>
  <c r="B147" i="16"/>
  <c r="B146" i="16"/>
  <c r="B145" i="16"/>
  <c r="B148" i="16"/>
  <c r="B139" i="16"/>
  <c r="B144" i="16"/>
  <c r="B143" i="16"/>
  <c r="AA50" i="15" l="1"/>
  <c r="Y50" i="15"/>
  <c r="W50" i="15"/>
  <c r="U50" i="15"/>
  <c r="S50" i="15"/>
  <c r="Q50" i="15"/>
  <c r="O50" i="15"/>
  <c r="M50" i="15"/>
  <c r="K50" i="15"/>
  <c r="I50" i="15"/>
  <c r="G50" i="15"/>
  <c r="E50" i="15"/>
  <c r="AI41" i="15"/>
  <c r="AO31" i="15"/>
  <c r="AN31" i="15"/>
  <c r="AM31" i="15"/>
  <c r="AL31" i="15"/>
  <c r="AK31" i="15"/>
  <c r="AJ31" i="15"/>
  <c r="AI31" i="15"/>
  <c r="AH31" i="15"/>
  <c r="AG31" i="15"/>
  <c r="AF31" i="15"/>
  <c r="AE31" i="15"/>
  <c r="AD31" i="15"/>
  <c r="AO27" i="15"/>
  <c r="AN27" i="15"/>
  <c r="AM27" i="15"/>
  <c r="AL27" i="15"/>
  <c r="AF27" i="15"/>
  <c r="AE27" i="15"/>
  <c r="AD27" i="15"/>
  <c r="AK18" i="15"/>
  <c r="AK27" i="15" s="1"/>
  <c r="AJ18" i="15"/>
  <c r="AJ27" i="15" s="1"/>
  <c r="AI18" i="15"/>
  <c r="AI27" i="15" s="1"/>
  <c r="AH18" i="15"/>
  <c r="AH27" i="15" s="1"/>
  <c r="AG18" i="15"/>
  <c r="AG27" i="15" s="1"/>
  <c r="AF18" i="15"/>
  <c r="AE18" i="15"/>
  <c r="AN53" i="14" l="1"/>
  <c r="AK53" i="14"/>
  <c r="AH53" i="14"/>
  <c r="AE53" i="14"/>
  <c r="AA53" i="14"/>
  <c r="U53" i="14"/>
  <c r="BC52" i="14"/>
  <c r="AT52" i="14"/>
  <c r="AB52" i="14"/>
  <c r="AA52" i="14"/>
  <c r="R52" i="14"/>
  <c r="O52" i="14"/>
  <c r="L52" i="14"/>
  <c r="AK50" i="14"/>
  <c r="AE50" i="14"/>
  <c r="AB49" i="14"/>
  <c r="AA49" i="14"/>
  <c r="AB48" i="14"/>
  <c r="AA48" i="14"/>
  <c r="AB47" i="14"/>
  <c r="AA47" i="14"/>
  <c r="AB46" i="14"/>
  <c r="AA46" i="14"/>
  <c r="AB45" i="14"/>
  <c r="AA45" i="14"/>
  <c r="AT44" i="14"/>
  <c r="AA44" i="14"/>
  <c r="BP41" i="14"/>
  <c r="BP54" i="14" s="1"/>
  <c r="BT40" i="14"/>
  <c r="BR40" i="14"/>
  <c r="BP40" i="14"/>
  <c r="BN40" i="14"/>
  <c r="BJ40" i="14"/>
  <c r="BF40" i="14"/>
  <c r="BC40" i="14"/>
  <c r="AZ40" i="14"/>
  <c r="AQ40" i="14"/>
  <c r="AN40" i="14"/>
  <c r="U40" i="14"/>
  <c r="R40" i="14"/>
  <c r="O40" i="14"/>
  <c r="L40" i="14"/>
  <c r="I40" i="14"/>
  <c r="F40" i="14"/>
  <c r="BJ39" i="14"/>
  <c r="BH39" i="14"/>
  <c r="BH40" i="14" s="1"/>
  <c r="BC39" i="14"/>
  <c r="AW39" i="14"/>
  <c r="AW40" i="14" s="1"/>
  <c r="AW41" i="14" s="1"/>
  <c r="AW54" i="14" s="1"/>
  <c r="AT39" i="14"/>
  <c r="AT40" i="14" s="1"/>
  <c r="AN39" i="14"/>
  <c r="AK39" i="14"/>
  <c r="AK40" i="14" s="1"/>
  <c r="AH39" i="14"/>
  <c r="AE39" i="14"/>
  <c r="AA39" i="14"/>
  <c r="X39" i="14"/>
  <c r="R39" i="14"/>
  <c r="AB36" i="14"/>
  <c r="AA36" i="14"/>
  <c r="AB35" i="14"/>
  <c r="AA35" i="14"/>
  <c r="AB34" i="14"/>
  <c r="AA34" i="14"/>
  <c r="AB33" i="14"/>
  <c r="AA33" i="14"/>
  <c r="AB32" i="14"/>
  <c r="AA32" i="14"/>
  <c r="AA40" i="14" s="1"/>
  <c r="BL30" i="14"/>
  <c r="BL40" i="14" s="1"/>
  <c r="X29" i="14"/>
  <c r="AH28" i="14"/>
  <c r="X28" i="14"/>
  <c r="AB28" i="14" s="1"/>
  <c r="X27" i="14"/>
  <c r="AB27" i="14" s="1"/>
  <c r="AE27" i="14" s="1"/>
  <c r="AH27" i="14" s="1"/>
  <c r="X26" i="14"/>
  <c r="AB26" i="14" s="1"/>
  <c r="AE26" i="14" s="1"/>
  <c r="AH26" i="14" s="1"/>
  <c r="X25" i="14"/>
  <c r="X40" i="14" s="1"/>
  <c r="BT22" i="14"/>
  <c r="BR22" i="14"/>
  <c r="BP22" i="14"/>
  <c r="BN22" i="14"/>
  <c r="BL22" i="14"/>
  <c r="BF22" i="14"/>
  <c r="BF41" i="14" s="1"/>
  <c r="BF54" i="14" s="1"/>
  <c r="BC22" i="14"/>
  <c r="AZ22" i="14"/>
  <c r="AW22" i="14"/>
  <c r="AT22" i="14"/>
  <c r="AN22" i="14"/>
  <c r="AK22" i="14"/>
  <c r="U22" i="14"/>
  <c r="R22" i="14"/>
  <c r="O22" i="14"/>
  <c r="L22" i="14"/>
  <c r="L41" i="14" s="1"/>
  <c r="L54" i="14" s="1"/>
  <c r="I22" i="14"/>
  <c r="F22" i="14"/>
  <c r="AB21" i="14"/>
  <c r="AE21" i="14" s="1"/>
  <c r="AH21" i="14" s="1"/>
  <c r="AA21" i="14"/>
  <c r="X21" i="14"/>
  <c r="X22" i="14" s="1"/>
  <c r="AH20" i="14"/>
  <c r="AE20" i="14"/>
  <c r="AB20" i="14"/>
  <c r="AA20" i="14"/>
  <c r="AB16" i="14"/>
  <c r="AB22" i="14" s="1"/>
  <c r="AA16" i="14"/>
  <c r="AA22" i="14" s="1"/>
  <c r="AA41" i="14" s="1"/>
  <c r="AA54" i="14" s="1"/>
  <c r="BJ15" i="14"/>
  <c r="BJ22" i="14" s="1"/>
  <c r="BH15" i="14"/>
  <c r="BH22" i="14" s="1"/>
  <c r="AQ15" i="14"/>
  <c r="AQ22" i="14" s="1"/>
  <c r="AK15" i="14"/>
  <c r="AE15" i="14"/>
  <c r="AE22" i="14" s="1"/>
  <c r="BT13" i="14"/>
  <c r="BT41" i="14" s="1"/>
  <c r="BT54" i="14" s="1"/>
  <c r="BR13" i="14"/>
  <c r="BR41" i="14" s="1"/>
  <c r="BR54" i="14" s="1"/>
  <c r="BP13" i="14"/>
  <c r="BJ13" i="14"/>
  <c r="BJ41" i="14" s="1"/>
  <c r="BJ54" i="14" s="1"/>
  <c r="BF13" i="14"/>
  <c r="AZ13" i="14"/>
  <c r="AZ41" i="14" s="1"/>
  <c r="AZ54" i="14" s="1"/>
  <c r="AW13" i="14"/>
  <c r="AN13" i="14"/>
  <c r="AN41" i="14" s="1"/>
  <c r="AN54" i="14" s="1"/>
  <c r="AH13" i="14"/>
  <c r="AE13" i="14"/>
  <c r="AB13" i="14"/>
  <c r="AA13" i="14"/>
  <c r="X13" i="14"/>
  <c r="U13" i="14"/>
  <c r="U41" i="14" s="1"/>
  <c r="U54" i="14" s="1"/>
  <c r="R13" i="14"/>
  <c r="R41" i="14" s="1"/>
  <c r="R54" i="14" s="1"/>
  <c r="O13" i="14"/>
  <c r="O41" i="14" s="1"/>
  <c r="O54" i="14" s="1"/>
  <c r="L13" i="14"/>
  <c r="I13" i="14"/>
  <c r="I41" i="14" s="1"/>
  <c r="I54" i="14" s="1"/>
  <c r="F13" i="14"/>
  <c r="F41" i="14" s="1"/>
  <c r="F54" i="14" s="1"/>
  <c r="BC12" i="14"/>
  <c r="BC13" i="14" s="1"/>
  <c r="BC41" i="14" s="1"/>
  <c r="BC54" i="14" s="1"/>
  <c r="AW12" i="14"/>
  <c r="AT12" i="14"/>
  <c r="AT13" i="14" s="1"/>
  <c r="AQ12" i="14"/>
  <c r="AQ13" i="14" s="1"/>
  <c r="AQ41" i="14" s="1"/>
  <c r="AQ54" i="14" s="1"/>
  <c r="AN12" i="14"/>
  <c r="AA12" i="14"/>
  <c r="R12" i="14"/>
  <c r="BP11" i="14"/>
  <c r="BN11" i="14"/>
  <c r="BN13" i="14" s="1"/>
  <c r="BN41" i="14" s="1"/>
  <c r="BN54" i="14" s="1"/>
  <c r="BL11" i="14"/>
  <c r="BL13" i="14" s="1"/>
  <c r="BL41" i="14" s="1"/>
  <c r="BL54" i="14" s="1"/>
  <c r="BJ11" i="14"/>
  <c r="BH11" i="14"/>
  <c r="BH13" i="14" s="1"/>
  <c r="BH41" i="14" s="1"/>
  <c r="BH54" i="14" s="1"/>
  <c r="AK11" i="14"/>
  <c r="AK13" i="14" s="1"/>
  <c r="AK41" i="14" s="1"/>
  <c r="AK54" i="14" s="1"/>
  <c r="BJ10" i="14"/>
  <c r="AT41" i="14" l="1"/>
  <c r="AT54" i="14" s="1"/>
  <c r="AH22" i="14"/>
  <c r="X41" i="14"/>
  <c r="X54" i="14" s="1"/>
  <c r="AB25" i="14"/>
  <c r="AB40" i="14" l="1"/>
  <c r="AB41" i="14" s="1"/>
  <c r="AB54" i="14" s="1"/>
  <c r="AE25" i="14"/>
  <c r="AH25" i="14" l="1"/>
  <c r="AH40" i="14" s="1"/>
  <c r="AH41" i="14" s="1"/>
  <c r="AH54" i="14" s="1"/>
  <c r="AE40" i="14"/>
  <c r="AE41" i="14" s="1"/>
  <c r="AE54" i="14" s="1"/>
</calcChain>
</file>

<file path=xl/sharedStrings.xml><?xml version="1.0" encoding="utf-8"?>
<sst xmlns="http://schemas.openxmlformats.org/spreadsheetml/2006/main" count="983" uniqueCount="262">
  <si>
    <t>University of Nebraska</t>
  </si>
  <si>
    <t>Cash Fund Revenue Summary (State-Aided)</t>
  </si>
  <si>
    <r>
      <t xml:space="preserve">Institution: </t>
    </r>
    <r>
      <rPr>
        <b/>
        <u/>
        <sz val="12"/>
        <rFont val="Times New Roman"/>
        <family val="1"/>
      </rPr>
      <t>University of Nebraska at Kearney</t>
    </r>
  </si>
  <si>
    <t>Actual</t>
  </si>
  <si>
    <t>FY 1999-2000</t>
  </si>
  <si>
    <t>FY 2000-01</t>
  </si>
  <si>
    <t>FY 2001-02</t>
  </si>
  <si>
    <t>FY 2002-03</t>
  </si>
  <si>
    <t>FY 2003-04</t>
  </si>
  <si>
    <t>FY 2004-05</t>
  </si>
  <si>
    <t>FY 2005-06</t>
  </si>
  <si>
    <t>FY 2007-08</t>
  </si>
  <si>
    <t>FY 2008-09</t>
  </si>
  <si>
    <t>FY 2009-10</t>
  </si>
  <si>
    <t>FY 2011-12</t>
  </si>
  <si>
    <t>FY 2012-13</t>
  </si>
  <si>
    <t>FY 2013-14</t>
  </si>
  <si>
    <t>FY 2014-15</t>
  </si>
  <si>
    <t>FY 2015-16</t>
  </si>
  <si>
    <t>FY 2016-17</t>
  </si>
  <si>
    <t>FY 2017-18</t>
  </si>
  <si>
    <t>FY 2018-19</t>
  </si>
  <si>
    <t>Tuition Income</t>
  </si>
  <si>
    <t>Gross Tuition</t>
  </si>
  <si>
    <t xml:space="preserve">$ </t>
  </si>
  <si>
    <t>Less Need-based Remissions/Scholarship</t>
  </si>
  <si>
    <t>Less Non-need-based Remissions/Scholarship</t>
  </si>
  <si>
    <t>Less Refunds and Uncollectibles</t>
  </si>
  <si>
    <t>Net Tuition</t>
  </si>
  <si>
    <t>Student Fees</t>
  </si>
  <si>
    <t>Application Fees</t>
  </si>
  <si>
    <t>Registration Processing</t>
  </si>
  <si>
    <t>Late Payment</t>
  </si>
  <si>
    <t>Late Registration</t>
  </si>
  <si>
    <t>Graduation Processing</t>
  </si>
  <si>
    <t>International Student</t>
  </si>
  <si>
    <t>Miscellaneous Student Fees</t>
  </si>
  <si>
    <t>Subtotal Student Fees</t>
  </si>
  <si>
    <t>Other Income</t>
  </si>
  <si>
    <t>Administrative Service Charge:</t>
  </si>
  <si>
    <t>Administrative Overhead</t>
  </si>
  <si>
    <t>Cigarette Tax</t>
  </si>
  <si>
    <t>Endowment Income</t>
  </si>
  <si>
    <t>Indirect Cost Reimbursement:</t>
  </si>
  <si>
    <t>Gross</t>
  </si>
  <si>
    <t>Less Research Incentive Allocation</t>
  </si>
  <si>
    <t>Investment Income</t>
  </si>
  <si>
    <t>Library Services and Fees (a)</t>
  </si>
  <si>
    <t>Rental of Facilities (a)</t>
  </si>
  <si>
    <t>Student Record Transcripts</t>
  </si>
  <si>
    <t>Voc. Ed. Reimb./Patent &amp; Royalty Income</t>
  </si>
  <si>
    <t>SSAP/SAP/NE State Grant</t>
  </si>
  <si>
    <t>SSAP/SAP/NSG Tuition Income Offset</t>
  </si>
  <si>
    <t>Other</t>
  </si>
  <si>
    <t>Subtotal Other</t>
  </si>
  <si>
    <t>GROSS REVENUE</t>
  </si>
  <si>
    <t>Net Change in Encumbrances</t>
  </si>
  <si>
    <t>Research Incentive Allocation</t>
  </si>
  <si>
    <t>Plant Fund Transfer</t>
  </si>
  <si>
    <t>Tobacco Settlement</t>
  </si>
  <si>
    <t xml:space="preserve">     Tobacco Settlement - Designated</t>
  </si>
  <si>
    <t>Patient Revenue</t>
  </si>
  <si>
    <t xml:space="preserve">     Patient Revenue - Designated</t>
  </si>
  <si>
    <t>Patient Revenue Investment Income</t>
  </si>
  <si>
    <t>Revenue Transfers - OWW</t>
  </si>
  <si>
    <t>LB 1100/605 Debt Service</t>
  </si>
  <si>
    <t>Cash Fund Revenue Adjustment</t>
  </si>
  <si>
    <t>TOTAL AVAILABLE REVENUE</t>
  </si>
  <si>
    <t>FY 2019-20</t>
  </si>
  <si>
    <t>FY 2006-07</t>
  </si>
  <si>
    <t>FY 2010-11</t>
  </si>
  <si>
    <t>FY 2020-21</t>
  </si>
  <si>
    <t>2015-16</t>
  </si>
  <si>
    <t>2016-17</t>
  </si>
  <si>
    <t>2017-18</t>
  </si>
  <si>
    <t>2018-19</t>
  </si>
  <si>
    <t>2019-20</t>
  </si>
  <si>
    <t>FUNDING BY SOURCE</t>
  </si>
  <si>
    <t>PROGRAM DESCRIPTION</t>
  </si>
  <si>
    <t>Headcount</t>
  </si>
  <si>
    <t>Total Value</t>
  </si>
  <si>
    <t>Average Award</t>
  </si>
  <si>
    <t>Tuition Waivers</t>
  </si>
  <si>
    <t>Institution</t>
  </si>
  <si>
    <t>State</t>
  </si>
  <si>
    <t>Federal</t>
  </si>
  <si>
    <t>Amount to Nebraska Residents</t>
  </si>
  <si>
    <t>ACADEMIC AID</t>
  </si>
  <si>
    <t>(1) Need Based</t>
  </si>
  <si>
    <t>ACE</t>
  </si>
  <si>
    <t>ACE Plus</t>
  </si>
  <si>
    <t>College Bound Nebraska</t>
  </si>
  <si>
    <t>Federal Direct Subsidized</t>
  </si>
  <si>
    <t>Federal Pell Grant</t>
  </si>
  <si>
    <t>Federal Perkins Loan (National Direct Student Loan)</t>
  </si>
  <si>
    <t>Federal Supplemental Education Opportunity Grant (FSEOG)</t>
  </si>
  <si>
    <t>Nebraska Opportunity Grant (NOG)</t>
  </si>
  <si>
    <t>Need Based Aid - UG (UNK NEED GRANT)</t>
  </si>
  <si>
    <t>Davis/Chambers Scholarship</t>
  </si>
  <si>
    <t>Susan Thompson Buffett Foundation</t>
  </si>
  <si>
    <t>University of Nebraska Tuition Assistance Grants (UTAG)</t>
  </si>
  <si>
    <t>UNK Tuition Support</t>
  </si>
  <si>
    <t>Insert rows above here by copying row above and Insert Copied Cells</t>
  </si>
  <si>
    <t xml:space="preserve">    Subtotal Need Based</t>
  </si>
  <si>
    <t>(2) Ability Based</t>
  </si>
  <si>
    <t>Foundation Aid (merit-based)</t>
  </si>
  <si>
    <t>Honors Scholarships</t>
  </si>
  <si>
    <t>Nebraska Legacy Scholarship</t>
  </si>
  <si>
    <t xml:space="preserve">Other Academic Merit </t>
  </si>
  <si>
    <t>Regents' Special Aid (includes MVP)</t>
  </si>
  <si>
    <t>State Tuition Remissions for Non-Resident Students (aggregated)</t>
  </si>
  <si>
    <t xml:space="preserve">    Subtotal Ability Based</t>
  </si>
  <si>
    <t>(3) Membership Based</t>
  </si>
  <si>
    <t>Cooperating School (includes TE899, Teaching Excellence, Early Childhood)</t>
  </si>
  <si>
    <t>Dependent (non-spouse) Waivers</t>
  </si>
  <si>
    <t>Foreign Students and Laspau</t>
  </si>
  <si>
    <t>Kiewit Educators Opportunity Fund</t>
  </si>
  <si>
    <t>Military Reserves</t>
  </si>
  <si>
    <t>National Guard</t>
  </si>
  <si>
    <t>OMA Scholarships</t>
  </si>
  <si>
    <t>Post 9-11 GI Bill Tuition/Fees</t>
  </si>
  <si>
    <t>ROTC</t>
  </si>
  <si>
    <t>Spouse Waivers</t>
  </si>
  <si>
    <t>Staff Waivers</t>
  </si>
  <si>
    <t>Veterans Waivers (Yellow Ribbon)</t>
  </si>
  <si>
    <t>War Orphans</t>
  </si>
  <si>
    <t xml:space="preserve">Law Enforcement/Line of Duty </t>
  </si>
  <si>
    <t xml:space="preserve">    Subtotal Membership Based</t>
  </si>
  <si>
    <t xml:space="preserve">    TOTAL ACADEMIC AID</t>
  </si>
  <si>
    <t>AID FOR SERVICE</t>
  </si>
  <si>
    <t>Federal Workstudy Program</t>
  </si>
  <si>
    <t>Vocational Rehabilitation Grant</t>
  </si>
  <si>
    <t>Workforce Development</t>
  </si>
  <si>
    <t>Campus Employment</t>
  </si>
  <si>
    <t>Graduate Assistants</t>
  </si>
  <si>
    <t>Men's Athletics</t>
  </si>
  <si>
    <t>Music Excellence Awards</t>
  </si>
  <si>
    <t>Nonresident G.A. Waivers</t>
  </si>
  <si>
    <t>Residence Hall Assistants</t>
  </si>
  <si>
    <t>Special Activity Grants</t>
  </si>
  <si>
    <t>Women's Athletics</t>
  </si>
  <si>
    <t xml:space="preserve">    TOTAL AID FOR SERVICE</t>
  </si>
  <si>
    <t>Other Aid</t>
  </si>
  <si>
    <t>Early Admissions/Dual Enrollment</t>
  </si>
  <si>
    <t>Federal Direct Unsubsidized</t>
  </si>
  <si>
    <t>Federal Graduate PLUS</t>
  </si>
  <si>
    <t>Federal PLUS</t>
  </si>
  <si>
    <t>Federal TEACH Grant</t>
  </si>
  <si>
    <t>Go Army Ed</t>
  </si>
  <si>
    <t xml:space="preserve">    Subtotal Other Aid</t>
  </si>
  <si>
    <t xml:space="preserve">    GRAND TOTAL ACADEMIC AID, AID FOR SERVICE, OTHER AID</t>
  </si>
  <si>
    <t>DATA CALCULATIONS</t>
  </si>
  <si>
    <t xml:space="preserve"> 1.  Total institutional headcount</t>
  </si>
  <si>
    <t xml:space="preserve"> 2.  Number of students participating in financial aid programs</t>
  </si>
  <si>
    <t xml:space="preserve"> 3.  Number of students receiving more than one aid</t>
  </si>
  <si>
    <t xml:space="preserve"> 4.  % of total institutional headcount receiving aid</t>
  </si>
  <si>
    <t xml:space="preserve"> 5.  Number of Nebraska residents receiving financial aid</t>
  </si>
  <si>
    <t xml:space="preserve"> 6.  % participation by Nebraska residents</t>
  </si>
  <si>
    <t xml:space="preserve"> 8.  Amount received by Nebraska residents</t>
  </si>
  <si>
    <t>RATE/UNIT</t>
  </si>
  <si>
    <t>TOTAL REVENUE</t>
  </si>
  <si>
    <t>2013-14</t>
  </si>
  <si>
    <t>2014-15</t>
  </si>
  <si>
    <t>2020-21</t>
  </si>
  <si>
    <t>2021-22</t>
  </si>
  <si>
    <t>2022-23</t>
  </si>
  <si>
    <t>TYPE OF FEE</t>
  </si>
  <si>
    <t>REVENUE CLASS</t>
  </si>
  <si>
    <t>PCS SUB. PRO.</t>
  </si>
  <si>
    <t>Rate</t>
  </si>
  <si>
    <t>Unit</t>
  </si>
  <si>
    <t>MANDATORY FEES</t>
  </si>
  <si>
    <t>Academic Success</t>
  </si>
  <si>
    <t>UnresAuxOprt</t>
  </si>
  <si>
    <t>SCH</t>
  </si>
  <si>
    <t>Collegiate Readership</t>
  </si>
  <si>
    <t>Restrct</t>
  </si>
  <si>
    <t>SEM</t>
  </si>
  <si>
    <t>DSC</t>
  </si>
  <si>
    <t>Diversity &amp; Inclusion/Multicultural Affairs</t>
  </si>
  <si>
    <t>Facility</t>
  </si>
  <si>
    <t>Health Services</t>
  </si>
  <si>
    <t>ID Card</t>
  </si>
  <si>
    <t>Library Enhancement</t>
  </si>
  <si>
    <t>Student Activity</t>
  </si>
  <si>
    <t>Student Event Activity</t>
  </si>
  <si>
    <t>Student Records</t>
  </si>
  <si>
    <t>Technology Fee</t>
  </si>
  <si>
    <t>UG Research Fellows Program</t>
  </si>
  <si>
    <t>Union Renovation</t>
  </si>
  <si>
    <t>Wellness Center</t>
  </si>
  <si>
    <t>Insert rows above here</t>
  </si>
  <si>
    <t>x</t>
  </si>
  <si>
    <t>OTHER FEES AND CHARGES</t>
  </si>
  <si>
    <t>Admission</t>
  </si>
  <si>
    <t>UnresGen</t>
  </si>
  <si>
    <t>EACH</t>
  </si>
  <si>
    <t>Automobile</t>
  </si>
  <si>
    <t>YEAR</t>
  </si>
  <si>
    <t>Board</t>
  </si>
  <si>
    <t>Graduate Admission</t>
  </si>
  <si>
    <t>Graduation</t>
  </si>
  <si>
    <t>Placement (Sr Registration)</t>
  </si>
  <si>
    <t>Room</t>
  </si>
  <si>
    <t>Exclude Career Fair Registrations from Placement (Sr Registration)</t>
  </si>
  <si>
    <t>2012-13</t>
  </si>
  <si>
    <t>Select Calendar</t>
  </si>
  <si>
    <t>Unduplicated Headcount</t>
  </si>
  <si>
    <t>Student Credit Hours</t>
  </si>
  <si>
    <t>Student Contact Hours</t>
  </si>
  <si>
    <t>FTE</t>
  </si>
  <si>
    <t>Semester</t>
  </si>
  <si>
    <t>Student Level</t>
  </si>
  <si>
    <t>Residency</t>
  </si>
  <si>
    <t>Undergraduate</t>
  </si>
  <si>
    <t>Resident</t>
  </si>
  <si>
    <t>Non-Resident</t>
  </si>
  <si>
    <t>Subtotal</t>
  </si>
  <si>
    <t>Graduate</t>
  </si>
  <si>
    <t>First-Professional</t>
  </si>
  <si>
    <t>Total</t>
  </si>
  <si>
    <t>Less:</t>
  </si>
  <si>
    <t>Refunds</t>
  </si>
  <si>
    <t>Remissions/Waivers</t>
  </si>
  <si>
    <t>Net Tuition Income</t>
  </si>
  <si>
    <r>
      <t xml:space="preserve">Of </t>
    </r>
    <r>
      <rPr>
        <b/>
        <u/>
        <sz val="12"/>
        <color rgb="FFFF0000"/>
        <rFont val="Arial"/>
        <family val="2"/>
      </rPr>
      <t>undergraduate</t>
    </r>
    <r>
      <rPr>
        <b/>
        <sz val="12"/>
        <color rgb="FFFF0000"/>
        <rFont val="Arial"/>
        <family val="2"/>
      </rPr>
      <t xml:space="preserve"> students reported above:</t>
    </r>
  </si>
  <si>
    <t>Preparatory/
Remedial</t>
  </si>
  <si>
    <t>Dual Enrollment</t>
  </si>
  <si>
    <t xml:space="preserve">Per President Bounds, effective 2018-19, dual enrollment students are no longer included in headcount enrollment. </t>
  </si>
  <si>
    <t>Total Mandatory Fees Revenue</t>
  </si>
  <si>
    <t>Resident Mandatory Fees Revenue</t>
  </si>
  <si>
    <t>Non-resident Mandatory Fees Revenue</t>
  </si>
  <si>
    <t>FY 2021-22</t>
  </si>
  <si>
    <t>Tuition Waivers to Nebraska Residents</t>
  </si>
  <si>
    <t xml:space="preserve"> 7.  Total dollar value of financial aid</t>
  </si>
  <si>
    <t xml:space="preserve"> 9.  Amount of Tuition Waivers received by Nebraska residents</t>
  </si>
  <si>
    <t>10.  Amount of Tuition Waivers received by non-Nebraska residents</t>
  </si>
  <si>
    <t>11.  % of total dollar amount received by Nebraska residents</t>
  </si>
  <si>
    <t>12.  Gross tuition income less refunds</t>
  </si>
  <si>
    <t>13.  % gross tuition income remitted to students</t>
  </si>
  <si>
    <t>14.  % remissions is of Grand Total of all aid</t>
  </si>
  <si>
    <t>15.  % Academic Aid is of Grand Total of all aid</t>
  </si>
  <si>
    <t>16.  % Aid for Service is of Grand Total of all aid</t>
  </si>
  <si>
    <t>17.  % Need Based Aid is of Grand Total of all aid</t>
  </si>
  <si>
    <t>18.  % Ability Based Aid is of Grand Total of all aid</t>
  </si>
  <si>
    <t>19.  % Aid Based on Membership is of Grand Total of all aid</t>
  </si>
  <si>
    <t>20. % Other Academic Aid as a Grand Total of All Aid</t>
  </si>
  <si>
    <t>2023-24</t>
  </si>
  <si>
    <t>2024-25</t>
  </si>
  <si>
    <t>FY 2022-23</t>
  </si>
  <si>
    <t>Nebraska Promise Grant</t>
  </si>
  <si>
    <t>Freshmen Room/Board Waivers</t>
  </si>
  <si>
    <t>Office of Diversity and Inclusion Scholarships</t>
  </si>
  <si>
    <t>Estimate</t>
  </si>
  <si>
    <t>The Wellness Center Fee began to be split between two cost centers in FY15. Historic revenues for FY15, FY16, FY17, FY19, FY19, FY20 and FY21 were restated to include 5344208100 and 5344208101.</t>
  </si>
  <si>
    <t>FY 2023-24</t>
  </si>
  <si>
    <t>Refunds in the amount of $939,364 are allocated to Gross Tuition as per the 2022 Supplemental Forms Instructions</t>
  </si>
  <si>
    <t>Careers Scholarship</t>
  </si>
  <si>
    <t>Teacher Academy</t>
  </si>
  <si>
    <t>Deferred Remission - UG student</t>
  </si>
  <si>
    <t>FY 2024-25</t>
  </si>
  <si>
    <t>Refunds in the amount of $1,189,468 are allocated to Gross Tuition as per the 2022 change to the Supplemental 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</si>
</sst>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3" formatCode="_(* #,##0.00_);_(* \(#,##0.00\);_(* &quot;-&quot;??_);_(@_)"/>
    <numFmt numFmtId="164" formatCode="_(* #,##0_);_(* \(#,##0\);_(* &quot;-&quot;??_);_(@_)"/>
    <numFmt numFmtId="165" formatCode="&quot;$&quot;#,##0"/>
    <numFmt numFmtId="166" formatCode="0.0%"/>
    <numFmt numFmtId="167" formatCode="#,##0.0"/>
    <numFmt numFmtId="168" formatCode="&quot;$&quot;#,##0.00"/>
  </numFmts>
  <fonts count="45" x14ac:knownFonts="1">
    <font>
      <sz val="11"/>
      <color theme="1"/>
      <name val="Calibri"/>
      <family val="2"/>
      <scheme val="minor"/>
    </font>
    <font>
      <sz val="8"/>
      <name val="Times New Roman"/>
      <family val="1"/>
    </font>
    <font>
      <sz val="10"/>
      <name val="Times New Roman"/>
      <family val="1"/>
    </font>
    <font>
      <b/>
      <sz val="14"/>
      <name val="Times New Roman"/>
      <family val="1"/>
    </font>
    <font>
      <b/>
      <sz val="12"/>
      <name val="Times New Roman"/>
      <family val="1"/>
    </font>
    <font>
      <b/>
      <u/>
      <sz val="12"/>
      <name val="Times New Roman"/>
      <family val="1"/>
    </font>
    <font>
      <i/>
      <sz val="10"/>
      <name val="Times New Roman"/>
      <family val="1"/>
    </font>
    <font>
      <b/>
      <sz val="10"/>
      <name val="Times New Roman"/>
      <family val="1"/>
    </font>
    <font>
      <u/>
      <sz val="10"/>
      <name val="Times New Roman"/>
      <family val="1"/>
    </font>
    <font>
      <sz val="10"/>
      <color indexed="10"/>
      <name val="Times New Roman"/>
      <family val="1"/>
    </font>
    <font>
      <b/>
      <u/>
      <sz val="9"/>
      <name val="Times New Roman"/>
      <family val="1"/>
    </font>
    <font>
      <sz val="9"/>
      <name val="Times New Roman"/>
      <family val="1"/>
    </font>
    <font>
      <sz val="10"/>
      <name val="Arial"/>
      <family val="2"/>
    </font>
    <font>
      <sz val="11"/>
      <color theme="1"/>
      <name val="Calibri"/>
      <family val="2"/>
      <scheme val="minor"/>
    </font>
    <font>
      <b/>
      <sz val="11"/>
      <color theme="1"/>
      <name val="Calibri"/>
      <family val="2"/>
      <scheme val="minor"/>
    </font>
    <font>
      <sz val="11"/>
      <color theme="0"/>
      <name val="Calibri"/>
      <family val="2"/>
      <scheme val="minor"/>
    </font>
    <font>
      <b/>
      <sz val="14"/>
      <name val="Arial"/>
      <family val="2"/>
    </font>
    <font>
      <b/>
      <sz val="16"/>
      <name val="Arial"/>
      <family val="2"/>
    </font>
    <font>
      <sz val="14"/>
      <color rgb="FF000000"/>
      <name val="Arial"/>
      <family val="2"/>
    </font>
    <font>
      <b/>
      <sz val="10"/>
      <name val="Arial"/>
      <family val="2"/>
    </font>
    <font>
      <sz val="11"/>
      <color rgb="FF000000"/>
      <name val="Arial"/>
      <family val="2"/>
    </font>
    <font>
      <b/>
      <sz val="10"/>
      <color rgb="FF000000"/>
      <name val="Arial"/>
      <family val="2"/>
    </font>
    <font>
      <sz val="11"/>
      <color theme="1"/>
      <name val="Arial"/>
      <family val="2"/>
    </font>
    <font>
      <sz val="10"/>
      <color theme="1"/>
      <name val="Arial"/>
      <family val="2"/>
    </font>
    <font>
      <sz val="14"/>
      <color theme="1"/>
      <name val="Arial"/>
      <family val="2"/>
    </font>
    <font>
      <b/>
      <u/>
      <sz val="10"/>
      <name val="Arial"/>
      <family val="2"/>
    </font>
    <font>
      <b/>
      <sz val="8"/>
      <color rgb="FFFF0000"/>
      <name val="Calibri Light"/>
      <family val="1"/>
      <scheme val="major"/>
    </font>
    <font>
      <b/>
      <sz val="14"/>
      <color theme="1"/>
      <name val="Arial"/>
      <family val="2"/>
    </font>
    <font>
      <b/>
      <sz val="10"/>
      <color theme="1"/>
      <name val="Arial"/>
      <family val="2"/>
    </font>
    <font>
      <b/>
      <sz val="11"/>
      <color theme="1"/>
      <name val="Arial"/>
      <family val="2"/>
    </font>
    <font>
      <sz val="11"/>
      <color theme="1"/>
      <name val="Calibri"/>
      <family val="2"/>
    </font>
    <font>
      <b/>
      <sz val="11"/>
      <name val="Arial"/>
      <family val="2"/>
    </font>
    <font>
      <sz val="11"/>
      <name val="Arial"/>
      <family val="2"/>
    </font>
    <font>
      <b/>
      <sz val="8"/>
      <color rgb="FFFF0000"/>
      <name val="Arial"/>
      <family val="2"/>
    </font>
    <font>
      <sz val="11"/>
      <color theme="9" tint="-0.249977111117893"/>
      <name val="Arial"/>
      <family val="2"/>
    </font>
    <font>
      <sz val="11"/>
      <color theme="9" tint="-0.249977111117893"/>
      <name val="Calibri"/>
      <family val="2"/>
      <scheme val="minor"/>
    </font>
    <font>
      <sz val="10"/>
      <color theme="0"/>
      <name val="Arial"/>
      <family val="2"/>
    </font>
    <font>
      <b/>
      <u/>
      <sz val="11"/>
      <color theme="1"/>
      <name val="Calibri"/>
      <family val="2"/>
      <scheme val="minor"/>
    </font>
    <font>
      <b/>
      <sz val="16"/>
      <color rgb="FF000000"/>
      <name val="Calibri"/>
      <family val="2"/>
    </font>
    <font>
      <sz val="12"/>
      <color rgb="FF000000"/>
      <name val="Arial"/>
      <family val="2"/>
    </font>
    <font>
      <b/>
      <sz val="12"/>
      <name val="Arial"/>
      <family val="2"/>
    </font>
    <font>
      <b/>
      <sz val="12"/>
      <color rgb="FFFF0000"/>
      <name val="Arial"/>
      <family val="2"/>
    </font>
    <font>
      <b/>
      <u/>
      <sz val="12"/>
      <color rgb="FFFF0000"/>
      <name val="Arial"/>
      <family val="2"/>
    </font>
    <font>
      <sz val="9"/>
      <color theme="1"/>
      <name val="Arial"/>
      <family val="2"/>
    </font>
    <font>
      <sz val="12"/>
      <name val="Times New Roman"/>
      <family val="1"/>
    </font>
  </fonts>
  <fills count="3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C5D9F1"/>
        <bgColor rgb="FF000000"/>
      </patternFill>
    </fill>
    <fill>
      <patternFill patternType="solid">
        <fgColor rgb="FFEBF1DE"/>
        <bgColor rgb="FF000000"/>
      </patternFill>
    </fill>
    <fill>
      <patternFill patternType="solid">
        <fgColor rgb="FFFDE9D9"/>
        <bgColor rgb="FF000000"/>
      </patternFill>
    </fill>
    <fill>
      <patternFill patternType="solid">
        <fgColor rgb="FFE4DFEC"/>
        <bgColor rgb="FF000000"/>
      </patternFill>
    </fill>
    <fill>
      <patternFill patternType="solid">
        <fgColor rgb="FFF1DBE3"/>
        <bgColor rgb="FF000000"/>
      </patternFill>
    </fill>
    <fill>
      <patternFill patternType="solid">
        <fgColor theme="0" tint="-0.14999847407452621"/>
        <bgColor indexed="64"/>
      </patternFill>
    </fill>
    <fill>
      <patternFill patternType="solid">
        <fgColor rgb="FFFFFFFF"/>
        <bgColor rgb="FFFFFFFF"/>
      </patternFill>
    </fill>
    <fill>
      <patternFill patternType="solid">
        <fgColor rgb="FFF2DCDB"/>
        <bgColor rgb="FFFFFFFF"/>
      </patternFill>
    </fill>
    <fill>
      <patternFill patternType="solid">
        <fgColor rgb="FFDDD9C4"/>
        <bgColor rgb="FFFFFFFF"/>
      </patternFill>
    </fill>
    <fill>
      <patternFill patternType="solid">
        <fgColor rgb="FFC5D9F1"/>
        <bgColor rgb="FFFFFFFF"/>
      </patternFill>
    </fill>
    <fill>
      <patternFill patternType="solid">
        <fgColor rgb="FFEBF1DE"/>
        <bgColor rgb="FFFFFFFF"/>
      </patternFill>
    </fill>
    <fill>
      <patternFill patternType="solid">
        <fgColor rgb="FFFDE9D9"/>
        <bgColor rgb="FFFFFFFF"/>
      </patternFill>
    </fill>
    <fill>
      <patternFill patternType="solid">
        <fgColor rgb="FFE4DFEC"/>
        <bgColor rgb="FFFFFFFF"/>
      </patternFill>
    </fill>
    <fill>
      <patternFill patternType="solid">
        <fgColor rgb="FFF2DCDB"/>
        <bgColor rgb="FF000000"/>
      </patternFill>
    </fill>
    <fill>
      <patternFill patternType="solid">
        <fgColor rgb="FFDDD9C4"/>
        <bgColor rgb="FF000000"/>
      </patternFill>
    </fill>
    <fill>
      <patternFill patternType="solid">
        <fgColor indexed="9"/>
        <bgColor indexed="9"/>
      </patternFill>
    </fill>
    <fill>
      <patternFill patternType="solid">
        <fgColor theme="5" tint="0.79998168889431442"/>
        <bgColor indexed="9"/>
      </patternFill>
    </fill>
    <fill>
      <patternFill patternType="solid">
        <fgColor theme="1"/>
        <bgColor indexed="64"/>
      </patternFill>
    </fill>
    <fill>
      <patternFill patternType="solid">
        <fgColor theme="3" tint="0.79998168889431442"/>
        <bgColor indexed="64"/>
      </patternFill>
    </fill>
    <fill>
      <patternFill patternType="solid">
        <fgColor theme="7" tint="0.79998168889431442"/>
        <bgColor rgb="FF000000"/>
      </patternFill>
    </fill>
    <fill>
      <patternFill patternType="solid">
        <fgColor theme="5" tint="0.79998168889431442"/>
        <bgColor rgb="FFFFFFFF"/>
      </patternFill>
    </fill>
    <fill>
      <patternFill patternType="solid">
        <fgColor rgb="FFEADCF4"/>
        <bgColor rgb="FFFFFFFF"/>
      </patternFill>
    </fill>
    <fill>
      <patternFill patternType="solid">
        <fgColor rgb="FFEADCF4"/>
        <bgColor rgb="FF000000"/>
      </patternFill>
    </fill>
    <fill>
      <patternFill patternType="solid">
        <fgColor theme="5" tint="0.79998168889431442"/>
        <bgColor rgb="FF000000"/>
      </patternFill>
    </fill>
    <fill>
      <patternFill patternType="solid">
        <fgColor theme="4" tint="0.59999389629810485"/>
        <bgColor rgb="FF000000"/>
      </patternFill>
    </fill>
    <fill>
      <patternFill patternType="solid">
        <fgColor theme="9" tint="0.79998168889431442"/>
        <bgColor rgb="FF000000"/>
      </patternFill>
    </fill>
    <fill>
      <patternFill patternType="solid">
        <fgColor rgb="FFFFFF00"/>
        <bgColor indexed="64"/>
      </patternFill>
    </fill>
  </fills>
  <borders count="57">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auto="1"/>
      </right>
      <top style="medium">
        <color indexed="64"/>
      </top>
      <bottom style="thin">
        <color auto="1"/>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ck">
        <color indexed="64"/>
      </right>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9">
    <xf numFmtId="0" fontId="0" fillId="0" borderId="0"/>
    <xf numFmtId="37" fontId="1" fillId="0" borderId="0"/>
    <xf numFmtId="0" fontId="12" fillId="0" borderId="0"/>
    <xf numFmtId="9" fontId="12" fillId="0" borderId="0" applyFont="0" applyFill="0" applyBorder="0" applyAlignment="0" applyProtection="0"/>
    <xf numFmtId="43" fontId="13" fillId="0" borderId="0" applyFont="0" applyFill="0" applyBorder="0" applyAlignment="0" applyProtection="0"/>
    <xf numFmtId="37" fontId="1" fillId="0" borderId="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503">
    <xf numFmtId="0" fontId="0" fillId="0" borderId="0" xfId="0"/>
    <xf numFmtId="37" fontId="2" fillId="0" borderId="0" xfId="1" applyFont="1"/>
    <xf numFmtId="37" fontId="2" fillId="0" borderId="0" xfId="1" applyFont="1" applyAlignment="1">
      <alignment horizontal="centerContinuous"/>
    </xf>
    <xf numFmtId="37" fontId="2" fillId="0" borderId="0" xfId="1" applyFont="1" applyAlignment="1" applyProtection="1">
      <alignment horizontal="center"/>
      <protection locked="0"/>
    </xf>
    <xf numFmtId="37" fontId="2" fillId="2" borderId="0" xfId="1" applyFont="1" applyFill="1"/>
    <xf numFmtId="37" fontId="2" fillId="3" borderId="0" xfId="1" applyFont="1" applyFill="1"/>
    <xf numFmtId="37" fontId="2" fillId="2" borderId="1" xfId="1" applyFont="1" applyFill="1" applyBorder="1"/>
    <xf numFmtId="37" fontId="7" fillId="0" borderId="0" xfId="1" applyFont="1"/>
    <xf numFmtId="37" fontId="10" fillId="0" borderId="0" xfId="1" applyFont="1"/>
    <xf numFmtId="37" fontId="11" fillId="0" borderId="0" xfId="1" applyFont="1"/>
    <xf numFmtId="37" fontId="2" fillId="0" borderId="0" xfId="5" applyFont="1"/>
    <xf numFmtId="165" fontId="23" fillId="0" borderId="0" xfId="0" applyNumberFormat="1" applyFont="1" applyAlignment="1" applyProtection="1">
      <alignment horizontal="right" indent="1"/>
      <protection locked="0"/>
    </xf>
    <xf numFmtId="3" fontId="23" fillId="0" borderId="0" xfId="0" applyNumberFormat="1" applyFont="1" applyAlignment="1" applyProtection="1">
      <alignment horizontal="right" indent="1"/>
      <protection locked="0"/>
    </xf>
    <xf numFmtId="3" fontId="12" fillId="0" borderId="1" xfId="0" applyNumberFormat="1" applyFont="1" applyBorder="1" applyAlignment="1" applyProtection="1">
      <alignment horizontal="right" vertical="center" indent="1"/>
      <protection locked="0"/>
    </xf>
    <xf numFmtId="165" fontId="12" fillId="0" borderId="1" xfId="0" applyNumberFormat="1" applyFont="1" applyBorder="1" applyAlignment="1" applyProtection="1">
      <alignment horizontal="right" vertical="center" indent="1"/>
      <protection locked="0"/>
    </xf>
    <xf numFmtId="166" fontId="12" fillId="10" borderId="16" xfId="3" applyNumberFormat="1" applyFont="1" applyFill="1" applyBorder="1" applyAlignment="1" applyProtection="1">
      <alignment horizontal="right" vertical="center" indent="1"/>
    </xf>
    <xf numFmtId="166" fontId="12" fillId="10" borderId="1" xfId="3" applyNumberFormat="1" applyFont="1" applyFill="1" applyBorder="1" applyAlignment="1" applyProtection="1">
      <alignment horizontal="right" vertical="center" indent="1"/>
    </xf>
    <xf numFmtId="0" fontId="32" fillId="0" borderId="9" xfId="0" applyFont="1" applyBorder="1" applyProtection="1">
      <protection locked="0"/>
    </xf>
    <xf numFmtId="4" fontId="32" fillId="0" borderId="9" xfId="0" applyNumberFormat="1" applyFont="1" applyBorder="1" applyAlignment="1" applyProtection="1">
      <alignment horizontal="right" indent="1"/>
      <protection locked="0"/>
    </xf>
    <xf numFmtId="165" fontId="32" fillId="0" borderId="9" xfId="0" applyNumberFormat="1" applyFont="1" applyBorder="1" applyProtection="1">
      <protection locked="0"/>
    </xf>
    <xf numFmtId="0" fontId="32" fillId="0" borderId="9" xfId="0" applyFont="1" applyBorder="1" applyAlignment="1" applyProtection="1">
      <alignment horizontal="left" indent="1"/>
      <protection locked="0"/>
    </xf>
    <xf numFmtId="43" fontId="22" fillId="20" borderId="9" xfId="4" applyFont="1" applyFill="1" applyBorder="1" applyAlignment="1" applyProtection="1">
      <alignment horizontal="right" indent="1"/>
    </xf>
    <xf numFmtId="0" fontId="0" fillId="20" borderId="9" xfId="0" applyFill="1" applyBorder="1" applyAlignment="1" applyProtection="1">
      <alignment horizontal="right" indent="1"/>
      <protection locked="0"/>
    </xf>
    <xf numFmtId="3" fontId="22" fillId="0" borderId="42" xfId="0" applyNumberFormat="1" applyFont="1" applyBorder="1" applyProtection="1">
      <protection locked="0"/>
    </xf>
    <xf numFmtId="167" fontId="22" fillId="0" borderId="9" xfId="0" applyNumberFormat="1" applyFont="1" applyBorder="1" applyProtection="1">
      <protection locked="0"/>
    </xf>
    <xf numFmtId="165" fontId="22" fillId="0" borderId="43" xfId="4" applyNumberFormat="1" applyFont="1" applyFill="1" applyBorder="1" applyProtection="1"/>
    <xf numFmtId="165" fontId="22" fillId="0" borderId="43" xfId="4" applyNumberFormat="1" applyFont="1" applyFill="1" applyBorder="1" applyProtection="1">
      <protection locked="0"/>
    </xf>
    <xf numFmtId="165" fontId="22" fillId="0" borderId="21" xfId="4" applyNumberFormat="1" applyFont="1" applyFill="1" applyBorder="1" applyProtection="1"/>
    <xf numFmtId="165" fontId="22" fillId="0" borderId="43" xfId="0" applyNumberFormat="1" applyFont="1" applyBorder="1" applyProtection="1">
      <protection locked="0"/>
    </xf>
    <xf numFmtId="165" fontId="43" fillId="0" borderId="43" xfId="4" applyNumberFormat="1" applyFont="1" applyFill="1" applyBorder="1" applyProtection="1"/>
    <xf numFmtId="168" fontId="22" fillId="20" borderId="9" xfId="4" applyNumberFormat="1" applyFont="1" applyFill="1" applyBorder="1" applyAlignment="1" applyProtection="1">
      <alignment horizontal="right" indent="1"/>
    </xf>
    <xf numFmtId="168" fontId="0" fillId="20" borderId="9" xfId="4" applyNumberFormat="1" applyFont="1" applyFill="1" applyBorder="1" applyAlignment="1" applyProtection="1">
      <alignment horizontal="right" indent="1"/>
    </xf>
    <xf numFmtId="37" fontId="4" fillId="0" borderId="0" xfId="1" applyFont="1" applyProtection="1">
      <protection locked="0"/>
    </xf>
    <xf numFmtId="37" fontId="44" fillId="0" borderId="0" xfId="1" applyFont="1"/>
    <xf numFmtId="37" fontId="3" fillId="0" borderId="0" xfId="1" applyFont="1" applyAlignment="1" applyProtection="1">
      <alignment horizontal="centerContinuous"/>
      <protection locked="0"/>
    </xf>
    <xf numFmtId="37" fontId="4" fillId="0" borderId="0" xfId="1" applyFont="1"/>
    <xf numFmtId="37" fontId="6" fillId="0" borderId="0" xfId="1" quotePrefix="1" applyFont="1" applyAlignment="1" applyProtection="1">
      <alignment horizontal="left"/>
      <protection locked="0"/>
    </xf>
    <xf numFmtId="37" fontId="7" fillId="0" borderId="0" xfId="1" applyFont="1" applyAlignment="1">
      <alignment horizontal="centerContinuous"/>
    </xf>
    <xf numFmtId="37" fontId="2" fillId="0" borderId="0" xfId="1" quotePrefix="1" applyFont="1" applyAlignment="1">
      <alignment horizontal="left"/>
    </xf>
    <xf numFmtId="37" fontId="7" fillId="0" borderId="0" xfId="1" applyFont="1" applyAlignment="1">
      <alignment horizontal="center"/>
    </xf>
    <xf numFmtId="43" fontId="7" fillId="0" borderId="0" xfId="6" applyFont="1" applyAlignment="1">
      <alignment horizontal="center"/>
    </xf>
    <xf numFmtId="164" fontId="7" fillId="0" borderId="0" xfId="6" applyNumberFormat="1" applyFont="1" applyAlignment="1">
      <alignment horizontal="center"/>
    </xf>
    <xf numFmtId="37" fontId="7" fillId="2" borderId="0" xfId="1" applyFont="1" applyFill="1" applyAlignment="1">
      <alignment horizontal="center"/>
    </xf>
    <xf numFmtId="43" fontId="2" fillId="0" borderId="0" xfId="6" applyFont="1"/>
    <xf numFmtId="164" fontId="2" fillId="0" borderId="0" xfId="6" applyNumberFormat="1" applyFont="1"/>
    <xf numFmtId="37" fontId="2" fillId="0" borderId="0" xfId="1" applyFont="1" applyAlignment="1">
      <alignment horizontal="right"/>
    </xf>
    <xf numFmtId="37" fontId="2" fillId="0" borderId="0" xfId="1" quotePrefix="1" applyFont="1"/>
    <xf numFmtId="164" fontId="2" fillId="3" borderId="0" xfId="6" applyNumberFormat="1" applyFont="1" applyFill="1"/>
    <xf numFmtId="37" fontId="8" fillId="0" borderId="0" xfId="1" applyFont="1"/>
    <xf numFmtId="37" fontId="2" fillId="0" borderId="1" xfId="1" applyFont="1" applyBorder="1"/>
    <xf numFmtId="164" fontId="2" fillId="0" borderId="1" xfId="6" applyNumberFormat="1" applyFont="1" applyBorder="1"/>
    <xf numFmtId="37" fontId="9" fillId="0" borderId="0" xfId="1" applyFont="1"/>
    <xf numFmtId="37" fontId="7" fillId="0" borderId="0" xfId="1" applyFont="1" applyAlignment="1">
      <alignment horizontal="right"/>
    </xf>
    <xf numFmtId="37" fontId="7" fillId="0" borderId="2" xfId="1" applyFont="1" applyBorder="1"/>
    <xf numFmtId="164" fontId="7" fillId="0" borderId="2" xfId="6" applyNumberFormat="1" applyFont="1" applyBorder="1"/>
    <xf numFmtId="37" fontId="7" fillId="2" borderId="2" xfId="1" applyFont="1" applyFill="1" applyBorder="1"/>
    <xf numFmtId="0" fontId="12" fillId="0" borderId="6" xfId="0" applyFont="1" applyBorder="1" applyProtection="1">
      <protection locked="0"/>
    </xf>
    <xf numFmtId="165" fontId="0" fillId="0" borderId="0" xfId="0" applyNumberFormat="1"/>
    <xf numFmtId="0" fontId="38" fillId="0" borderId="0" xfId="0" applyFont="1"/>
    <xf numFmtId="0" fontId="39" fillId="0" borderId="0" xfId="0" applyFont="1"/>
    <xf numFmtId="0" fontId="30" fillId="0" borderId="0" xfId="0" applyFont="1"/>
    <xf numFmtId="0" fontId="29" fillId="21" borderId="0" xfId="0" applyFont="1" applyFill="1"/>
    <xf numFmtId="0" fontId="22" fillId="21" borderId="22" xfId="0" applyFont="1" applyFill="1" applyBorder="1"/>
    <xf numFmtId="0" fontId="22" fillId="20" borderId="0" xfId="0" applyFont="1" applyFill="1"/>
    <xf numFmtId="0" fontId="19" fillId="20" borderId="0" xfId="0" applyFont="1" applyFill="1"/>
    <xf numFmtId="0" fontId="22" fillId="20" borderId="1" xfId="0" applyFont="1" applyFill="1" applyBorder="1"/>
    <xf numFmtId="3" fontId="22" fillId="0" borderId="42" xfId="0" applyNumberFormat="1" applyFont="1" applyBorder="1"/>
    <xf numFmtId="167" fontId="22" fillId="0" borderId="9" xfId="0" applyNumberFormat="1" applyFont="1" applyBorder="1"/>
    <xf numFmtId="167" fontId="22" fillId="22" borderId="9" xfId="0" applyNumberFormat="1" applyFont="1" applyFill="1" applyBorder="1"/>
    <xf numFmtId="167" fontId="22" fillId="10" borderId="9" xfId="0" applyNumberFormat="1" applyFont="1" applyFill="1" applyBorder="1"/>
    <xf numFmtId="0" fontId="19" fillId="20" borderId="1" xfId="0" applyFont="1" applyFill="1" applyBorder="1"/>
    <xf numFmtId="3" fontId="22" fillId="10" borderId="42" xfId="0" applyNumberFormat="1" applyFont="1" applyFill="1" applyBorder="1"/>
    <xf numFmtId="165" fontId="22" fillId="10" borderId="9" xfId="0" applyNumberFormat="1" applyFont="1" applyFill="1" applyBorder="1"/>
    <xf numFmtId="0" fontId="22" fillId="0" borderId="0" xfId="0" applyFont="1" applyAlignment="1">
      <alignment horizontal="center" vertical="center"/>
    </xf>
    <xf numFmtId="0" fontId="19" fillId="0" borderId="0" xfId="0" applyFont="1"/>
    <xf numFmtId="3" fontId="22" fillId="0" borderId="24" xfId="0" applyNumberFormat="1" applyFont="1" applyBorder="1"/>
    <xf numFmtId="167" fontId="22" fillId="0" borderId="0" xfId="0" applyNumberFormat="1" applyFont="1"/>
    <xf numFmtId="167" fontId="43" fillId="0" borderId="0" xfId="0" applyNumberFormat="1" applyFont="1"/>
    <xf numFmtId="3" fontId="43" fillId="0" borderId="24" xfId="0" applyNumberFormat="1" applyFont="1" applyBorder="1"/>
    <xf numFmtId="0" fontId="22" fillId="20" borderId="11" xfId="0" applyFont="1" applyFill="1" applyBorder="1"/>
    <xf numFmtId="3" fontId="22" fillId="0" borderId="9" xfId="0" applyNumberFormat="1" applyFont="1" applyBorder="1"/>
    <xf numFmtId="0" fontId="19" fillId="20" borderId="11" xfId="0" applyFont="1" applyFill="1" applyBorder="1"/>
    <xf numFmtId="0" fontId="32" fillId="0" borderId="0" xfId="0" applyFont="1"/>
    <xf numFmtId="165" fontId="22" fillId="0" borderId="0" xfId="0" applyNumberFormat="1" applyFont="1"/>
    <xf numFmtId="3" fontId="22" fillId="0" borderId="0" xfId="0" applyNumberFormat="1" applyFont="1"/>
    <xf numFmtId="165" fontId="22" fillId="0" borderId="21" xfId="0" applyNumberFormat="1" applyFont="1" applyBorder="1"/>
    <xf numFmtId="0" fontId="31" fillId="0" borderId="0" xfId="0" applyFont="1" applyAlignment="1">
      <alignment horizontal="left" indent="2"/>
    </xf>
    <xf numFmtId="165" fontId="22" fillId="0" borderId="9" xfId="0" applyNumberFormat="1" applyFont="1" applyBorder="1"/>
    <xf numFmtId="165" fontId="22" fillId="0" borderId="43" xfId="0" applyNumberFormat="1" applyFont="1" applyBorder="1"/>
    <xf numFmtId="165" fontId="22" fillId="10" borderId="43" xfId="0" applyNumberFormat="1" applyFont="1" applyFill="1" applyBorder="1"/>
    <xf numFmtId="0" fontId="0" fillId="23" borderId="0" xfId="0" applyFill="1"/>
    <xf numFmtId="3" fontId="0" fillId="23" borderId="24" xfId="0" applyNumberFormat="1" applyFill="1" applyBorder="1"/>
    <xf numFmtId="165" fontId="0" fillId="23" borderId="0" xfId="0" applyNumberFormat="1" applyFill="1"/>
    <xf numFmtId="3" fontId="0" fillId="23" borderId="0" xfId="0" applyNumberFormat="1" applyFill="1"/>
    <xf numFmtId="165" fontId="0" fillId="23" borderId="21" xfId="0" applyNumberFormat="1" applyFill="1" applyBorder="1"/>
    <xf numFmtId="3" fontId="0" fillId="0" borderId="24" xfId="0" applyNumberFormat="1" applyBorder="1"/>
    <xf numFmtId="3" fontId="0" fillId="0" borderId="0" xfId="0" applyNumberFormat="1"/>
    <xf numFmtId="165" fontId="0" fillId="0" borderId="21" xfId="0" applyNumberFormat="1" applyBorder="1"/>
    <xf numFmtId="165" fontId="22" fillId="22" borderId="9" xfId="0" applyNumberFormat="1" applyFont="1" applyFill="1" applyBorder="1"/>
    <xf numFmtId="165" fontId="22" fillId="22" borderId="43" xfId="0" applyNumberFormat="1" applyFont="1" applyFill="1" applyBorder="1"/>
    <xf numFmtId="3" fontId="22" fillId="10" borderId="9" xfId="0" applyNumberFormat="1" applyFont="1" applyFill="1" applyBorder="1"/>
    <xf numFmtId="0" fontId="0" fillId="0" borderId="1" xfId="0" applyBorder="1"/>
    <xf numFmtId="3" fontId="0" fillId="0" borderId="44" xfId="0" applyNumberFormat="1" applyBorder="1"/>
    <xf numFmtId="165" fontId="0" fillId="0" borderId="1" xfId="0" applyNumberFormat="1" applyBorder="1"/>
    <xf numFmtId="3" fontId="0" fillId="0" borderId="1" xfId="0" applyNumberFormat="1" applyBorder="1"/>
    <xf numFmtId="165" fontId="0" fillId="0" borderId="45" xfId="0" applyNumberFormat="1" applyBorder="1"/>
    <xf numFmtId="167" fontId="0" fillId="0" borderId="1" xfId="0" applyNumberFormat="1" applyBorder="1"/>
    <xf numFmtId="0" fontId="22" fillId="20" borderId="0" xfId="0" applyFont="1" applyFill="1" applyAlignment="1">
      <alignment horizontal="center" vertical="center"/>
    </xf>
    <xf numFmtId="0" fontId="29" fillId="0" borderId="0" xfId="0" applyFont="1"/>
    <xf numFmtId="165" fontId="29" fillId="0" borderId="0" xfId="0" applyNumberFormat="1" applyFont="1"/>
    <xf numFmtId="0" fontId="22" fillId="0" borderId="0" xfId="0" applyFont="1"/>
    <xf numFmtId="0" fontId="30" fillId="11" borderId="0" xfId="0" applyFont="1" applyFill="1" applyAlignment="1">
      <alignment wrapText="1"/>
    </xf>
    <xf numFmtId="0" fontId="19" fillId="11" borderId="0" xfId="0" applyFont="1" applyFill="1" applyAlignment="1">
      <alignment wrapText="1"/>
    </xf>
    <xf numFmtId="0" fontId="19" fillId="11" borderId="21" xfId="0" applyFont="1" applyFill="1" applyBorder="1" applyAlignment="1">
      <alignment horizontal="center" wrapText="1"/>
    </xf>
    <xf numFmtId="0" fontId="19" fillId="0" borderId="23" xfId="0" applyFont="1" applyBorder="1" applyAlignment="1">
      <alignment horizontal="center" vertical="center" wrapText="1"/>
    </xf>
    <xf numFmtId="0" fontId="30" fillId="11" borderId="24" xfId="0" applyFont="1" applyFill="1" applyBorder="1" applyAlignment="1">
      <alignment wrapText="1"/>
    </xf>
    <xf numFmtId="0" fontId="19" fillId="11" borderId="0" xfId="0" applyFont="1" applyFill="1" applyAlignment="1">
      <alignment horizontal="center"/>
    </xf>
    <xf numFmtId="0" fontId="30" fillId="11" borderId="28" xfId="0" applyFont="1" applyFill="1" applyBorder="1" applyAlignment="1">
      <alignment wrapText="1"/>
    </xf>
    <xf numFmtId="0" fontId="30" fillId="11" borderId="29" xfId="0" applyFont="1" applyFill="1" applyBorder="1" applyAlignment="1">
      <alignment wrapText="1"/>
    </xf>
    <xf numFmtId="0" fontId="19" fillId="11" borderId="28" xfId="0" applyFont="1" applyFill="1" applyBorder="1"/>
    <xf numFmtId="0" fontId="19" fillId="11" borderId="29" xfId="0" applyFont="1" applyFill="1" applyBorder="1"/>
    <xf numFmtId="0" fontId="19" fillId="11" borderId="30" xfId="0" applyFont="1" applyFill="1" applyBorder="1"/>
    <xf numFmtId="0" fontId="30" fillId="11" borderId="24" xfId="0" applyFont="1" applyFill="1" applyBorder="1"/>
    <xf numFmtId="0" fontId="30" fillId="11" borderId="0" xfId="0" applyFont="1" applyFill="1"/>
    <xf numFmtId="0" fontId="31" fillId="11" borderId="25" xfId="0" applyFont="1" applyFill="1" applyBorder="1" applyAlignment="1">
      <alignment horizontal="center" vertical="center" wrapText="1"/>
    </xf>
    <xf numFmtId="0" fontId="19" fillId="11" borderId="26" xfId="0" applyFont="1" applyFill="1" applyBorder="1" applyAlignment="1">
      <alignment horizontal="center" vertical="center" wrapText="1"/>
    </xf>
    <xf numFmtId="0" fontId="19" fillId="11" borderId="31" xfId="0" applyFont="1" applyFill="1" applyBorder="1" applyAlignment="1">
      <alignment horizontal="center" vertical="center"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19" fillId="11" borderId="0" xfId="0" applyFont="1" applyFill="1" applyAlignment="1">
      <alignment horizontal="center" vertical="center" wrapText="1"/>
    </xf>
    <xf numFmtId="0" fontId="19" fillId="18" borderId="22" xfId="0" applyFont="1" applyFill="1" applyBorder="1" applyAlignment="1">
      <alignment horizontal="center" vertical="center" wrapText="1"/>
    </xf>
    <xf numFmtId="0" fontId="19" fillId="19" borderId="22" xfId="0" applyFont="1" applyFill="1" applyBorder="1" applyAlignment="1">
      <alignment horizontal="center" vertical="center" wrapText="1"/>
    </xf>
    <xf numFmtId="0" fontId="19" fillId="5" borderId="22"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8" borderId="22" xfId="0" applyFont="1" applyFill="1" applyBorder="1" applyAlignment="1">
      <alignment horizontal="center" vertical="center" wrapText="1"/>
    </xf>
    <xf numFmtId="0" fontId="19" fillId="28" borderId="22" xfId="0" applyFont="1" applyFill="1" applyBorder="1" applyAlignment="1">
      <alignment horizontal="center" vertical="center" wrapText="1"/>
    </xf>
    <xf numFmtId="0" fontId="19" fillId="27" borderId="22" xfId="0" applyFont="1" applyFill="1" applyBorder="1" applyAlignment="1">
      <alignment horizontal="center" vertical="center" wrapText="1"/>
    </xf>
    <xf numFmtId="0" fontId="30" fillId="11" borderId="0" xfId="0" applyFont="1" applyFill="1" applyAlignment="1">
      <alignment horizontal="center" vertical="center" wrapText="1"/>
    </xf>
    <xf numFmtId="0" fontId="30" fillId="11" borderId="0" xfId="0" applyFont="1" applyFill="1" applyAlignment="1">
      <alignment horizontal="center" vertical="center"/>
    </xf>
    <xf numFmtId="0" fontId="31" fillId="0" borderId="32" xfId="0" applyFont="1" applyBorder="1"/>
    <xf numFmtId="0" fontId="32" fillId="0" borderId="0" xfId="0" applyFont="1" applyAlignment="1">
      <alignment horizontal="center"/>
    </xf>
    <xf numFmtId="4" fontId="32" fillId="0" borderId="33" xfId="0" applyNumberFormat="1" applyFont="1" applyBorder="1"/>
    <xf numFmtId="0" fontId="32" fillId="0" borderId="9" xfId="0" applyFont="1" applyBorder="1" applyAlignment="1">
      <alignment horizontal="left" indent="1"/>
    </xf>
    <xf numFmtId="0" fontId="32" fillId="0" borderId="9" xfId="0" applyFont="1" applyBorder="1"/>
    <xf numFmtId="0" fontId="32" fillId="0" borderId="9" xfId="0" applyFont="1" applyBorder="1" applyAlignment="1">
      <alignment horizontal="center"/>
    </xf>
    <xf numFmtId="4" fontId="32" fillId="0" borderId="9" xfId="0" applyNumberFormat="1" applyFont="1" applyBorder="1" applyAlignment="1">
      <alignment horizontal="right" indent="1"/>
    </xf>
    <xf numFmtId="168" fontId="32" fillId="0" borderId="9" xfId="0" applyNumberFormat="1" applyFont="1" applyBorder="1" applyAlignment="1">
      <alignment horizontal="right" indent="1"/>
    </xf>
    <xf numFmtId="0" fontId="32" fillId="0" borderId="12" xfId="0" applyFont="1" applyBorder="1"/>
    <xf numFmtId="165" fontId="32" fillId="0" borderId="9" xfId="0" applyNumberFormat="1" applyFont="1" applyBorder="1"/>
    <xf numFmtId="165" fontId="32" fillId="0" borderId="9" xfId="0" applyNumberFormat="1" applyFont="1" applyBorder="1" applyAlignment="1">
      <alignment horizontal="right" indent="1"/>
    </xf>
    <xf numFmtId="0" fontId="33" fillId="0" borderId="9" xfId="0" applyFont="1" applyBorder="1" applyAlignment="1">
      <alignment horizontal="left" indent="1"/>
    </xf>
    <xf numFmtId="4" fontId="32" fillId="0" borderId="0" xfId="0" applyNumberFormat="1" applyFont="1" applyAlignment="1">
      <alignment horizontal="right" indent="1"/>
    </xf>
    <xf numFmtId="0" fontId="32" fillId="0" borderId="0" xfId="0" applyFont="1" applyAlignment="1">
      <alignment horizontal="right" indent="1"/>
    </xf>
    <xf numFmtId="168" fontId="32" fillId="0" borderId="0" xfId="0" applyNumberFormat="1" applyFont="1" applyAlignment="1">
      <alignment horizontal="right" indent="1"/>
    </xf>
    <xf numFmtId="165" fontId="32" fillId="0" borderId="0" xfId="0" applyNumberFormat="1" applyFont="1"/>
    <xf numFmtId="0" fontId="32" fillId="2" borderId="9" xfId="0" applyFont="1" applyFill="1" applyBorder="1" applyAlignment="1">
      <alignment horizontal="left" vertical="center" wrapText="1"/>
    </xf>
    <xf numFmtId="0" fontId="32" fillId="2" borderId="0" xfId="0" applyFont="1" applyFill="1" applyAlignment="1">
      <alignment wrapText="1"/>
    </xf>
    <xf numFmtId="0" fontId="32" fillId="0" borderId="0" xfId="0" applyFont="1" applyAlignment="1">
      <alignment horizontal="center" wrapText="1"/>
    </xf>
    <xf numFmtId="4" fontId="34" fillId="0" borderId="0" xfId="0" applyNumberFormat="1" applyFont="1" applyAlignment="1">
      <alignment horizontal="right" indent="1"/>
    </xf>
    <xf numFmtId="0" fontId="35" fillId="0" borderId="0" xfId="0" applyFont="1"/>
    <xf numFmtId="168" fontId="0" fillId="0" borderId="0" xfId="0" applyNumberFormat="1" applyAlignment="1">
      <alignment horizontal="right" indent="1"/>
    </xf>
    <xf numFmtId="0" fontId="0" fillId="2" borderId="0" xfId="0" applyFill="1"/>
    <xf numFmtId="168" fontId="0" fillId="2" borderId="0" xfId="0" applyNumberFormat="1" applyFill="1" applyAlignment="1">
      <alignment horizontal="right" indent="1"/>
    </xf>
    <xf numFmtId="0" fontId="0" fillId="2" borderId="0" xfId="0" applyFill="1" applyAlignment="1">
      <alignment horizontal="right" indent="1"/>
    </xf>
    <xf numFmtId="165" fontId="32" fillId="10" borderId="9" xfId="0" applyNumberFormat="1" applyFont="1" applyFill="1" applyBorder="1"/>
    <xf numFmtId="0" fontId="32" fillId="2" borderId="0" xfId="0" applyFont="1" applyFill="1" applyAlignment="1">
      <alignment horizontal="left" vertical="center" wrapText="1"/>
    </xf>
    <xf numFmtId="0" fontId="36" fillId="20" borderId="0" xfId="0" applyFont="1" applyFill="1"/>
    <xf numFmtId="0" fontId="15" fillId="20" borderId="0" xfId="0" applyFont="1" applyFill="1" applyAlignment="1">
      <alignment horizontal="center"/>
    </xf>
    <xf numFmtId="0" fontId="15" fillId="20" borderId="0" xfId="0" applyFont="1" applyFill="1" applyAlignment="1">
      <alignment horizontal="right" indent="1"/>
    </xf>
    <xf numFmtId="0" fontId="15" fillId="20" borderId="0" xfId="0" applyFont="1" applyFill="1"/>
    <xf numFmtId="168" fontId="15" fillId="20" borderId="0" xfId="0" applyNumberFormat="1" applyFont="1" applyFill="1" applyAlignment="1">
      <alignment horizontal="right" indent="1"/>
    </xf>
    <xf numFmtId="165" fontId="15" fillId="20" borderId="0" xfId="0" applyNumberFormat="1" applyFont="1" applyFill="1"/>
    <xf numFmtId="0" fontId="0" fillId="20" borderId="0" xfId="0" applyFill="1"/>
    <xf numFmtId="0" fontId="32" fillId="0" borderId="34" xfId="0" applyFont="1" applyBorder="1"/>
    <xf numFmtId="0" fontId="32" fillId="0" borderId="34" xfId="0" applyFont="1" applyBorder="1" applyAlignment="1">
      <alignment horizontal="center"/>
    </xf>
    <xf numFmtId="4" fontId="32" fillId="0" borderId="34" xfId="0" applyNumberFormat="1" applyFont="1" applyBorder="1" applyAlignment="1">
      <alignment horizontal="right" indent="1"/>
    </xf>
    <xf numFmtId="0" fontId="32" fillId="0" borderId="34" xfId="0" applyFont="1" applyBorder="1" applyAlignment="1">
      <alignment horizontal="right" indent="1"/>
    </xf>
    <xf numFmtId="168" fontId="32" fillId="0" borderId="34" xfId="0" applyNumberFormat="1" applyFont="1" applyBorder="1" applyAlignment="1">
      <alignment horizontal="right" indent="1"/>
    </xf>
    <xf numFmtId="0" fontId="32" fillId="0" borderId="23" xfId="0" applyFont="1" applyBorder="1"/>
    <xf numFmtId="165" fontId="32" fillId="0" borderId="34" xfId="0" applyNumberFormat="1" applyFont="1" applyBorder="1"/>
    <xf numFmtId="165" fontId="32" fillId="0" borderId="35" xfId="0" applyNumberFormat="1" applyFont="1" applyBorder="1"/>
    <xf numFmtId="168" fontId="0" fillId="20" borderId="9" xfId="0" applyNumberFormat="1" applyFill="1" applyBorder="1" applyAlignment="1">
      <alignment horizontal="right" indent="1"/>
    </xf>
    <xf numFmtId="0" fontId="0" fillId="20" borderId="9" xfId="0" applyFill="1" applyBorder="1" applyAlignment="1">
      <alignment horizontal="right" indent="1"/>
    </xf>
    <xf numFmtId="165" fontId="22" fillId="20" borderId="9" xfId="0" applyNumberFormat="1" applyFont="1" applyFill="1" applyBorder="1" applyAlignment="1">
      <alignment horizontal="right" indent="1"/>
    </xf>
    <xf numFmtId="168" fontId="22" fillId="20" borderId="9" xfId="0" applyNumberFormat="1" applyFont="1" applyFill="1" applyBorder="1" applyAlignment="1">
      <alignment horizontal="right" indent="1"/>
    </xf>
    <xf numFmtId="0" fontId="22" fillId="20" borderId="9" xfId="0" applyFont="1" applyFill="1" applyBorder="1" applyAlignment="1">
      <alignment horizontal="right" indent="1"/>
    </xf>
    <xf numFmtId="0" fontId="0" fillId="20" borderId="9" xfId="0" applyFill="1" applyBorder="1"/>
    <xf numFmtId="0" fontId="0" fillId="20" borderId="9" xfId="0" applyFill="1" applyBorder="1" applyAlignment="1">
      <alignment horizontal="center"/>
    </xf>
    <xf numFmtId="0" fontId="0" fillId="20" borderId="12" xfId="0" applyFill="1" applyBorder="1"/>
    <xf numFmtId="0" fontId="22" fillId="20" borderId="0" xfId="0" applyFont="1" applyFill="1" applyAlignment="1">
      <alignment wrapText="1"/>
    </xf>
    <xf numFmtId="0" fontId="0" fillId="20" borderId="0" xfId="0" applyFill="1" applyAlignment="1">
      <alignment horizontal="center"/>
    </xf>
    <xf numFmtId="3" fontId="0" fillId="20" borderId="0" xfId="0" applyNumberFormat="1" applyFill="1"/>
    <xf numFmtId="0" fontId="29" fillId="20" borderId="0" xfId="0" applyFont="1" applyFill="1" applyAlignment="1">
      <alignment wrapText="1"/>
    </xf>
    <xf numFmtId="0" fontId="14" fillId="20" borderId="0" xfId="0" applyFont="1" applyFill="1"/>
    <xf numFmtId="0" fontId="14" fillId="20" borderId="0" xfId="0" applyFont="1" applyFill="1" applyAlignment="1">
      <alignment horizontal="center"/>
    </xf>
    <xf numFmtId="3" fontId="14" fillId="20" borderId="0" xfId="0" applyNumberFormat="1" applyFont="1" applyFill="1"/>
    <xf numFmtId="0" fontId="37" fillId="20" borderId="0" xfId="0" applyFont="1" applyFill="1" applyAlignment="1">
      <alignment horizontal="left" vertical="top"/>
    </xf>
    <xf numFmtId="0" fontId="0" fillId="20" borderId="0" xfId="0" applyFill="1" applyAlignment="1">
      <alignment horizontal="left"/>
    </xf>
    <xf numFmtId="0" fontId="12" fillId="20" borderId="0" xfId="2" applyFill="1"/>
    <xf numFmtId="0" fontId="16" fillId="4" borderId="3" xfId="0" applyFont="1" applyFill="1" applyBorder="1" applyAlignment="1">
      <alignment horizontal="left"/>
    </xf>
    <xf numFmtId="0" fontId="18" fillId="4" borderId="0" xfId="0" applyFont="1" applyFill="1"/>
    <xf numFmtId="0" fontId="19" fillId="4" borderId="6" xfId="0" applyFont="1" applyFill="1" applyBorder="1"/>
    <xf numFmtId="0" fontId="19" fillId="5" borderId="0" xfId="0" applyFont="1" applyFill="1"/>
    <xf numFmtId="0" fontId="19" fillId="6" borderId="7" xfId="0" applyFont="1" applyFill="1" applyBorder="1"/>
    <xf numFmtId="0" fontId="19" fillId="6" borderId="0" xfId="0" applyFont="1" applyFill="1"/>
    <xf numFmtId="0" fontId="19" fillId="6" borderId="19" xfId="0" applyFont="1" applyFill="1" applyBorder="1"/>
    <xf numFmtId="0" fontId="19" fillId="7" borderId="0" xfId="0" applyFont="1" applyFill="1"/>
    <xf numFmtId="0" fontId="19" fillId="8" borderId="7" xfId="0" applyFont="1" applyFill="1" applyBorder="1"/>
    <xf numFmtId="0" fontId="19" fillId="8" borderId="0" xfId="0" applyFont="1" applyFill="1"/>
    <xf numFmtId="0" fontId="19" fillId="8" borderId="8" xfId="0" applyFont="1" applyFill="1" applyBorder="1"/>
    <xf numFmtId="0" fontId="19" fillId="9" borderId="0" xfId="0" applyFont="1" applyFill="1"/>
    <xf numFmtId="0" fontId="19" fillId="9" borderId="8" xfId="0" applyFont="1" applyFill="1" applyBorder="1"/>
    <xf numFmtId="0" fontId="19" fillId="24" borderId="0" xfId="0" applyFont="1" applyFill="1"/>
    <xf numFmtId="0" fontId="19" fillId="24" borderId="8" xfId="0" applyFont="1" applyFill="1" applyBorder="1"/>
    <xf numFmtId="0" fontId="19" fillId="29" borderId="0" xfId="0" applyFont="1" applyFill="1"/>
    <xf numFmtId="0" fontId="19" fillId="29" borderId="8" xfId="0" applyFont="1" applyFill="1" applyBorder="1"/>
    <xf numFmtId="0" fontId="19" fillId="30" borderId="0" xfId="0" applyFont="1" applyFill="1"/>
    <xf numFmtId="0" fontId="19" fillId="30" borderId="8" xfId="0" applyFont="1" applyFill="1" applyBorder="1"/>
    <xf numFmtId="0" fontId="20" fillId="4" borderId="0" xfId="0" applyFont="1" applyFill="1"/>
    <xf numFmtId="0" fontId="19" fillId="6" borderId="8" xfId="0" applyFont="1" applyFill="1" applyBorder="1"/>
    <xf numFmtId="0" fontId="19" fillId="5" borderId="0" xfId="0" applyFont="1" applyFill="1" applyAlignment="1">
      <alignment horizontal="center" vertical="center"/>
    </xf>
    <xf numFmtId="0" fontId="19" fillId="5" borderId="0" xfId="0" applyFont="1" applyFill="1" applyAlignment="1">
      <alignment horizontal="center" vertical="center" wrapText="1"/>
    </xf>
    <xf numFmtId="0" fontId="19" fillId="6" borderId="7" xfId="0" applyFont="1" applyFill="1" applyBorder="1" applyAlignment="1">
      <alignment horizontal="center" vertical="center"/>
    </xf>
    <xf numFmtId="0" fontId="19" fillId="6" borderId="0" xfId="0" applyFont="1" applyFill="1" applyAlignment="1">
      <alignment horizontal="center" vertical="center"/>
    </xf>
    <xf numFmtId="0" fontId="19" fillId="6" borderId="8" xfId="0" applyFont="1" applyFill="1" applyBorder="1" applyAlignment="1">
      <alignment horizontal="center" vertical="center" wrapText="1"/>
    </xf>
    <xf numFmtId="0" fontId="19" fillId="7" borderId="0" xfId="0" applyFont="1" applyFill="1" applyAlignment="1">
      <alignment horizontal="center" vertical="center"/>
    </xf>
    <xf numFmtId="0" fontId="19" fillId="7" borderId="0" xfId="0" applyFont="1" applyFill="1" applyAlignment="1">
      <alignment horizontal="center" vertical="center" wrapText="1"/>
    </xf>
    <xf numFmtId="0" fontId="19" fillId="8" borderId="7" xfId="0" applyFont="1" applyFill="1" applyBorder="1" applyAlignment="1">
      <alignment horizontal="center" vertical="center"/>
    </xf>
    <xf numFmtId="0" fontId="19" fillId="8" borderId="0" xfId="0" applyFont="1" applyFill="1" applyAlignment="1">
      <alignment horizontal="center" vertical="center"/>
    </xf>
    <xf numFmtId="0" fontId="19" fillId="8" borderId="8" xfId="0" applyFont="1" applyFill="1" applyBorder="1" applyAlignment="1">
      <alignment horizontal="center" vertical="center" wrapText="1"/>
    </xf>
    <xf numFmtId="0" fontId="19" fillId="9" borderId="0" xfId="0" applyFont="1" applyFill="1" applyAlignment="1">
      <alignment horizontal="center" vertical="center"/>
    </xf>
    <xf numFmtId="0" fontId="19" fillId="9" borderId="8" xfId="0" applyFont="1" applyFill="1" applyBorder="1" applyAlignment="1">
      <alignment horizontal="center" vertical="center" wrapText="1"/>
    </xf>
    <xf numFmtId="0" fontId="19" fillId="24" borderId="0" xfId="0" applyFont="1" applyFill="1" applyAlignment="1">
      <alignment horizontal="center" vertical="center"/>
    </xf>
    <xf numFmtId="0" fontId="19" fillId="24" borderId="8" xfId="0" applyFont="1" applyFill="1" applyBorder="1" applyAlignment="1">
      <alignment horizontal="center" vertical="center" wrapText="1"/>
    </xf>
    <xf numFmtId="0" fontId="19" fillId="29" borderId="0" xfId="0" applyFont="1" applyFill="1" applyAlignment="1">
      <alignment horizontal="center" vertical="center"/>
    </xf>
    <xf numFmtId="0" fontId="19" fillId="29" borderId="8" xfId="0" applyFont="1" applyFill="1" applyBorder="1" applyAlignment="1">
      <alignment horizontal="center" vertical="center" wrapText="1"/>
    </xf>
    <xf numFmtId="0" fontId="19" fillId="30" borderId="0" xfId="0" applyFont="1" applyFill="1" applyAlignment="1">
      <alignment horizontal="center" vertical="center"/>
    </xf>
    <xf numFmtId="0" fontId="19" fillId="30" borderId="8" xfId="0" applyFont="1" applyFill="1" applyBorder="1" applyAlignment="1">
      <alignment horizontal="center" vertical="center" wrapText="1"/>
    </xf>
    <xf numFmtId="0" fontId="19" fillId="0" borderId="6" xfId="0" applyFont="1" applyBorder="1" applyAlignment="1">
      <alignment wrapText="1"/>
    </xf>
    <xf numFmtId="0" fontId="19" fillId="5" borderId="1"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19" fillId="9" borderId="15" xfId="0" applyFont="1" applyFill="1" applyBorder="1" applyAlignment="1">
      <alignment horizontal="center" vertical="center" wrapText="1"/>
    </xf>
    <xf numFmtId="0" fontId="19" fillId="24" borderId="1" xfId="0" applyFont="1" applyFill="1" applyBorder="1" applyAlignment="1">
      <alignment horizontal="center" vertical="center" wrapText="1"/>
    </xf>
    <xf numFmtId="0" fontId="19" fillId="24" borderId="9" xfId="0" applyFont="1" applyFill="1" applyBorder="1" applyAlignment="1">
      <alignment horizontal="center" vertical="center" wrapText="1"/>
    </xf>
    <xf numFmtId="0" fontId="19" fillId="24" borderId="10" xfId="0" applyFont="1" applyFill="1" applyBorder="1" applyAlignment="1">
      <alignment horizontal="center" vertical="center" wrapText="1"/>
    </xf>
    <xf numFmtId="0" fontId="21" fillId="24" borderId="10" xfId="0" applyFont="1" applyFill="1" applyBorder="1" applyAlignment="1">
      <alignment horizontal="center" vertical="center" wrapText="1"/>
    </xf>
    <xf numFmtId="0" fontId="19" fillId="24" borderId="11" xfId="0" applyFont="1" applyFill="1" applyBorder="1" applyAlignment="1">
      <alignment horizontal="center" vertical="center" wrapText="1"/>
    </xf>
    <xf numFmtId="0" fontId="19" fillId="24" borderId="15" xfId="0" applyFont="1" applyFill="1" applyBorder="1" applyAlignment="1">
      <alignment horizontal="center" vertical="center" wrapText="1"/>
    </xf>
    <xf numFmtId="0" fontId="19" fillId="29" borderId="1" xfId="0" applyFont="1" applyFill="1" applyBorder="1" applyAlignment="1">
      <alignment horizontal="center" vertical="center" wrapText="1"/>
    </xf>
    <xf numFmtId="0" fontId="19" fillId="29" borderId="9" xfId="0" applyFont="1" applyFill="1" applyBorder="1" applyAlignment="1">
      <alignment horizontal="center" vertical="center" wrapText="1"/>
    </xf>
    <xf numFmtId="0" fontId="19" fillId="29" borderId="10" xfId="0" applyFont="1" applyFill="1" applyBorder="1" applyAlignment="1">
      <alignment horizontal="center" vertical="center" wrapText="1"/>
    </xf>
    <xf numFmtId="0" fontId="21" fillId="29" borderId="10" xfId="0" applyFont="1" applyFill="1" applyBorder="1" applyAlignment="1">
      <alignment horizontal="center" vertical="center" wrapText="1"/>
    </xf>
    <xf numFmtId="0" fontId="19" fillId="29" borderId="11" xfId="0" applyFont="1" applyFill="1" applyBorder="1" applyAlignment="1">
      <alignment horizontal="center" vertical="center" wrapText="1"/>
    </xf>
    <xf numFmtId="0" fontId="19" fillId="29" borderId="15" xfId="0" applyFont="1" applyFill="1" applyBorder="1" applyAlignment="1">
      <alignment horizontal="center" vertical="center" wrapText="1"/>
    </xf>
    <xf numFmtId="0" fontId="19" fillId="30" borderId="1" xfId="0" applyFont="1" applyFill="1" applyBorder="1" applyAlignment="1">
      <alignment horizontal="center" vertical="center" wrapText="1"/>
    </xf>
    <xf numFmtId="0" fontId="19" fillId="30" borderId="9" xfId="0" applyFont="1" applyFill="1" applyBorder="1" applyAlignment="1">
      <alignment horizontal="center" vertical="center" wrapText="1"/>
    </xf>
    <xf numFmtId="0" fontId="19" fillId="30" borderId="10" xfId="0" applyFont="1" applyFill="1" applyBorder="1" applyAlignment="1">
      <alignment horizontal="center" vertical="center" wrapText="1"/>
    </xf>
    <xf numFmtId="0" fontId="21" fillId="30" borderId="10" xfId="0" applyFont="1" applyFill="1" applyBorder="1" applyAlignment="1">
      <alignment horizontal="center" vertical="center" wrapText="1"/>
    </xf>
    <xf numFmtId="0" fontId="19" fillId="30" borderId="11" xfId="0" applyFont="1" applyFill="1" applyBorder="1" applyAlignment="1">
      <alignment horizontal="center" vertical="center" wrapText="1"/>
    </xf>
    <xf numFmtId="0" fontId="19" fillId="30" borderId="15" xfId="0" applyFont="1" applyFill="1" applyBorder="1" applyAlignment="1">
      <alignment horizontal="center" vertical="center" wrapText="1"/>
    </xf>
    <xf numFmtId="0" fontId="20" fillId="0" borderId="0" xfId="0" applyFont="1" applyAlignment="1">
      <alignment wrapText="1"/>
    </xf>
    <xf numFmtId="0" fontId="22" fillId="0" borderId="6" xfId="0" applyFont="1" applyBorder="1"/>
    <xf numFmtId="1" fontId="22" fillId="0" borderId="0" xfId="0" applyNumberFormat="1" applyFont="1" applyAlignment="1">
      <alignment horizontal="right" indent="1"/>
    </xf>
    <xf numFmtId="165" fontId="22" fillId="10" borderId="12" xfId="0" applyNumberFormat="1" applyFont="1" applyFill="1" applyBorder="1" applyAlignment="1">
      <alignment horizontal="right" indent="1"/>
    </xf>
    <xf numFmtId="165" fontId="22" fillId="10" borderId="13" xfId="0" applyNumberFormat="1" applyFont="1" applyFill="1" applyBorder="1" applyAlignment="1">
      <alignment horizontal="right" indent="1"/>
    </xf>
    <xf numFmtId="165" fontId="22" fillId="0" borderId="0" xfId="0" applyNumberFormat="1" applyFont="1" applyAlignment="1">
      <alignment horizontal="right" indent="1"/>
    </xf>
    <xf numFmtId="165" fontId="23" fillId="10" borderId="8" xfId="0" applyNumberFormat="1" applyFont="1" applyFill="1" applyBorder="1" applyAlignment="1">
      <alignment horizontal="right" indent="1"/>
    </xf>
    <xf numFmtId="3" fontId="23" fillId="0" borderId="7" xfId="0" applyNumberFormat="1" applyFont="1" applyBorder="1" applyAlignment="1">
      <alignment horizontal="right" indent="1"/>
    </xf>
    <xf numFmtId="165" fontId="23" fillId="10" borderId="12" xfId="0" applyNumberFormat="1" applyFont="1" applyFill="1" applyBorder="1" applyAlignment="1">
      <alignment horizontal="right" indent="1"/>
    </xf>
    <xf numFmtId="165" fontId="23" fillId="10" borderId="13" xfId="0" applyNumberFormat="1" applyFont="1" applyFill="1" applyBorder="1" applyAlignment="1">
      <alignment horizontal="right" indent="1"/>
    </xf>
    <xf numFmtId="165" fontId="23" fillId="0" borderId="0" xfId="0" applyNumberFormat="1" applyFont="1" applyAlignment="1">
      <alignment horizontal="right" indent="1"/>
    </xf>
    <xf numFmtId="3" fontId="23" fillId="0" borderId="0" xfId="0" applyNumberFormat="1" applyFont="1" applyAlignment="1">
      <alignment horizontal="right" indent="1"/>
    </xf>
    <xf numFmtId="0" fontId="16" fillId="0" borderId="6" xfId="0" applyFont="1" applyBorder="1"/>
    <xf numFmtId="1" fontId="24" fillId="0" borderId="0" xfId="0" applyNumberFormat="1" applyFont="1" applyAlignment="1">
      <alignment horizontal="right" indent="1"/>
    </xf>
    <xf numFmtId="165" fontId="24" fillId="10" borderId="12" xfId="0" applyNumberFormat="1" applyFont="1" applyFill="1" applyBorder="1" applyAlignment="1">
      <alignment horizontal="right" indent="1"/>
    </xf>
    <xf numFmtId="165" fontId="24" fillId="0" borderId="0" xfId="0" applyNumberFormat="1" applyFont="1" applyAlignment="1">
      <alignment horizontal="right" indent="1"/>
    </xf>
    <xf numFmtId="0" fontId="24" fillId="0" borderId="0" xfId="0" applyFont="1"/>
    <xf numFmtId="0" fontId="19" fillId="0" borderId="6" xfId="0" applyFont="1" applyBorder="1"/>
    <xf numFmtId="0" fontId="25" fillId="0" borderId="6" xfId="0" applyFont="1" applyBorder="1"/>
    <xf numFmtId="3" fontId="22" fillId="0" borderId="0" xfId="0" applyNumberFormat="1" applyFont="1" applyAlignment="1">
      <alignment horizontal="right" indent="1"/>
    </xf>
    <xf numFmtId="0" fontId="12" fillId="0" borderId="6" xfId="0" applyFont="1" applyBorder="1"/>
    <xf numFmtId="0" fontId="23" fillId="0" borderId="0" xfId="0" applyFont="1"/>
    <xf numFmtId="0" fontId="26" fillId="0" borderId="14" xfId="0" applyFont="1" applyBorder="1"/>
    <xf numFmtId="0" fontId="19" fillId="10" borderId="6" xfId="0" applyFont="1" applyFill="1" applyBorder="1"/>
    <xf numFmtId="3" fontId="23" fillId="10" borderId="0" xfId="0" applyNumberFormat="1" applyFont="1" applyFill="1" applyAlignment="1">
      <alignment horizontal="right" indent="1"/>
    </xf>
    <xf numFmtId="165" fontId="23" fillId="10" borderId="0" xfId="0" applyNumberFormat="1" applyFont="1" applyFill="1" applyAlignment="1">
      <alignment horizontal="right" indent="1"/>
    </xf>
    <xf numFmtId="3" fontId="23" fillId="10" borderId="7" xfId="0" applyNumberFormat="1" applyFont="1" applyFill="1" applyBorder="1" applyAlignment="1">
      <alignment horizontal="right" indent="1"/>
    </xf>
    <xf numFmtId="0" fontId="19" fillId="10" borderId="6" xfId="0" applyFont="1" applyFill="1" applyBorder="1" applyAlignment="1">
      <alignment horizontal="center" vertical="center" wrapText="1"/>
    </xf>
    <xf numFmtId="0" fontId="23" fillId="0" borderId="0" xfId="0" applyFont="1" applyAlignment="1">
      <alignment wrapText="1"/>
    </xf>
    <xf numFmtId="0" fontId="16" fillId="0" borderId="15" xfId="0" applyFont="1" applyBorder="1" applyAlignment="1">
      <alignment horizontal="left" wrapText="1"/>
    </xf>
    <xf numFmtId="0" fontId="16" fillId="0" borderId="16" xfId="0" applyFont="1" applyBorder="1" applyAlignment="1">
      <alignment horizontal="center" wrapText="1"/>
    </xf>
    <xf numFmtId="0" fontId="27" fillId="2" borderId="19" xfId="0" applyFont="1" applyFill="1" applyBorder="1" applyAlignment="1">
      <alignment horizontal="center" wrapText="1"/>
    </xf>
    <xf numFmtId="0" fontId="16" fillId="0" borderId="10" xfId="0" applyFont="1" applyBorder="1" applyAlignment="1">
      <alignment horizontal="center" wrapText="1"/>
    </xf>
    <xf numFmtId="0" fontId="24" fillId="2" borderId="0" xfId="0" applyFont="1" applyFill="1" applyAlignment="1">
      <alignment horizontal="center" wrapText="1"/>
    </xf>
    <xf numFmtId="0" fontId="12" fillId="0" borderId="0" xfId="0" applyFont="1" applyAlignment="1">
      <alignment vertical="center" wrapText="1"/>
    </xf>
    <xf numFmtId="3" fontId="12" fillId="0" borderId="16" xfId="0" applyNumberFormat="1" applyFont="1" applyBorder="1" applyAlignment="1">
      <alignment horizontal="right" vertical="center" indent="1"/>
    </xf>
    <xf numFmtId="3" fontId="12" fillId="0" borderId="4" xfId="0" applyNumberFormat="1" applyFont="1" applyBorder="1" applyAlignment="1">
      <alignment horizontal="right" vertical="center" indent="1"/>
    </xf>
    <xf numFmtId="0" fontId="23" fillId="2" borderId="19" xfId="0" applyFont="1" applyFill="1" applyBorder="1" applyAlignment="1">
      <alignment horizontal="left" vertical="top" wrapText="1"/>
    </xf>
    <xf numFmtId="3" fontId="12" fillId="0" borderId="1" xfId="0" applyNumberFormat="1" applyFont="1" applyBorder="1" applyAlignment="1">
      <alignment horizontal="right" vertical="center" indent="1"/>
    </xf>
    <xf numFmtId="0" fontId="22" fillId="2" borderId="0" xfId="0" applyFont="1" applyFill="1"/>
    <xf numFmtId="0" fontId="23" fillId="2" borderId="8" xfId="0" applyFont="1" applyFill="1" applyBorder="1" applyAlignment="1">
      <alignment horizontal="left" vertical="top" wrapText="1"/>
    </xf>
    <xf numFmtId="166" fontId="12" fillId="10" borderId="16" xfId="0" applyNumberFormat="1" applyFont="1" applyFill="1" applyBorder="1" applyAlignment="1">
      <alignment horizontal="right" vertical="center" indent="1"/>
    </xf>
    <xf numFmtId="166" fontId="12" fillId="10" borderId="4" xfId="0" applyNumberFormat="1" applyFont="1" applyFill="1" applyBorder="1" applyAlignment="1">
      <alignment horizontal="right" vertical="center" indent="1"/>
    </xf>
    <xf numFmtId="166" fontId="12" fillId="10" borderId="1" xfId="0" applyNumberFormat="1" applyFont="1" applyFill="1" applyBorder="1" applyAlignment="1">
      <alignment horizontal="right" vertical="center" indent="1"/>
    </xf>
    <xf numFmtId="3" fontId="12" fillId="0" borderId="0" xfId="0" applyNumberFormat="1" applyFont="1" applyAlignment="1">
      <alignment vertical="center" wrapText="1"/>
    </xf>
    <xf numFmtId="165" fontId="12" fillId="10" borderId="1" xfId="0" applyNumberFormat="1" applyFont="1" applyFill="1" applyBorder="1" applyAlignment="1">
      <alignment horizontal="right" vertical="center" indent="1"/>
    </xf>
    <xf numFmtId="3" fontId="22" fillId="2" borderId="0" xfId="0" applyNumberFormat="1" applyFont="1" applyFill="1"/>
    <xf numFmtId="165" fontId="12" fillId="10" borderId="16" xfId="0" applyNumberFormat="1" applyFont="1" applyFill="1" applyBorder="1" applyAlignment="1">
      <alignment horizontal="right" vertical="center" indent="1"/>
    </xf>
    <xf numFmtId="165" fontId="12" fillId="0" borderId="16" xfId="0" applyNumberFormat="1" applyFont="1" applyBorder="1" applyAlignment="1">
      <alignment horizontal="right" vertical="center" indent="1"/>
    </xf>
    <xf numFmtId="165" fontId="12" fillId="0" borderId="4" xfId="0" applyNumberFormat="1" applyFont="1" applyBorder="1" applyAlignment="1">
      <alignment horizontal="right" vertical="center" indent="1"/>
    </xf>
    <xf numFmtId="165" fontId="12" fillId="0" borderId="1" xfId="0" applyNumberFormat="1" applyFont="1" applyBorder="1" applyAlignment="1">
      <alignment horizontal="right" vertical="center" indent="1"/>
    </xf>
    <xf numFmtId="0" fontId="23" fillId="2" borderId="0" xfId="0" applyFont="1" applyFill="1"/>
    <xf numFmtId="0" fontId="22" fillId="2" borderId="0" xfId="0" applyFont="1" applyFill="1" applyAlignment="1">
      <alignment horizontal="right" indent="1"/>
    </xf>
    <xf numFmtId="0" fontId="22" fillId="0" borderId="0" xfId="0" applyFont="1" applyAlignment="1">
      <alignment horizontal="right" indent="1"/>
    </xf>
    <xf numFmtId="0" fontId="29" fillId="2" borderId="0" xfId="0" applyFont="1" applyFill="1"/>
    <xf numFmtId="0" fontId="12" fillId="31" borderId="6" xfId="0" applyFont="1" applyFill="1" applyBorder="1"/>
    <xf numFmtId="164" fontId="7" fillId="0" borderId="0" xfId="8" applyNumberFormat="1" applyFont="1" applyFill="1" applyAlignment="1" applyProtection="1">
      <alignment horizontal="center"/>
    </xf>
    <xf numFmtId="37" fontId="7" fillId="0" borderId="49" xfId="1" applyFont="1" applyBorder="1" applyAlignment="1">
      <alignment horizontal="center"/>
    </xf>
    <xf numFmtId="43" fontId="7" fillId="0" borderId="49" xfId="6" applyFont="1" applyBorder="1" applyAlignment="1">
      <alignment horizontal="center"/>
    </xf>
    <xf numFmtId="164" fontId="7" fillId="0" borderId="49" xfId="6" applyNumberFormat="1" applyFont="1" applyBorder="1" applyAlignment="1">
      <alignment horizontal="center"/>
    </xf>
    <xf numFmtId="37" fontId="7" fillId="2" borderId="49" xfId="1" applyFont="1" applyFill="1" applyBorder="1" applyAlignment="1">
      <alignment horizontal="center"/>
    </xf>
    <xf numFmtId="37" fontId="2" fillId="0" borderId="49" xfId="1" applyFont="1" applyBorder="1"/>
    <xf numFmtId="164" fontId="2" fillId="0" borderId="49" xfId="6" applyNumberFormat="1" applyFont="1" applyBorder="1"/>
    <xf numFmtId="37" fontId="2" fillId="2" borderId="49" xfId="1" applyFont="1" applyFill="1" applyBorder="1"/>
    <xf numFmtId="4" fontId="32" fillId="0" borderId="50" xfId="0" applyNumberFormat="1" applyFont="1" applyBorder="1"/>
    <xf numFmtId="0" fontId="32" fillId="0" borderId="51" xfId="0" applyFont="1" applyBorder="1"/>
    <xf numFmtId="4" fontId="32" fillId="0" borderId="51" xfId="0" applyNumberFormat="1" applyFont="1" applyBorder="1"/>
    <xf numFmtId="0" fontId="32" fillId="0" borderId="52" xfId="0" applyFont="1" applyBorder="1"/>
    <xf numFmtId="4" fontId="32" fillId="0" borderId="52" xfId="0" applyNumberFormat="1" applyFont="1" applyBorder="1"/>
    <xf numFmtId="8" fontId="0" fillId="20" borderId="9" xfId="0" applyNumberFormat="1" applyFill="1" applyBorder="1" applyAlignment="1" applyProtection="1">
      <alignment horizontal="right" indent="1"/>
      <protection locked="0"/>
    </xf>
    <xf numFmtId="0" fontId="19" fillId="5" borderId="50"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7" borderId="50" xfId="0" applyFont="1" applyFill="1" applyBorder="1" applyAlignment="1">
      <alignment horizontal="center" vertical="center" wrapText="1"/>
    </xf>
    <xf numFmtId="0" fontId="19" fillId="8" borderId="50" xfId="0" applyFont="1" applyFill="1" applyBorder="1" applyAlignment="1">
      <alignment horizontal="center" vertical="center" wrapText="1"/>
    </xf>
    <xf numFmtId="0" fontId="19" fillId="9" borderId="50" xfId="0" applyFont="1" applyFill="1" applyBorder="1" applyAlignment="1">
      <alignment horizontal="center" vertical="center" wrapText="1"/>
    </xf>
    <xf numFmtId="0" fontId="19" fillId="24" borderId="50" xfId="0" applyFont="1" applyFill="1" applyBorder="1" applyAlignment="1">
      <alignment horizontal="center" vertical="center" wrapText="1"/>
    </xf>
    <xf numFmtId="0" fontId="19" fillId="29" borderId="50" xfId="0" applyFont="1" applyFill="1" applyBorder="1" applyAlignment="1">
      <alignment horizontal="center" vertical="center" wrapText="1"/>
    </xf>
    <xf numFmtId="0" fontId="19" fillId="30" borderId="50" xfId="0" applyFont="1" applyFill="1" applyBorder="1" applyAlignment="1">
      <alignment horizontal="center" vertical="center" wrapText="1"/>
    </xf>
    <xf numFmtId="0" fontId="23" fillId="0" borderId="0" xfId="0" applyFont="1" applyProtection="1">
      <protection locked="0"/>
    </xf>
    <xf numFmtId="165" fontId="23" fillId="10" borderId="53" xfId="0" applyNumberFormat="1" applyFont="1" applyFill="1" applyBorder="1" applyAlignment="1">
      <alignment horizontal="right" indent="1"/>
    </xf>
    <xf numFmtId="165" fontId="23" fillId="10" borderId="54" xfId="0" applyNumberFormat="1" applyFont="1" applyFill="1" applyBorder="1" applyAlignment="1">
      <alignment horizontal="right" indent="1"/>
    </xf>
    <xf numFmtId="165" fontId="23" fillId="10" borderId="51" xfId="0" applyNumberFormat="1" applyFont="1" applyFill="1" applyBorder="1" applyAlignment="1">
      <alignment horizontal="right" indent="1"/>
    </xf>
    <xf numFmtId="0" fontId="23" fillId="2" borderId="54" xfId="0" applyFont="1" applyFill="1" applyBorder="1" applyAlignment="1">
      <alignment horizontal="left" vertical="top" wrapText="1"/>
    </xf>
    <xf numFmtId="0" fontId="19" fillId="20" borderId="51" xfId="0" applyFont="1" applyFill="1" applyBorder="1"/>
    <xf numFmtId="0" fontId="22" fillId="0" borderId="11" xfId="0" applyFont="1" applyBorder="1" applyAlignment="1">
      <alignment horizontal="left" vertical="top" wrapText="1"/>
    </xf>
    <xf numFmtId="0" fontId="22" fillId="0" borderId="1" xfId="0" applyFont="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41" fillId="0" borderId="0" xfId="0" applyFont="1" applyAlignment="1">
      <alignment horizontal="left" wrapText="1"/>
    </xf>
    <xf numFmtId="0" fontId="22" fillId="20" borderId="9" xfId="0" applyFont="1" applyFill="1" applyBorder="1" applyAlignment="1">
      <alignment horizontal="center" vertical="center" wrapText="1"/>
    </xf>
    <xf numFmtId="0" fontId="22" fillId="20" borderId="9" xfId="0" applyFont="1" applyFill="1" applyBorder="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horizontal="left" vertical="top"/>
    </xf>
    <xf numFmtId="0" fontId="22" fillId="0" borderId="1" xfId="0" applyFont="1" applyBorder="1" applyAlignment="1">
      <alignment horizontal="left" vertical="top"/>
    </xf>
    <xf numFmtId="0" fontId="22" fillId="0" borderId="10" xfId="0" applyFont="1" applyBorder="1" applyAlignment="1">
      <alignment horizontal="left" vertical="top"/>
    </xf>
    <xf numFmtId="2" fontId="19" fillId="0" borderId="13" xfId="0" applyNumberFormat="1" applyFont="1" applyBorder="1" applyAlignment="1">
      <alignment horizontal="center" vertical="center" wrapText="1"/>
    </xf>
    <xf numFmtId="2" fontId="19" fillId="0" borderId="12" xfId="0" applyNumberFormat="1" applyFont="1" applyBorder="1" applyAlignment="1">
      <alignment horizontal="center" vertical="center" wrapText="1"/>
    </xf>
    <xf numFmtId="2" fontId="19" fillId="0" borderId="53" xfId="0" applyNumberFormat="1" applyFont="1" applyBorder="1" applyAlignment="1">
      <alignment horizontal="center" vertical="center" wrapText="1"/>
    </xf>
    <xf numFmtId="165" fontId="19" fillId="0" borderId="40" xfId="0" applyNumberFormat="1" applyFont="1" applyBorder="1" applyAlignment="1">
      <alignment horizontal="center" vertical="center" wrapText="1"/>
    </xf>
    <xf numFmtId="165" fontId="19" fillId="0" borderId="14" xfId="0" applyNumberFormat="1" applyFont="1" applyBorder="1" applyAlignment="1">
      <alignment horizontal="center" vertical="center" wrapText="1"/>
    </xf>
    <xf numFmtId="165" fontId="19" fillId="0" borderId="56" xfId="0" applyNumberFormat="1" applyFont="1" applyBorder="1" applyAlignment="1">
      <alignment horizontal="center" vertical="center" wrapText="1"/>
    </xf>
    <xf numFmtId="0" fontId="22" fillId="20" borderId="13" xfId="0" applyFont="1" applyFill="1" applyBorder="1" applyAlignment="1">
      <alignment horizontal="center" vertical="center"/>
    </xf>
    <xf numFmtId="0" fontId="22" fillId="20" borderId="12" xfId="0" applyFont="1" applyFill="1" applyBorder="1" applyAlignment="1">
      <alignment horizontal="center" vertical="center"/>
    </xf>
    <xf numFmtId="0" fontId="22" fillId="20" borderId="53" xfId="0" applyFont="1" applyFill="1" applyBorder="1" applyAlignment="1">
      <alignment horizontal="center" vertical="center"/>
    </xf>
    <xf numFmtId="0" fontId="19"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53"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55" xfId="0" applyFont="1" applyBorder="1" applyAlignment="1">
      <alignment horizontal="center" vertical="center" wrapText="1"/>
    </xf>
    <xf numFmtId="0" fontId="40" fillId="26" borderId="36" xfId="0" applyFont="1" applyFill="1" applyBorder="1" applyAlignment="1">
      <alignment horizontal="center" vertical="center"/>
    </xf>
    <xf numFmtId="0" fontId="40" fillId="26" borderId="37" xfId="0" applyFont="1" applyFill="1" applyBorder="1" applyAlignment="1">
      <alignment horizontal="center" vertical="center"/>
    </xf>
    <xf numFmtId="0" fontId="40" fillId="26" borderId="38" xfId="0" applyFont="1" applyFill="1" applyBorder="1" applyAlignment="1">
      <alignment horizontal="center" vertical="center"/>
    </xf>
    <xf numFmtId="0" fontId="40" fillId="17" borderId="36" xfId="0" applyFont="1" applyFill="1" applyBorder="1" applyAlignment="1">
      <alignment horizontal="center" vertical="center"/>
    </xf>
    <xf numFmtId="0" fontId="40" fillId="17" borderId="37" xfId="0" applyFont="1" applyFill="1" applyBorder="1" applyAlignment="1">
      <alignment horizontal="center" vertical="center"/>
    </xf>
    <xf numFmtId="0" fontId="40" fillId="17" borderId="38" xfId="0" applyFont="1" applyFill="1" applyBorder="1" applyAlignment="1">
      <alignment horizontal="center" vertical="center"/>
    </xf>
    <xf numFmtId="0" fontId="40" fillId="12" borderId="36" xfId="0" applyFont="1" applyFill="1" applyBorder="1" applyAlignment="1">
      <alignment horizontal="center" vertical="center"/>
    </xf>
    <xf numFmtId="0" fontId="40" fillId="12" borderId="37" xfId="0" applyFont="1" applyFill="1" applyBorder="1" applyAlignment="1">
      <alignment horizontal="center" vertical="center"/>
    </xf>
    <xf numFmtId="0" fontId="40" fillId="12" borderId="38" xfId="0" applyFont="1" applyFill="1" applyBorder="1" applyAlignment="1">
      <alignment horizontal="center" vertical="center"/>
    </xf>
    <xf numFmtId="0" fontId="40" fillId="13" borderId="36" xfId="0" applyFont="1" applyFill="1" applyBorder="1" applyAlignment="1">
      <alignment horizontal="center" vertical="center"/>
    </xf>
    <xf numFmtId="0" fontId="40" fillId="13" borderId="37" xfId="0" applyFont="1" applyFill="1" applyBorder="1" applyAlignment="1">
      <alignment horizontal="center" vertical="center"/>
    </xf>
    <xf numFmtId="0" fontId="40" fillId="13" borderId="38" xfId="0" applyFont="1" applyFill="1" applyBorder="1" applyAlignment="1">
      <alignment horizontal="center" vertical="center"/>
    </xf>
    <xf numFmtId="0" fontId="40" fillId="14" borderId="36" xfId="0" applyFont="1" applyFill="1" applyBorder="1" applyAlignment="1">
      <alignment horizontal="center" vertical="center"/>
    </xf>
    <xf numFmtId="0" fontId="40" fillId="14" borderId="37" xfId="0" applyFont="1" applyFill="1" applyBorder="1" applyAlignment="1">
      <alignment horizontal="center" vertical="center"/>
    </xf>
    <xf numFmtId="0" fontId="40" fillId="14" borderId="38" xfId="0" applyFont="1" applyFill="1" applyBorder="1" applyAlignment="1">
      <alignment horizontal="center" vertical="center"/>
    </xf>
    <xf numFmtId="0" fontId="40" fillId="15" borderId="36" xfId="0" applyFont="1" applyFill="1" applyBorder="1" applyAlignment="1">
      <alignment horizontal="center" vertical="center"/>
    </xf>
    <xf numFmtId="0" fontId="40" fillId="15" borderId="37" xfId="0" applyFont="1" applyFill="1" applyBorder="1" applyAlignment="1">
      <alignment horizontal="center" vertical="center"/>
    </xf>
    <xf numFmtId="0" fontId="40" fillId="15" borderId="38" xfId="0" applyFont="1" applyFill="1" applyBorder="1" applyAlignment="1">
      <alignment horizontal="center" vertical="center"/>
    </xf>
    <xf numFmtId="0" fontId="40" fillId="25" borderId="36" xfId="0" applyFont="1" applyFill="1" applyBorder="1" applyAlignment="1">
      <alignment horizontal="center" vertical="center"/>
    </xf>
    <xf numFmtId="0" fontId="40" fillId="25" borderId="37" xfId="0" applyFont="1" applyFill="1" applyBorder="1" applyAlignment="1">
      <alignment horizontal="center" vertical="center"/>
    </xf>
    <xf numFmtId="0" fontId="40" fillId="25" borderId="38" xfId="0" applyFont="1" applyFill="1" applyBorder="1" applyAlignment="1">
      <alignment horizontal="center" vertical="center"/>
    </xf>
    <xf numFmtId="0" fontId="40" fillId="16" borderId="36" xfId="0" applyFont="1" applyFill="1" applyBorder="1" applyAlignment="1">
      <alignment horizontal="center" vertical="center"/>
    </xf>
    <xf numFmtId="0" fontId="40" fillId="16" borderId="37" xfId="0" applyFont="1" applyFill="1" applyBorder="1" applyAlignment="1">
      <alignment horizontal="center" vertical="center"/>
    </xf>
    <xf numFmtId="0" fontId="40" fillId="16" borderId="38" xfId="0" applyFont="1" applyFill="1" applyBorder="1" applyAlignment="1">
      <alignment horizontal="center" vertical="center"/>
    </xf>
    <xf numFmtId="0" fontId="0" fillId="20" borderId="11" xfId="0" applyFill="1" applyBorder="1" applyAlignment="1">
      <alignment horizontal="left" vertical="top" wrapText="1"/>
    </xf>
    <xf numFmtId="0" fontId="0" fillId="20" borderId="10" xfId="0" applyFill="1" applyBorder="1" applyAlignment="1">
      <alignment horizontal="left" vertical="top" wrapText="1"/>
    </xf>
    <xf numFmtId="0" fontId="37" fillId="20" borderId="11" xfId="0" applyFont="1" applyFill="1" applyBorder="1" applyAlignment="1" applyProtection="1">
      <alignment horizontal="left" vertical="top"/>
      <protection locked="0"/>
    </xf>
    <xf numFmtId="0" fontId="37" fillId="20" borderId="10" xfId="0" applyFont="1" applyFill="1" applyBorder="1" applyAlignment="1" applyProtection="1">
      <alignment horizontal="left" vertical="top"/>
      <protection locked="0"/>
    </xf>
    <xf numFmtId="0" fontId="37" fillId="20" borderId="11" xfId="0" applyFont="1" applyFill="1" applyBorder="1" applyAlignment="1">
      <alignment horizontal="left" vertical="top"/>
    </xf>
    <xf numFmtId="0" fontId="37" fillId="20" borderId="10" xfId="0" applyFont="1" applyFill="1" applyBorder="1" applyAlignment="1">
      <alignment horizontal="left" vertical="top"/>
    </xf>
    <xf numFmtId="0" fontId="37" fillId="20" borderId="20" xfId="0" applyFont="1" applyFill="1" applyBorder="1" applyAlignment="1">
      <alignment horizontal="left" vertical="top"/>
    </xf>
    <xf numFmtId="0" fontId="37" fillId="20" borderId="0" xfId="0" applyFont="1" applyFill="1" applyAlignment="1">
      <alignment horizontal="left" vertical="top"/>
    </xf>
    <xf numFmtId="0" fontId="14" fillId="20" borderId="20" xfId="0" applyFont="1" applyFill="1" applyBorder="1" applyAlignment="1">
      <alignment horizontal="center"/>
    </xf>
    <xf numFmtId="0" fontId="14" fillId="20" borderId="0" xfId="0" applyFont="1" applyFill="1" applyAlignment="1">
      <alignment horizontal="center"/>
    </xf>
    <xf numFmtId="0" fontId="14" fillId="20" borderId="11" xfId="0" applyFont="1" applyFill="1" applyBorder="1" applyAlignment="1">
      <alignment horizontal="center"/>
    </xf>
    <xf numFmtId="0" fontId="14" fillId="20" borderId="10" xfId="0" applyFont="1" applyFill="1" applyBorder="1" applyAlignment="1">
      <alignment horizontal="center"/>
    </xf>
    <xf numFmtId="0" fontId="19" fillId="0" borderId="46"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19" fillId="12" borderId="25" xfId="0" applyFont="1" applyFill="1" applyBorder="1" applyAlignment="1">
      <alignment horizontal="center"/>
    </xf>
    <xf numFmtId="0" fontId="19" fillId="12" borderId="26" xfId="0" applyFont="1" applyFill="1" applyBorder="1" applyAlignment="1">
      <alignment horizontal="center"/>
    </xf>
    <xf numFmtId="0" fontId="19" fillId="13" borderId="25" xfId="0" applyFont="1" applyFill="1" applyBorder="1" applyAlignment="1">
      <alignment horizontal="center"/>
    </xf>
    <xf numFmtId="0" fontId="19" fillId="13" borderId="26" xfId="0" applyFont="1" applyFill="1" applyBorder="1" applyAlignment="1">
      <alignment horizontal="center"/>
    </xf>
    <xf numFmtId="0" fontId="19" fillId="14" borderId="25" xfId="0" applyFont="1" applyFill="1" applyBorder="1" applyAlignment="1">
      <alignment horizontal="center"/>
    </xf>
    <xf numFmtId="0" fontId="19" fillId="14" borderId="26" xfId="0" applyFont="1" applyFill="1" applyBorder="1" applyAlignment="1">
      <alignment horizontal="center"/>
    </xf>
    <xf numFmtId="0" fontId="19" fillId="15" borderId="25" xfId="0" applyFont="1" applyFill="1" applyBorder="1" applyAlignment="1">
      <alignment horizontal="center"/>
    </xf>
    <xf numFmtId="0" fontId="19" fillId="15" borderId="26" xfId="0" applyFont="1" applyFill="1" applyBorder="1" applyAlignment="1">
      <alignment horizontal="center"/>
    </xf>
    <xf numFmtId="0" fontId="19" fillId="16" borderId="25" xfId="0" applyFont="1" applyFill="1" applyBorder="1" applyAlignment="1">
      <alignment horizontal="center"/>
    </xf>
    <xf numFmtId="0" fontId="19" fillId="16" borderId="27" xfId="0" applyFont="1" applyFill="1" applyBorder="1" applyAlignment="1">
      <alignment horizontal="center"/>
    </xf>
    <xf numFmtId="0" fontId="19" fillId="17" borderId="25" xfId="0" applyFont="1" applyFill="1" applyBorder="1" applyAlignment="1">
      <alignment horizontal="center"/>
    </xf>
    <xf numFmtId="0" fontId="19" fillId="17" borderId="26" xfId="0" applyFont="1" applyFill="1" applyBorder="1" applyAlignment="1">
      <alignment horizontal="center"/>
    </xf>
    <xf numFmtId="0" fontId="19" fillId="15" borderId="27" xfId="0" applyFont="1" applyFill="1" applyBorder="1" applyAlignment="1">
      <alignment horizontal="center"/>
    </xf>
    <xf numFmtId="0" fontId="19" fillId="25" borderId="25" xfId="0" applyFont="1" applyFill="1" applyBorder="1" applyAlignment="1">
      <alignment horizontal="center"/>
    </xf>
    <xf numFmtId="0" fontId="19" fillId="25" borderId="27" xfId="0" applyFont="1" applyFill="1" applyBorder="1" applyAlignment="1">
      <alignment horizontal="center"/>
    </xf>
    <xf numFmtId="0" fontId="19" fillId="26" borderId="25" xfId="0" applyFont="1" applyFill="1" applyBorder="1" applyAlignment="1">
      <alignment horizontal="center"/>
    </xf>
    <xf numFmtId="0" fontId="19" fillId="26" borderId="27" xfId="0" applyFont="1" applyFill="1" applyBorder="1" applyAlignment="1">
      <alignment horizontal="center"/>
    </xf>
    <xf numFmtId="0" fontId="27" fillId="2" borderId="11" xfId="0" applyFont="1" applyFill="1" applyBorder="1" applyAlignment="1">
      <alignment horizontal="center" wrapText="1"/>
    </xf>
    <xf numFmtId="0" fontId="27" fillId="2" borderId="1" xfId="0" applyFont="1" applyFill="1" applyBorder="1" applyAlignment="1">
      <alignment horizontal="center" wrapText="1"/>
    </xf>
    <xf numFmtId="0" fontId="27" fillId="2" borderId="5" xfId="0" applyFont="1" applyFill="1" applyBorder="1" applyAlignment="1">
      <alignment horizontal="center" wrapText="1"/>
    </xf>
    <xf numFmtId="0" fontId="23" fillId="2" borderId="17" xfId="0" applyFont="1" applyFill="1" applyBorder="1" applyAlignment="1">
      <alignment horizontal="left" vertical="top" wrapText="1"/>
    </xf>
    <xf numFmtId="0" fontId="23" fillId="2" borderId="18" xfId="0" applyFont="1" applyFill="1" applyBorder="1" applyAlignment="1">
      <alignment horizontal="left" vertical="top" wrapText="1"/>
    </xf>
    <xf numFmtId="0" fontId="23" fillId="2" borderId="20"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50" xfId="0" applyFont="1" applyFill="1" applyBorder="1" applyAlignment="1">
      <alignment horizontal="left" vertical="top" wrapText="1"/>
    </xf>
    <xf numFmtId="0" fontId="23" fillId="2" borderId="51" xfId="0" applyFont="1" applyFill="1" applyBorder="1" applyAlignment="1">
      <alignment horizontal="left" vertical="top" wrapText="1"/>
    </xf>
    <xf numFmtId="0" fontId="23" fillId="2" borderId="19"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54" xfId="0" applyFont="1" applyFill="1" applyBorder="1" applyAlignment="1">
      <alignment horizontal="left" vertical="top" wrapText="1"/>
    </xf>
    <xf numFmtId="0" fontId="23" fillId="2" borderId="20" xfId="0" applyFont="1" applyFill="1" applyBorder="1" applyAlignment="1" applyProtection="1">
      <alignment horizontal="left" vertical="top" wrapText="1"/>
      <protection locked="0"/>
    </xf>
    <xf numFmtId="0" fontId="23" fillId="2" borderId="0" xfId="0" applyFont="1" applyFill="1" applyAlignment="1" applyProtection="1">
      <alignment horizontal="left" vertical="top" wrapText="1"/>
      <protection locked="0"/>
    </xf>
    <xf numFmtId="0" fontId="23" fillId="2" borderId="8" xfId="0" applyFont="1" applyFill="1" applyBorder="1" applyAlignment="1" applyProtection="1">
      <alignment horizontal="left" vertical="top" wrapText="1"/>
      <protection locked="0"/>
    </xf>
    <xf numFmtId="0" fontId="23" fillId="2" borderId="50" xfId="0" applyFont="1" applyFill="1" applyBorder="1" applyAlignment="1" applyProtection="1">
      <alignment horizontal="left" vertical="top" wrapText="1"/>
      <protection locked="0"/>
    </xf>
    <xf numFmtId="0" fontId="23" fillId="2" borderId="51" xfId="0" applyFont="1" applyFill="1" applyBorder="1" applyAlignment="1" applyProtection="1">
      <alignment horizontal="left" vertical="top" wrapText="1"/>
      <protection locked="0"/>
    </xf>
    <xf numFmtId="0" fontId="23" fillId="2" borderId="54" xfId="0" applyFont="1" applyFill="1" applyBorder="1" applyAlignment="1" applyProtection="1">
      <alignment horizontal="left" vertical="top" wrapText="1"/>
      <protection locked="0"/>
    </xf>
    <xf numFmtId="0" fontId="27" fillId="2" borderId="17" xfId="0" applyFont="1" applyFill="1" applyBorder="1" applyAlignment="1">
      <alignment horizontal="center" wrapText="1"/>
    </xf>
    <xf numFmtId="0" fontId="27" fillId="2" borderId="18" xfId="0" applyFont="1" applyFill="1" applyBorder="1" applyAlignment="1">
      <alignment horizontal="center" wrapText="1"/>
    </xf>
    <xf numFmtId="0" fontId="16" fillId="29" borderId="1" xfId="0" applyFont="1" applyFill="1" applyBorder="1" applyAlignment="1">
      <alignment horizontal="center"/>
    </xf>
    <xf numFmtId="0" fontId="16" fillId="29" borderId="5" xfId="0" applyFont="1" applyFill="1" applyBorder="1" applyAlignment="1">
      <alignment horizontal="center"/>
    </xf>
    <xf numFmtId="0" fontId="16" fillId="30" borderId="1" xfId="0" applyFont="1" applyFill="1" applyBorder="1" applyAlignment="1">
      <alignment horizontal="center"/>
    </xf>
    <xf numFmtId="0" fontId="16" fillId="30" borderId="5" xfId="0" applyFont="1" applyFill="1" applyBorder="1" applyAlignment="1">
      <alignment horizontal="center"/>
    </xf>
    <xf numFmtId="0" fontId="19" fillId="5" borderId="9"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24" borderId="9" xfId="0" applyFont="1" applyFill="1" applyBorder="1" applyAlignment="1">
      <alignment horizontal="center" vertical="center" wrapText="1"/>
    </xf>
    <xf numFmtId="0" fontId="19" fillId="29" borderId="9" xfId="0" applyFont="1" applyFill="1" applyBorder="1" applyAlignment="1">
      <alignment horizontal="center" vertical="center" wrapText="1"/>
    </xf>
    <xf numFmtId="0" fontId="19" fillId="30" borderId="9" xfId="0" applyFont="1" applyFill="1" applyBorder="1" applyAlignment="1">
      <alignment horizontal="center" vertical="center" wrapText="1"/>
    </xf>
    <xf numFmtId="0" fontId="17" fillId="5" borderId="4" xfId="0" applyFont="1" applyFill="1" applyBorder="1" applyAlignment="1">
      <alignment horizontal="center"/>
    </xf>
    <xf numFmtId="0" fontId="17" fillId="5" borderId="1" xfId="0" applyFont="1" applyFill="1" applyBorder="1" applyAlignment="1">
      <alignment horizontal="center"/>
    </xf>
    <xf numFmtId="0" fontId="17" fillId="5" borderId="5" xfId="0" applyFont="1" applyFill="1" applyBorder="1" applyAlignment="1">
      <alignment horizontal="center"/>
    </xf>
    <xf numFmtId="0" fontId="16" fillId="6" borderId="4" xfId="0" applyFont="1" applyFill="1" applyBorder="1" applyAlignment="1">
      <alignment horizontal="center"/>
    </xf>
    <xf numFmtId="0" fontId="16" fillId="6" borderId="1" xfId="0" applyFont="1" applyFill="1" applyBorder="1" applyAlignment="1">
      <alignment horizontal="center"/>
    </xf>
    <xf numFmtId="0" fontId="16" fillId="6" borderId="5" xfId="0" applyFont="1" applyFill="1" applyBorder="1" applyAlignment="1">
      <alignment horizontal="center"/>
    </xf>
    <xf numFmtId="0" fontId="16" fillId="7" borderId="4" xfId="0" applyFont="1" applyFill="1" applyBorder="1" applyAlignment="1">
      <alignment horizontal="center"/>
    </xf>
    <xf numFmtId="0" fontId="16" fillId="7" borderId="1" xfId="0" applyFont="1" applyFill="1" applyBorder="1" applyAlignment="1">
      <alignment horizontal="center"/>
    </xf>
    <xf numFmtId="0" fontId="16" fillId="7" borderId="5" xfId="0" applyFont="1" applyFill="1" applyBorder="1" applyAlignment="1">
      <alignment horizontal="center"/>
    </xf>
    <xf numFmtId="0" fontId="16" fillId="8" borderId="4" xfId="0" applyFont="1" applyFill="1" applyBorder="1" applyAlignment="1">
      <alignment horizontal="center"/>
    </xf>
    <xf numFmtId="0" fontId="16" fillId="8" borderId="1" xfId="0" applyFont="1" applyFill="1" applyBorder="1" applyAlignment="1">
      <alignment horizontal="center"/>
    </xf>
    <xf numFmtId="0" fontId="16" fillId="8" borderId="5" xfId="0" applyFont="1" applyFill="1" applyBorder="1" applyAlignment="1">
      <alignment horizontal="center"/>
    </xf>
    <xf numFmtId="0" fontId="16" fillId="9" borderId="1" xfId="0" applyFont="1" applyFill="1" applyBorder="1" applyAlignment="1">
      <alignment horizontal="center"/>
    </xf>
    <xf numFmtId="0" fontId="16" fillId="9" borderId="5" xfId="0" applyFont="1" applyFill="1" applyBorder="1" applyAlignment="1">
      <alignment horizontal="center"/>
    </xf>
    <xf numFmtId="0" fontId="16" fillId="24" borderId="1" xfId="0" applyFont="1" applyFill="1" applyBorder="1" applyAlignment="1">
      <alignment horizontal="center"/>
    </xf>
    <xf numFmtId="0" fontId="16" fillId="24" borderId="5" xfId="0" applyFont="1" applyFill="1" applyBorder="1" applyAlignment="1">
      <alignment horizontal="center"/>
    </xf>
  </cellXfs>
  <cellStyles count="9">
    <cellStyle name="Comma" xfId="4" builtinId="3"/>
    <cellStyle name="Comma 2" xfId="7" xr:uid="{4FEB260A-FCB1-4681-840D-10F4BC2F9ED6}"/>
    <cellStyle name="Comma 2 2" xfId="8" xr:uid="{FC9DBD1C-4882-4BBD-97C8-D2043D7A9550}"/>
    <cellStyle name="Comma 5" xfId="6" xr:uid="{E0DD97B2-CB77-4C13-B130-5CF4214BFCB4}"/>
    <cellStyle name="Normal" xfId="0" builtinId="0"/>
    <cellStyle name="Normal 11" xfId="1" xr:uid="{00000000-0005-0000-0000-000002000000}"/>
    <cellStyle name="Normal 11 6" xfId="5" xr:uid="{00000000-0005-0000-0000-000003000000}"/>
    <cellStyle name="Normal 2 2 4" xfId="2" xr:uid="{00000000-0005-0000-0000-000004000000}"/>
    <cellStyle name="Percent 2" xfId="3" xr:uid="{00000000-0005-0000-0000-000005000000}"/>
  </cellStyles>
  <dxfs count="0"/>
  <tableStyles count="0" defaultTableStyle="TableStyleMedium2" defaultPivotStyle="PivotStyleLight16"/>
  <colors>
    <mruColors>
      <color rgb="FFEAD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earch\Supplementals\2022\Nov\From%20Inst\NU\Cash%20Fund%20Revenue%20Summary%20-FINAL%20FY22%20with%20Distance%20Allo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sh%20Fund%20Revenue%20Summary%20-FINAL%20FY23%20with%20Distance%20Allo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atabase%20Manager\Desktop\Supplementals\2016\Supplemental%20Forms_downloa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und Revenue Summary"/>
      <sheetName val="FY22 Allotment Reconciliation"/>
      <sheetName val="06302022"/>
      <sheetName val="Final 22 with Distance Alloc"/>
      <sheetName val="6.30.22 Remissions"/>
      <sheetName val="Remissions Recon to SAP"/>
      <sheetName val="Final Summer 2022 Update-Megan"/>
      <sheetName val="Original CFRS"/>
      <sheetName val="Distance Gross Tuition-Megan"/>
    </sheetNames>
    <sheetDataSet>
      <sheetData sheetId="0" refreshError="1"/>
      <sheetData sheetId="1" refreshError="1"/>
      <sheetData sheetId="2" refreshError="1"/>
      <sheetData sheetId="3" refreshError="1"/>
      <sheetData sheetId="4" refreshError="1"/>
      <sheetData sheetId="5">
        <row r="2">
          <cell r="A2" t="str">
            <v>JE</v>
          </cell>
        </row>
        <row r="3">
          <cell r="A3" t="str">
            <v>JE</v>
          </cell>
        </row>
        <row r="4">
          <cell r="A4" t="str">
            <v>JE</v>
          </cell>
        </row>
        <row r="5">
          <cell r="A5" t="str">
            <v>JE</v>
          </cell>
        </row>
        <row r="6">
          <cell r="A6" t="str">
            <v>JE</v>
          </cell>
        </row>
        <row r="7">
          <cell r="A7" t="str">
            <v>JE</v>
          </cell>
        </row>
        <row r="8">
          <cell r="A8" t="str">
            <v>JE</v>
          </cell>
        </row>
        <row r="9">
          <cell r="A9" t="str">
            <v>JE</v>
          </cell>
        </row>
        <row r="10">
          <cell r="A10" t="str">
            <v>JE</v>
          </cell>
        </row>
        <row r="11">
          <cell r="A11" t="str">
            <v>JE</v>
          </cell>
        </row>
        <row r="12">
          <cell r="A12" t="str">
            <v>JE</v>
          </cell>
        </row>
        <row r="13">
          <cell r="A13" t="str">
            <v>JE</v>
          </cell>
        </row>
        <row r="14">
          <cell r="A14" t="str">
            <v>JE</v>
          </cell>
        </row>
        <row r="15">
          <cell r="A15" t="str">
            <v>JE</v>
          </cell>
        </row>
        <row r="16">
          <cell r="A16" t="str">
            <v>JE</v>
          </cell>
        </row>
        <row r="17">
          <cell r="A17" t="str">
            <v>JE</v>
          </cell>
        </row>
        <row r="18">
          <cell r="A18" t="str">
            <v>JE</v>
          </cell>
        </row>
        <row r="19">
          <cell r="A19" t="str">
            <v>JE</v>
          </cell>
        </row>
        <row r="20">
          <cell r="A20" t="str">
            <v>JE</v>
          </cell>
        </row>
        <row r="21">
          <cell r="A21" t="str">
            <v>UA</v>
          </cell>
        </row>
        <row r="22">
          <cell r="A22" t="str">
            <v>UA</v>
          </cell>
        </row>
        <row r="23">
          <cell r="A23" t="str">
            <v>UA</v>
          </cell>
        </row>
        <row r="24">
          <cell r="A24" t="str">
            <v>UA</v>
          </cell>
        </row>
        <row r="27">
          <cell r="A27" t="str">
            <v>DocTyp</v>
          </cell>
        </row>
        <row r="28">
          <cell r="A28" t="str">
            <v>JE</v>
          </cell>
        </row>
        <row r="29">
          <cell r="A29" t="str">
            <v>JE</v>
          </cell>
        </row>
        <row r="30">
          <cell r="A30" t="str">
            <v>JE</v>
          </cell>
        </row>
        <row r="31">
          <cell r="A31" t="str">
            <v>UA</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und Revenue Summary"/>
      <sheetName val="CFRS Revised PY"/>
      <sheetName val="FY23 Allotment Reconciliation"/>
      <sheetName val="Final 23 with Distance Alloc"/>
      <sheetName val="Jill 06.30.23 CFRS"/>
      <sheetName val="06302023"/>
      <sheetName val="6.30.23 Remissions"/>
      <sheetName val="Remissions Recon to SAP"/>
      <sheetName val="Final Summer 2023-Megan"/>
      <sheetName val="Original CFRS"/>
    </sheetNames>
    <sheetDataSet>
      <sheetData sheetId="0"/>
      <sheetData sheetId="1" refreshError="1"/>
      <sheetData sheetId="2" refreshError="1"/>
      <sheetData sheetId="3" refreshError="1"/>
      <sheetData sheetId="4" refreshError="1"/>
      <sheetData sheetId="5" refreshError="1"/>
      <sheetData sheetId="6" refreshError="1"/>
      <sheetData sheetId="7">
        <row r="2">
          <cell r="M2">
            <v>1778</v>
          </cell>
        </row>
        <row r="3">
          <cell r="M3">
            <v>622</v>
          </cell>
        </row>
        <row r="4">
          <cell r="M4">
            <v>1243</v>
          </cell>
        </row>
        <row r="5">
          <cell r="M5">
            <v>129778</v>
          </cell>
        </row>
        <row r="6">
          <cell r="M6">
            <v>-1778</v>
          </cell>
        </row>
        <row r="7">
          <cell r="M7">
            <v>-622</v>
          </cell>
        </row>
        <row r="8">
          <cell r="M8">
            <v>-1243</v>
          </cell>
        </row>
        <row r="9">
          <cell r="M9">
            <v>-129778</v>
          </cell>
        </row>
        <row r="10">
          <cell r="M10">
            <v>3285</v>
          </cell>
        </row>
        <row r="11">
          <cell r="M11">
            <v>3494</v>
          </cell>
        </row>
        <row r="12">
          <cell r="M12">
            <v>3076</v>
          </cell>
        </row>
        <row r="13">
          <cell r="M13">
            <v>3735</v>
          </cell>
        </row>
        <row r="14">
          <cell r="M14">
            <v>2867</v>
          </cell>
        </row>
        <row r="15">
          <cell r="M15">
            <v>3135</v>
          </cell>
        </row>
        <row r="16">
          <cell r="M16">
            <v>3135</v>
          </cell>
        </row>
        <row r="17">
          <cell r="M17">
            <v>3135</v>
          </cell>
        </row>
        <row r="18">
          <cell r="M18">
            <v>3135</v>
          </cell>
        </row>
        <row r="19">
          <cell r="M19">
            <v>3135</v>
          </cell>
        </row>
        <row r="20">
          <cell r="M20">
            <v>3135</v>
          </cell>
        </row>
        <row r="21">
          <cell r="M21">
            <v>3135</v>
          </cell>
        </row>
        <row r="22">
          <cell r="M22">
            <v>3135</v>
          </cell>
        </row>
        <row r="23">
          <cell r="M23">
            <v>3126</v>
          </cell>
        </row>
        <row r="24">
          <cell r="M24">
            <v>3135</v>
          </cell>
        </row>
        <row r="25">
          <cell r="M25">
            <v>3217</v>
          </cell>
        </row>
        <row r="26">
          <cell r="M26">
            <v>3285</v>
          </cell>
        </row>
        <row r="27">
          <cell r="M27">
            <v>2331</v>
          </cell>
        </row>
        <row r="28">
          <cell r="M28">
            <v>1778</v>
          </cell>
        </row>
        <row r="29">
          <cell r="M29">
            <v>622</v>
          </cell>
        </row>
        <row r="30">
          <cell r="M30">
            <v>1243</v>
          </cell>
        </row>
        <row r="31">
          <cell r="M31">
            <v>-27841</v>
          </cell>
        </row>
        <row r="32">
          <cell r="M32">
            <v>-1616</v>
          </cell>
        </row>
        <row r="33">
          <cell r="M33">
            <v>-3232</v>
          </cell>
        </row>
        <row r="34">
          <cell r="M34">
            <v>129778</v>
          </cell>
        </row>
        <row r="35">
          <cell r="M35">
            <v>-169248</v>
          </cell>
        </row>
      </sheetData>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c_forms"/>
      <sheetName val="CREATE_FORM"/>
      <sheetName val="CCPE_start"/>
      <sheetName val="code_sheet"/>
      <sheetName val="Cash Fund auto"/>
      <sheetName val="Enrollment Summary 4yr"/>
      <sheetName val="Enrollment Summary 2yr"/>
      <sheetName val="Enrollment &amp; Tuition"/>
      <sheetName val="Student Fee Schedule"/>
      <sheetName val="Student Financial Aid"/>
      <sheetName val="Enrollment by Campus"/>
      <sheetName val="Enrollment Summary-Fall"/>
      <sheetName val="Cross-sheet Validation"/>
      <sheetName val="FTE Employees by Type"/>
      <sheetName val="Physical Plant O&amp;M Summary"/>
      <sheetName val="Tuition Rates"/>
      <sheetName val="Tuition &amp; Fees"/>
      <sheetName val="Supplemental Utilities"/>
      <sheetName val="Distance Ed Form"/>
      <sheetName val="Related Information"/>
      <sheetName val="CCC_Utilities_"/>
      <sheetName val="MCC_Utilities_"/>
      <sheetName val="MPCC_Utilities_"/>
      <sheetName val="NECC_Utilities_"/>
      <sheetName val="SCC_Utilities_"/>
      <sheetName val="WNCC_Utilities_"/>
      <sheetName val="CSC_Utilities_"/>
      <sheetName val="PSC_Utilities_"/>
      <sheetName val="WSC_Utilities_"/>
      <sheetName val="MCC_CapitalImprovement_"/>
      <sheetName val="CSC_CapitalImprovement_"/>
      <sheetName val="PSC_CapitalImprovement_"/>
      <sheetName val="WSC_CapitalImprovement_"/>
      <sheetName val="NCTA_Plant Fund Transfers_"/>
      <sheetName val="UNK_Plant Fund Transfers_"/>
      <sheetName val="UNL_Plant Fund Transfers_"/>
      <sheetName val="UNMC_Plant Fund Transfers_"/>
      <sheetName val="UNO_Plant Fund Transfers_"/>
    </sheetNames>
    <sheetDataSet>
      <sheetData sheetId="0"/>
      <sheetData sheetId="1"/>
      <sheetData sheetId="2">
        <row r="1">
          <cell r="S1">
            <v>110</v>
          </cell>
        </row>
        <row r="2">
          <cell r="S2">
            <v>120</v>
          </cell>
          <cell r="U2" t="str">
            <v>Nebraska College of Technical Agriculture</v>
          </cell>
        </row>
        <row r="3">
          <cell r="S3">
            <v>130</v>
          </cell>
          <cell r="U3" t="str">
            <v>University of Nebraska at Kearney</v>
          </cell>
        </row>
        <row r="4">
          <cell r="S4">
            <v>140</v>
          </cell>
          <cell r="U4" t="str">
            <v>University of Nebraska - Lincoln/IANR</v>
          </cell>
        </row>
        <row r="5">
          <cell r="S5">
            <v>150</v>
          </cell>
          <cell r="U5" t="str">
            <v>University of Nebraska Medical Center</v>
          </cell>
        </row>
        <row r="6">
          <cell r="S6">
            <v>160</v>
          </cell>
          <cell r="U6" t="str">
            <v>University of Nebraska at Omaha</v>
          </cell>
        </row>
        <row r="7">
          <cell r="S7">
            <v>220</v>
          </cell>
          <cell r="U7" t="str">
            <v>Chadron State College</v>
          </cell>
        </row>
        <row r="8">
          <cell r="S8">
            <v>240</v>
          </cell>
          <cell r="U8" t="str">
            <v>Peru State College</v>
          </cell>
        </row>
        <row r="9">
          <cell r="S9">
            <v>250</v>
          </cell>
          <cell r="U9" t="str">
            <v>Wayne State College</v>
          </cell>
        </row>
        <row r="10">
          <cell r="S10">
            <v>310</v>
          </cell>
          <cell r="U10" t="str">
            <v>Central Community College</v>
          </cell>
        </row>
        <row r="11">
          <cell r="S11">
            <v>320</v>
          </cell>
          <cell r="U11" t="str">
            <v>Metropolitan Community College</v>
          </cell>
        </row>
        <row r="12">
          <cell r="S12">
            <v>330</v>
          </cell>
          <cell r="U12" t="str">
            <v>Mid-Plains Community College</v>
          </cell>
        </row>
        <row r="13">
          <cell r="S13">
            <v>340</v>
          </cell>
          <cell r="U13" t="str">
            <v>Northeast Community College</v>
          </cell>
        </row>
        <row r="14">
          <cell r="S14">
            <v>350</v>
          </cell>
          <cell r="U14" t="str">
            <v>Southeast Community College</v>
          </cell>
        </row>
        <row r="15">
          <cell r="S15">
            <v>360</v>
          </cell>
          <cell r="U15" t="str">
            <v>Western Nebraska Community College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25CCD-87E4-4807-A090-F282B86AB882}">
  <sheetPr>
    <pageSetUpPr fitToPage="1"/>
  </sheetPr>
  <dimension ref="B1:BP38"/>
  <sheetViews>
    <sheetView showGridLines="0" tabSelected="1" zoomScaleNormal="100" workbookViewId="0">
      <pane xSplit="3" ySplit="5" topLeftCell="AR6" activePane="bottomRight" state="frozen"/>
      <selection activeCell="N43" sqref="N43"/>
      <selection pane="topRight" activeCell="N43" sqref="N43"/>
      <selection pane="bottomLeft" activeCell="N43" sqref="N43"/>
      <selection pane="bottomRight" activeCell="BS14" sqref="BS14"/>
    </sheetView>
  </sheetViews>
  <sheetFormatPr defaultColWidth="9.140625" defaultRowHeight="15" x14ac:dyDescent="0.25"/>
  <cols>
    <col min="1" max="1" width="2.140625" customWidth="1"/>
    <col min="2" max="2" width="21" customWidth="1"/>
    <col min="3" max="3" width="20" customWidth="1"/>
    <col min="4" max="4" width="13.85546875" hidden="1" customWidth="1"/>
    <col min="5" max="5" width="11.42578125" hidden="1" customWidth="1"/>
    <col min="6" max="7" width="10.42578125" hidden="1" customWidth="1"/>
    <col min="8" max="8" width="16.42578125" style="57" hidden="1" customWidth="1"/>
    <col min="9" max="9" width="14.140625" hidden="1" customWidth="1"/>
    <col min="10" max="10" width="11.42578125" hidden="1" customWidth="1"/>
    <col min="11" max="11" width="9.140625" hidden="1" customWidth="1"/>
    <col min="12" max="12" width="10.42578125" hidden="1" customWidth="1"/>
    <col min="13" max="13" width="14.42578125" style="57" hidden="1" customWidth="1"/>
    <col min="14" max="14" width="14.140625" hidden="1" customWidth="1"/>
    <col min="15" max="15" width="11.42578125" hidden="1" customWidth="1"/>
    <col min="16" max="16" width="9.140625" hidden="1" customWidth="1"/>
    <col min="17" max="17" width="10.42578125" hidden="1" customWidth="1"/>
    <col min="18" max="18" width="14.42578125" style="57" hidden="1" customWidth="1"/>
    <col min="19" max="19" width="14.42578125" hidden="1" customWidth="1"/>
    <col min="20" max="20" width="11.42578125" hidden="1" customWidth="1"/>
    <col min="21" max="21" width="9.140625" hidden="1" customWidth="1"/>
    <col min="22" max="22" width="10.42578125" hidden="1" customWidth="1"/>
    <col min="23" max="23" width="14.42578125" style="57" hidden="1" customWidth="1"/>
    <col min="24" max="24" width="14.140625" hidden="1" customWidth="1"/>
    <col min="25" max="25" width="11.42578125" hidden="1" customWidth="1"/>
    <col min="26" max="26" width="9.140625" hidden="1" customWidth="1"/>
    <col min="27" max="27" width="10.42578125" hidden="1" customWidth="1"/>
    <col min="28" max="28" width="14.42578125" style="57" hidden="1" customWidth="1"/>
    <col min="29" max="29" width="14.140625" hidden="1" customWidth="1"/>
    <col min="30" max="30" width="11.42578125" hidden="1" customWidth="1"/>
    <col min="31" max="31" width="9.140625" hidden="1" customWidth="1"/>
    <col min="32" max="32" width="10.42578125" hidden="1" customWidth="1"/>
    <col min="33" max="33" width="14.42578125" style="57" hidden="1" customWidth="1"/>
    <col min="34" max="34" width="14.140625" hidden="1" customWidth="1"/>
    <col min="35" max="35" width="11.42578125" hidden="1" customWidth="1"/>
    <col min="36" max="36" width="9.140625" hidden="1" customWidth="1"/>
    <col min="37" max="37" width="10.42578125" hidden="1" customWidth="1"/>
    <col min="38" max="38" width="14.42578125" style="57" hidden="1" customWidth="1"/>
    <col min="39" max="39" width="14.140625" hidden="1" customWidth="1"/>
    <col min="40" max="40" width="11.42578125" hidden="1" customWidth="1"/>
    <col min="41" max="41" width="9.140625" hidden="1" customWidth="1"/>
    <col min="42" max="42" width="10.42578125" hidden="1" customWidth="1"/>
    <col min="43" max="43" width="14.42578125" style="57" hidden="1" customWidth="1"/>
    <col min="44" max="44" width="14.140625" customWidth="1"/>
    <col min="45" max="45" width="11.42578125" customWidth="1"/>
    <col min="46" max="46" width="9.140625" hidden="1" customWidth="1"/>
    <col min="47" max="47" width="10.42578125" customWidth="1"/>
    <col min="48" max="48" width="14.42578125" style="57" customWidth="1"/>
    <col min="49" max="49" width="14.140625" customWidth="1"/>
    <col min="50" max="50" width="11.42578125" customWidth="1"/>
    <col min="51" max="51" width="9.140625" hidden="1" customWidth="1"/>
    <col min="52" max="52" width="10.42578125" customWidth="1"/>
    <col min="53" max="53" width="14.42578125" style="57" customWidth="1"/>
    <col min="54" max="54" width="14.140625" customWidth="1"/>
    <col min="55" max="55" width="11.42578125" customWidth="1"/>
    <col min="56" max="56" width="9.140625" hidden="1" customWidth="1"/>
    <col min="57" max="57" width="10.42578125" customWidth="1"/>
    <col min="58" max="58" width="14.42578125" style="57" customWidth="1"/>
    <col min="59" max="59" width="14.140625" hidden="1" customWidth="1"/>
    <col min="60" max="60" width="11.42578125" hidden="1" customWidth="1"/>
    <col min="61" max="61" width="9.140625" hidden="1" customWidth="1"/>
    <col min="62" max="62" width="10.42578125" hidden="1" customWidth="1"/>
    <col min="63" max="63" width="14.42578125" style="57" hidden="1" customWidth="1"/>
    <col min="64" max="64" width="14.140625" hidden="1" customWidth="1"/>
    <col min="65" max="65" width="11.42578125" hidden="1" customWidth="1"/>
    <col min="66" max="66" width="9.140625" hidden="1" customWidth="1"/>
    <col min="67" max="67" width="10.42578125" hidden="1" customWidth="1"/>
    <col min="68" max="68" width="14.42578125" style="57" hidden="1" customWidth="1"/>
    <col min="69" max="69" width="1.42578125" customWidth="1"/>
    <col min="702" max="702" width="0" hidden="1" customWidth="1"/>
  </cols>
  <sheetData>
    <row r="1" spans="2:68" ht="15.75" thickBot="1" x14ac:dyDescent="0.3"/>
    <row r="2" spans="2:68" s="60" customFormat="1" ht="23.25" customHeight="1" x14ac:dyDescent="0.35">
      <c r="B2" s="58"/>
      <c r="C2" s="59"/>
      <c r="D2" s="402" t="s">
        <v>205</v>
      </c>
      <c r="E2" s="403"/>
      <c r="F2" s="403"/>
      <c r="G2" s="403"/>
      <c r="H2" s="404"/>
      <c r="I2" s="405" t="s">
        <v>161</v>
      </c>
      <c r="J2" s="406"/>
      <c r="K2" s="406"/>
      <c r="L2" s="406"/>
      <c r="M2" s="407"/>
      <c r="N2" s="408" t="s">
        <v>162</v>
      </c>
      <c r="O2" s="409"/>
      <c r="P2" s="409"/>
      <c r="Q2" s="409"/>
      <c r="R2" s="410"/>
      <c r="S2" s="411" t="s">
        <v>72</v>
      </c>
      <c r="T2" s="412"/>
      <c r="U2" s="412"/>
      <c r="V2" s="412"/>
      <c r="W2" s="413"/>
      <c r="X2" s="414" t="s">
        <v>73</v>
      </c>
      <c r="Y2" s="415"/>
      <c r="Z2" s="415"/>
      <c r="AA2" s="415"/>
      <c r="AB2" s="416"/>
      <c r="AC2" s="420" t="s">
        <v>74</v>
      </c>
      <c r="AD2" s="421"/>
      <c r="AE2" s="421"/>
      <c r="AF2" s="421"/>
      <c r="AG2" s="422"/>
      <c r="AH2" s="402" t="s">
        <v>75</v>
      </c>
      <c r="AI2" s="403"/>
      <c r="AJ2" s="403"/>
      <c r="AK2" s="403"/>
      <c r="AL2" s="404"/>
      <c r="AM2" s="405" t="s">
        <v>76</v>
      </c>
      <c r="AN2" s="406"/>
      <c r="AO2" s="406"/>
      <c r="AP2" s="406"/>
      <c r="AQ2" s="407"/>
      <c r="AR2" s="408" t="s">
        <v>163</v>
      </c>
      <c r="AS2" s="409"/>
      <c r="AT2" s="409"/>
      <c r="AU2" s="409"/>
      <c r="AV2" s="410"/>
      <c r="AW2" s="411" t="s">
        <v>164</v>
      </c>
      <c r="AX2" s="412"/>
      <c r="AY2" s="412"/>
      <c r="AZ2" s="412"/>
      <c r="BA2" s="413"/>
      <c r="BB2" s="414" t="s">
        <v>165</v>
      </c>
      <c r="BC2" s="415"/>
      <c r="BD2" s="415"/>
      <c r="BE2" s="415"/>
      <c r="BF2" s="416"/>
      <c r="BG2" s="417" t="s">
        <v>247</v>
      </c>
      <c r="BH2" s="418"/>
      <c r="BI2" s="418"/>
      <c r="BJ2" s="418"/>
      <c r="BK2" s="419"/>
      <c r="BL2" s="399" t="s">
        <v>248</v>
      </c>
      <c r="BM2" s="400"/>
      <c r="BN2" s="400"/>
      <c r="BO2" s="400"/>
      <c r="BP2" s="401"/>
    </row>
    <row r="3" spans="2:68" ht="24" customHeight="1" thickBot="1" x14ac:dyDescent="0.3">
      <c r="B3" s="61" t="s">
        <v>206</v>
      </c>
      <c r="D3" s="396" t="s">
        <v>207</v>
      </c>
      <c r="E3" s="393" t="s">
        <v>208</v>
      </c>
      <c r="F3" s="393" t="s">
        <v>209</v>
      </c>
      <c r="G3" s="384" t="s">
        <v>210</v>
      </c>
      <c r="H3" s="387" t="s">
        <v>23</v>
      </c>
      <c r="I3" s="396" t="s">
        <v>207</v>
      </c>
      <c r="J3" s="393" t="s">
        <v>208</v>
      </c>
      <c r="K3" s="393" t="s">
        <v>209</v>
      </c>
      <c r="L3" s="384" t="s">
        <v>210</v>
      </c>
      <c r="M3" s="387" t="s">
        <v>23</v>
      </c>
      <c r="N3" s="396" t="s">
        <v>207</v>
      </c>
      <c r="O3" s="393" t="s">
        <v>208</v>
      </c>
      <c r="P3" s="393" t="s">
        <v>209</v>
      </c>
      <c r="Q3" s="384" t="s">
        <v>210</v>
      </c>
      <c r="R3" s="387" t="s">
        <v>23</v>
      </c>
      <c r="S3" s="396" t="s">
        <v>207</v>
      </c>
      <c r="T3" s="393" t="s">
        <v>208</v>
      </c>
      <c r="U3" s="393" t="s">
        <v>209</v>
      </c>
      <c r="V3" s="384" t="s">
        <v>210</v>
      </c>
      <c r="W3" s="387" t="s">
        <v>23</v>
      </c>
      <c r="X3" s="396" t="s">
        <v>207</v>
      </c>
      <c r="Y3" s="393" t="s">
        <v>208</v>
      </c>
      <c r="Z3" s="393" t="s">
        <v>209</v>
      </c>
      <c r="AA3" s="384" t="s">
        <v>210</v>
      </c>
      <c r="AB3" s="387" t="s">
        <v>23</v>
      </c>
      <c r="AC3" s="396" t="s">
        <v>207</v>
      </c>
      <c r="AD3" s="393" t="s">
        <v>208</v>
      </c>
      <c r="AE3" s="393" t="s">
        <v>209</v>
      </c>
      <c r="AF3" s="384" t="s">
        <v>210</v>
      </c>
      <c r="AG3" s="387" t="s">
        <v>23</v>
      </c>
      <c r="AH3" s="396" t="s">
        <v>207</v>
      </c>
      <c r="AI3" s="393" t="s">
        <v>208</v>
      </c>
      <c r="AJ3" s="393" t="s">
        <v>209</v>
      </c>
      <c r="AK3" s="384" t="s">
        <v>210</v>
      </c>
      <c r="AL3" s="387" t="s">
        <v>23</v>
      </c>
      <c r="AM3" s="396" t="s">
        <v>207</v>
      </c>
      <c r="AN3" s="393" t="s">
        <v>208</v>
      </c>
      <c r="AO3" s="393" t="s">
        <v>209</v>
      </c>
      <c r="AP3" s="384" t="s">
        <v>210</v>
      </c>
      <c r="AQ3" s="387" t="s">
        <v>23</v>
      </c>
      <c r="AR3" s="396" t="s">
        <v>207</v>
      </c>
      <c r="AS3" s="393" t="s">
        <v>208</v>
      </c>
      <c r="AT3" s="393" t="s">
        <v>209</v>
      </c>
      <c r="AU3" s="384" t="s">
        <v>210</v>
      </c>
      <c r="AV3" s="387" t="s">
        <v>23</v>
      </c>
      <c r="AW3" s="396" t="s">
        <v>207</v>
      </c>
      <c r="AX3" s="393" t="s">
        <v>208</v>
      </c>
      <c r="AY3" s="393" t="s">
        <v>209</v>
      </c>
      <c r="AZ3" s="384" t="s">
        <v>210</v>
      </c>
      <c r="BA3" s="387" t="s">
        <v>23</v>
      </c>
      <c r="BB3" s="396" t="s">
        <v>207</v>
      </c>
      <c r="BC3" s="393" t="s">
        <v>208</v>
      </c>
      <c r="BD3" s="393" t="s">
        <v>209</v>
      </c>
      <c r="BE3" s="384" t="s">
        <v>210</v>
      </c>
      <c r="BF3" s="387" t="s">
        <v>23</v>
      </c>
      <c r="BG3" s="396" t="s">
        <v>207</v>
      </c>
      <c r="BH3" s="393" t="s">
        <v>208</v>
      </c>
      <c r="BI3" s="393" t="s">
        <v>209</v>
      </c>
      <c r="BJ3" s="384" t="s">
        <v>210</v>
      </c>
      <c r="BK3" s="387" t="s">
        <v>23</v>
      </c>
      <c r="BL3" s="396" t="s">
        <v>207</v>
      </c>
      <c r="BM3" s="393" t="s">
        <v>208</v>
      </c>
      <c r="BN3" s="393" t="s">
        <v>209</v>
      </c>
      <c r="BO3" s="384" t="s">
        <v>210</v>
      </c>
      <c r="BP3" s="387" t="s">
        <v>23</v>
      </c>
    </row>
    <row r="4" spans="2:68" ht="18" customHeight="1" thickBot="1" x14ac:dyDescent="0.3">
      <c r="B4" s="62" t="s">
        <v>211</v>
      </c>
      <c r="C4" s="63"/>
      <c r="D4" s="397"/>
      <c r="E4" s="394"/>
      <c r="F4" s="394"/>
      <c r="G4" s="385"/>
      <c r="H4" s="388"/>
      <c r="I4" s="397"/>
      <c r="J4" s="394"/>
      <c r="K4" s="394"/>
      <c r="L4" s="385"/>
      <c r="M4" s="388"/>
      <c r="N4" s="397"/>
      <c r="O4" s="394"/>
      <c r="P4" s="394"/>
      <c r="Q4" s="385"/>
      <c r="R4" s="388"/>
      <c r="S4" s="397"/>
      <c r="T4" s="394"/>
      <c r="U4" s="394"/>
      <c r="V4" s="385"/>
      <c r="W4" s="388"/>
      <c r="X4" s="397"/>
      <c r="Y4" s="394"/>
      <c r="Z4" s="394"/>
      <c r="AA4" s="385"/>
      <c r="AB4" s="388"/>
      <c r="AC4" s="397"/>
      <c r="AD4" s="394"/>
      <c r="AE4" s="394"/>
      <c r="AF4" s="385"/>
      <c r="AG4" s="388"/>
      <c r="AH4" s="397"/>
      <c r="AI4" s="394"/>
      <c r="AJ4" s="394"/>
      <c r="AK4" s="385"/>
      <c r="AL4" s="388"/>
      <c r="AM4" s="397"/>
      <c r="AN4" s="394"/>
      <c r="AO4" s="394"/>
      <c r="AP4" s="385"/>
      <c r="AQ4" s="388"/>
      <c r="AR4" s="397"/>
      <c r="AS4" s="394"/>
      <c r="AT4" s="394"/>
      <c r="AU4" s="385"/>
      <c r="AV4" s="388"/>
      <c r="AW4" s="397"/>
      <c r="AX4" s="394"/>
      <c r="AY4" s="394"/>
      <c r="AZ4" s="385"/>
      <c r="BA4" s="388"/>
      <c r="BB4" s="397"/>
      <c r="BC4" s="394"/>
      <c r="BD4" s="394"/>
      <c r="BE4" s="385"/>
      <c r="BF4" s="388"/>
      <c r="BG4" s="397"/>
      <c r="BH4" s="394"/>
      <c r="BI4" s="394"/>
      <c r="BJ4" s="385"/>
      <c r="BK4" s="388"/>
      <c r="BL4" s="397"/>
      <c r="BM4" s="394"/>
      <c r="BN4" s="394"/>
      <c r="BO4" s="385"/>
      <c r="BP4" s="388"/>
    </row>
    <row r="5" spans="2:68" ht="18" customHeight="1" x14ac:dyDescent="0.25">
      <c r="B5" s="64" t="s">
        <v>212</v>
      </c>
      <c r="C5" s="370" t="s">
        <v>213</v>
      </c>
      <c r="D5" s="398"/>
      <c r="E5" s="395"/>
      <c r="F5" s="395"/>
      <c r="G5" s="386"/>
      <c r="H5" s="389"/>
      <c r="I5" s="398"/>
      <c r="J5" s="395"/>
      <c r="K5" s="395"/>
      <c r="L5" s="386"/>
      <c r="M5" s="389"/>
      <c r="N5" s="398"/>
      <c r="O5" s="395"/>
      <c r="P5" s="395"/>
      <c r="Q5" s="386"/>
      <c r="R5" s="389"/>
      <c r="S5" s="398"/>
      <c r="T5" s="395"/>
      <c r="U5" s="395"/>
      <c r="V5" s="386"/>
      <c r="W5" s="389"/>
      <c r="X5" s="398"/>
      <c r="Y5" s="395"/>
      <c r="Z5" s="395"/>
      <c r="AA5" s="386"/>
      <c r="AB5" s="389"/>
      <c r="AC5" s="398"/>
      <c r="AD5" s="395"/>
      <c r="AE5" s="395"/>
      <c r="AF5" s="386"/>
      <c r="AG5" s="389"/>
      <c r="AH5" s="398"/>
      <c r="AI5" s="395"/>
      <c r="AJ5" s="395"/>
      <c r="AK5" s="386"/>
      <c r="AL5" s="389"/>
      <c r="AM5" s="398"/>
      <c r="AN5" s="395"/>
      <c r="AO5" s="395"/>
      <c r="AP5" s="386"/>
      <c r="AQ5" s="389"/>
      <c r="AR5" s="398"/>
      <c r="AS5" s="395"/>
      <c r="AT5" s="395"/>
      <c r="AU5" s="386"/>
      <c r="AV5" s="389"/>
      <c r="AW5" s="398"/>
      <c r="AX5" s="395"/>
      <c r="AY5" s="395"/>
      <c r="AZ5" s="386"/>
      <c r="BA5" s="389"/>
      <c r="BB5" s="398"/>
      <c r="BC5" s="395"/>
      <c r="BD5" s="395"/>
      <c r="BE5" s="386"/>
      <c r="BF5" s="389"/>
      <c r="BG5" s="398"/>
      <c r="BH5" s="395"/>
      <c r="BI5" s="395"/>
      <c r="BJ5" s="386"/>
      <c r="BK5" s="389"/>
      <c r="BL5" s="398"/>
      <c r="BM5" s="395"/>
      <c r="BN5" s="395"/>
      <c r="BO5" s="386"/>
      <c r="BP5" s="389"/>
    </row>
    <row r="6" spans="2:68" x14ac:dyDescent="0.25">
      <c r="B6" s="390" t="s">
        <v>214</v>
      </c>
      <c r="C6" s="65" t="s">
        <v>215</v>
      </c>
      <c r="D6" s="66">
        <v>5066</v>
      </c>
      <c r="E6" s="67">
        <v>132205</v>
      </c>
      <c r="F6" s="68"/>
      <c r="G6" s="69">
        <f>IF($B$4="quarter",SUM((E6/45),(F6/900)),IF($B$4="semester",SUM((E6/30),F6/900)))</f>
        <v>4406.833333333333</v>
      </c>
      <c r="H6" s="25">
        <v>23717780</v>
      </c>
      <c r="I6" s="66">
        <v>5004</v>
      </c>
      <c r="J6" s="67">
        <v>128432</v>
      </c>
      <c r="K6" s="68"/>
      <c r="L6" s="69">
        <f>IF($B$4="quarter",SUM((J6/45),(K6/900)),IF($B$4="semester",SUM((J6/30),K6/900)))</f>
        <v>4281.0666666666666</v>
      </c>
      <c r="M6" s="25">
        <v>23364688</v>
      </c>
      <c r="N6" s="66">
        <v>4855</v>
      </c>
      <c r="O6" s="67">
        <v>125696</v>
      </c>
      <c r="P6" s="68"/>
      <c r="Q6" s="69">
        <f>IF($B$4="quarter",SUM((O6/45),(P6/900)),IF($B$4="semester",SUM((O6/30),P6/900)))</f>
        <v>4189.8666666666668</v>
      </c>
      <c r="R6" s="25">
        <v>22850431</v>
      </c>
      <c r="S6" s="66">
        <v>4810</v>
      </c>
      <c r="T6" s="67">
        <v>121394</v>
      </c>
      <c r="U6" s="68"/>
      <c r="V6" s="69">
        <f>IF($B$4="quarter",SUM((T6/45),(U6/900)),IF($B$4="semester",SUM((T6/30),U6/900)))</f>
        <v>4046.4666666666667</v>
      </c>
      <c r="W6" s="25">
        <v>22370849</v>
      </c>
      <c r="X6" s="66">
        <v>4830</v>
      </c>
      <c r="Y6" s="67">
        <v>118642</v>
      </c>
      <c r="Z6" s="68"/>
      <c r="AA6" s="69">
        <f>IF($B$4="quarter",SUM((Y6/45),(Z6/900)),IF($B$4="semester",SUM((Y6/30),Z6/900)))</f>
        <v>3954.7333333333331</v>
      </c>
      <c r="AB6" s="25">
        <v>22508791</v>
      </c>
      <c r="AC6" s="66">
        <v>4557</v>
      </c>
      <c r="AD6" s="67">
        <v>112545</v>
      </c>
      <c r="AE6" s="68"/>
      <c r="AF6" s="69">
        <f>IF($B$4="quarter",SUM((AD6/45),(AE6/900)),IF($B$4="semester",SUM((AD6/30),AE6/900)))</f>
        <v>3751.5</v>
      </c>
      <c r="AG6" s="25">
        <v>22919341</v>
      </c>
      <c r="AH6" s="66">
        <v>4452</v>
      </c>
      <c r="AI6" s="67">
        <v>108942</v>
      </c>
      <c r="AJ6" s="68"/>
      <c r="AK6" s="69">
        <f>IF($B$4="quarter",SUM((AI6/45),(AJ6/900)),IF($B$4="semester",SUM((AI6/30),AJ6/900)))</f>
        <v>3631.4</v>
      </c>
      <c r="AL6" s="25">
        <v>23101930</v>
      </c>
      <c r="AM6" s="66">
        <v>4114</v>
      </c>
      <c r="AN6" s="67">
        <v>105557</v>
      </c>
      <c r="AO6" s="68"/>
      <c r="AP6" s="69">
        <f>IF($B$4="quarter",SUM((AN6/45),(AO6/900)),IF($B$4="semester",SUM((AN6/30),AO6/900)))</f>
        <v>3518.5666666666666</v>
      </c>
      <c r="AQ6" s="25">
        <v>23210084</v>
      </c>
      <c r="AR6" s="66">
        <v>4186</v>
      </c>
      <c r="AS6" s="67">
        <v>103819</v>
      </c>
      <c r="AT6" s="68"/>
      <c r="AU6" s="69">
        <f>IF($B$4="quarter",SUM((AS6/45),(AT6/900)),IF($B$4="semester",SUM((AS6/30),AT6/900)))</f>
        <v>3460.6333333333332</v>
      </c>
      <c r="AV6" s="25">
        <v>23583871</v>
      </c>
      <c r="AW6" s="66">
        <v>4122</v>
      </c>
      <c r="AX6" s="67">
        <v>101076</v>
      </c>
      <c r="AY6" s="67"/>
      <c r="AZ6" s="69">
        <f>IF($B$4="quarter",SUM((AX6/45),(AY6/900)),IF($B$4="semester",SUM((AX6/30),AY6/900)))</f>
        <v>3369.2</v>
      </c>
      <c r="BA6" s="25">
        <f>22967434-542319</f>
        <v>22425115</v>
      </c>
      <c r="BB6" s="23">
        <v>3916</v>
      </c>
      <c r="BC6" s="24">
        <v>97400</v>
      </c>
      <c r="BD6" s="67"/>
      <c r="BE6" s="69">
        <f>IF($B$4="quarter",SUM((BC6/45),(BD6/900)),IF($B$4="semester",SUM((BC6/30),BD6/900)))</f>
        <v>3246.6666666666665</v>
      </c>
      <c r="BF6" s="26">
        <f>22149350-677802</f>
        <v>21471548</v>
      </c>
      <c r="BG6" s="66">
        <v>0</v>
      </c>
      <c r="BH6" s="67">
        <v>0</v>
      </c>
      <c r="BI6" s="67"/>
      <c r="BJ6" s="69">
        <f>IF($B$4="quarter",SUM((BH6/45),(BI6/900)),IF($B$4="semester",SUM((BH6/30),BI6/900)))</f>
        <v>0</v>
      </c>
      <c r="BK6" s="25"/>
      <c r="BL6" s="66">
        <v>0</v>
      </c>
      <c r="BM6" s="67">
        <v>0</v>
      </c>
      <c r="BN6" s="67"/>
      <c r="BO6" s="69">
        <f>IF($B$4="quarter",SUM((BM6/45),(BN6/900)),IF($B$4="semester",SUM((BM6/30),BN6/900)))</f>
        <v>0</v>
      </c>
      <c r="BP6" s="25"/>
    </row>
    <row r="7" spans="2:68" x14ac:dyDescent="0.25">
      <c r="B7" s="391"/>
      <c r="C7" s="65" t="s">
        <v>216</v>
      </c>
      <c r="D7" s="66">
        <v>1162</v>
      </c>
      <c r="E7" s="67">
        <v>24425</v>
      </c>
      <c r="F7" s="68"/>
      <c r="G7" s="69">
        <f>IF($B$4="quarter",SUM((E7/45),(F7/900)),IF($B$4="semester",SUM((E7/30),F7/900)))</f>
        <v>814.16666666666663</v>
      </c>
      <c r="H7" s="25">
        <v>8877193</v>
      </c>
      <c r="I7" s="66">
        <v>1088</v>
      </c>
      <c r="J7" s="67">
        <v>23023</v>
      </c>
      <c r="K7" s="68"/>
      <c r="L7" s="69">
        <f>IF($B$4="quarter",SUM((J7/45),(K7/900)),IF($B$4="semester",SUM((J7/30),K7/900)))</f>
        <v>767.43333333333328</v>
      </c>
      <c r="M7" s="25">
        <v>8423108</v>
      </c>
      <c r="N7" s="66">
        <v>891</v>
      </c>
      <c r="O7" s="67">
        <v>20427</v>
      </c>
      <c r="P7" s="68"/>
      <c r="Q7" s="69">
        <f>IF($B$4="quarter",SUM((O7/45),(P7/900)),IF($B$4="semester",SUM((O7/30),P7/900)))</f>
        <v>680.9</v>
      </c>
      <c r="R7" s="25">
        <v>7812631</v>
      </c>
      <c r="S7" s="66">
        <v>785</v>
      </c>
      <c r="T7" s="67">
        <v>17614</v>
      </c>
      <c r="U7" s="68"/>
      <c r="V7" s="69">
        <f>IF($B$4="quarter",SUM((T7/45),(U7/900)),IF($B$4="semester",SUM((T7/30),U7/900)))</f>
        <v>587.13333333333333</v>
      </c>
      <c r="W7" s="25">
        <v>7143338</v>
      </c>
      <c r="X7" s="66">
        <v>784</v>
      </c>
      <c r="Y7" s="67">
        <v>16815</v>
      </c>
      <c r="Z7" s="68"/>
      <c r="AA7" s="69">
        <f>IF($B$4="quarter",SUM((Y7/45),(Z7/900)),IF($B$4="semester",SUM((Y7/30),Z7/900)))</f>
        <v>560.5</v>
      </c>
      <c r="AB7" s="25">
        <v>7046766</v>
      </c>
      <c r="AC7" s="66">
        <v>793</v>
      </c>
      <c r="AD7" s="67">
        <v>16609</v>
      </c>
      <c r="AE7" s="68"/>
      <c r="AF7" s="69">
        <f>IF($B$4="quarter",SUM((AD7/45),(AE7/900)),IF($B$4="semester",SUM((AD7/30),AE7/900)))</f>
        <v>553.63333333333333</v>
      </c>
      <c r="AG7" s="25">
        <v>6801640</v>
      </c>
      <c r="AH7" s="66">
        <v>696</v>
      </c>
      <c r="AI7" s="67">
        <v>14853</v>
      </c>
      <c r="AJ7" s="68"/>
      <c r="AK7" s="69">
        <f>IF($B$4="quarter",SUM((AI7/45),(AJ7/900)),IF($B$4="semester",SUM((AI7/30),AJ7/900)))</f>
        <v>495.1</v>
      </c>
      <c r="AL7" s="25">
        <v>6251229</v>
      </c>
      <c r="AM7" s="66">
        <v>697</v>
      </c>
      <c r="AN7" s="67">
        <v>15887</v>
      </c>
      <c r="AO7" s="68"/>
      <c r="AP7" s="69">
        <f>IF($B$4="quarter",SUM((AN7/45),(AO7/900)),IF($B$4="semester",SUM((AN7/30),AO7/900)))</f>
        <v>529.56666666666672</v>
      </c>
      <c r="AQ7" s="25">
        <v>6811116</v>
      </c>
      <c r="AR7" s="66">
        <v>631</v>
      </c>
      <c r="AS7" s="67">
        <v>14786</v>
      </c>
      <c r="AT7" s="68"/>
      <c r="AU7" s="69">
        <f>IF($B$4="quarter",SUM((AS7/45),(AT7/900)),IF($B$4="semester",SUM((AS7/30),AT7/900)))</f>
        <v>492.86666666666667</v>
      </c>
      <c r="AV7" s="25">
        <v>6385253</v>
      </c>
      <c r="AW7" s="66">
        <v>765</v>
      </c>
      <c r="AX7" s="67">
        <v>16872</v>
      </c>
      <c r="AY7" s="67"/>
      <c r="AZ7" s="69">
        <f>IF($B$4="quarter",SUM((AX7/45),(AY7/900)),IF($B$4="semester",SUM((AX7/30),AY7/900)))</f>
        <v>562.4</v>
      </c>
      <c r="BA7" s="25">
        <f>7323940-172937</f>
        <v>7151003</v>
      </c>
      <c r="BB7" s="23">
        <v>767</v>
      </c>
      <c r="BC7" s="24">
        <v>17414</v>
      </c>
      <c r="BD7" s="67"/>
      <c r="BE7" s="69">
        <f>IF($B$4="quarter",SUM((BC7/45),(BD7/900)),IF($B$4="semester",SUM((BC7/30),BD7/900)))</f>
        <v>580.4666666666667</v>
      </c>
      <c r="BF7" s="26">
        <f>7603472-232677</f>
        <v>7370795</v>
      </c>
      <c r="BG7" s="66">
        <v>0</v>
      </c>
      <c r="BH7" s="67">
        <v>0</v>
      </c>
      <c r="BI7" s="67"/>
      <c r="BJ7" s="69">
        <f>IF($B$4="quarter",SUM((BH7/45),(BI7/900)),IF($B$4="semester",SUM((BH7/30),BI7/900)))</f>
        <v>0</v>
      </c>
      <c r="BK7" s="25"/>
      <c r="BL7" s="66">
        <v>0</v>
      </c>
      <c r="BM7" s="67">
        <v>0</v>
      </c>
      <c r="BN7" s="67"/>
      <c r="BO7" s="69">
        <f>IF($B$4="quarter",SUM((BM7/45),(BN7/900)),IF($B$4="semester",SUM((BM7/30),BN7/900)))</f>
        <v>0</v>
      </c>
      <c r="BP7" s="25"/>
    </row>
    <row r="8" spans="2:68" x14ac:dyDescent="0.25">
      <c r="B8" s="392"/>
      <c r="C8" s="70" t="s">
        <v>217</v>
      </c>
      <c r="D8" s="71">
        <f t="shared" ref="D8:AL8" si="0">SUM(D6:D7)</f>
        <v>6228</v>
      </c>
      <c r="E8" s="69">
        <f t="shared" si="0"/>
        <v>156630</v>
      </c>
      <c r="F8" s="68">
        <f t="shared" si="0"/>
        <v>0</v>
      </c>
      <c r="G8" s="69">
        <f t="shared" si="0"/>
        <v>5221</v>
      </c>
      <c r="H8" s="72">
        <f t="shared" si="0"/>
        <v>32594973</v>
      </c>
      <c r="I8" s="71">
        <f t="shared" si="0"/>
        <v>6092</v>
      </c>
      <c r="J8" s="69">
        <f t="shared" si="0"/>
        <v>151455</v>
      </c>
      <c r="K8" s="68">
        <f t="shared" si="0"/>
        <v>0</v>
      </c>
      <c r="L8" s="69">
        <f t="shared" si="0"/>
        <v>5048.5</v>
      </c>
      <c r="M8" s="72">
        <f t="shared" si="0"/>
        <v>31787796</v>
      </c>
      <c r="N8" s="71">
        <f t="shared" si="0"/>
        <v>5746</v>
      </c>
      <c r="O8" s="69">
        <f t="shared" si="0"/>
        <v>146123</v>
      </c>
      <c r="P8" s="68">
        <f t="shared" si="0"/>
        <v>0</v>
      </c>
      <c r="Q8" s="69">
        <f t="shared" si="0"/>
        <v>4870.7666666666664</v>
      </c>
      <c r="R8" s="72">
        <f t="shared" si="0"/>
        <v>30663062</v>
      </c>
      <c r="S8" s="71">
        <f t="shared" si="0"/>
        <v>5595</v>
      </c>
      <c r="T8" s="69">
        <f t="shared" si="0"/>
        <v>139008</v>
      </c>
      <c r="U8" s="68">
        <f t="shared" si="0"/>
        <v>0</v>
      </c>
      <c r="V8" s="69">
        <f t="shared" si="0"/>
        <v>4633.6000000000004</v>
      </c>
      <c r="W8" s="72">
        <f t="shared" si="0"/>
        <v>29514187</v>
      </c>
      <c r="X8" s="71">
        <f t="shared" si="0"/>
        <v>5614</v>
      </c>
      <c r="Y8" s="69">
        <f t="shared" si="0"/>
        <v>135457</v>
      </c>
      <c r="Z8" s="68">
        <f t="shared" si="0"/>
        <v>0</v>
      </c>
      <c r="AA8" s="69">
        <f t="shared" si="0"/>
        <v>4515.2333333333336</v>
      </c>
      <c r="AB8" s="72">
        <f t="shared" si="0"/>
        <v>29555557</v>
      </c>
      <c r="AC8" s="71">
        <f t="shared" si="0"/>
        <v>5350</v>
      </c>
      <c r="AD8" s="69">
        <f t="shared" si="0"/>
        <v>129154</v>
      </c>
      <c r="AE8" s="68">
        <f t="shared" si="0"/>
        <v>0</v>
      </c>
      <c r="AF8" s="69">
        <f t="shared" si="0"/>
        <v>4305.1333333333332</v>
      </c>
      <c r="AG8" s="72">
        <f t="shared" si="0"/>
        <v>29720981</v>
      </c>
      <c r="AH8" s="71">
        <f t="shared" si="0"/>
        <v>5148</v>
      </c>
      <c r="AI8" s="69">
        <f t="shared" si="0"/>
        <v>123795</v>
      </c>
      <c r="AJ8" s="68">
        <f t="shared" si="0"/>
        <v>0</v>
      </c>
      <c r="AK8" s="69">
        <f t="shared" si="0"/>
        <v>4126.5</v>
      </c>
      <c r="AL8" s="72">
        <f t="shared" si="0"/>
        <v>29353159</v>
      </c>
      <c r="AM8" s="71">
        <f t="shared" ref="AM8:AU8" si="1">SUM(AM6:AM7)</f>
        <v>4811</v>
      </c>
      <c r="AN8" s="69">
        <f t="shared" si="1"/>
        <v>121444</v>
      </c>
      <c r="AO8" s="68">
        <f t="shared" si="1"/>
        <v>0</v>
      </c>
      <c r="AP8" s="69">
        <f t="shared" si="1"/>
        <v>4048.1333333333332</v>
      </c>
      <c r="AQ8" s="72">
        <f>SUM(AQ6:AQ7)</f>
        <v>30021200</v>
      </c>
      <c r="AR8" s="71">
        <f t="shared" si="1"/>
        <v>4817</v>
      </c>
      <c r="AS8" s="69">
        <f t="shared" si="1"/>
        <v>118605</v>
      </c>
      <c r="AT8" s="68">
        <f t="shared" si="1"/>
        <v>0</v>
      </c>
      <c r="AU8" s="69">
        <f t="shared" si="1"/>
        <v>3953.5</v>
      </c>
      <c r="AV8" s="72">
        <f>SUM(AV6:AV7)</f>
        <v>29969124</v>
      </c>
      <c r="AW8" s="71">
        <f t="shared" ref="AW8:AZ8" si="2">SUM(AW6:AW7)</f>
        <v>4887</v>
      </c>
      <c r="AX8" s="69">
        <f t="shared" si="2"/>
        <v>117948</v>
      </c>
      <c r="AY8" s="69">
        <f t="shared" si="2"/>
        <v>0</v>
      </c>
      <c r="AZ8" s="69">
        <f t="shared" si="2"/>
        <v>3931.6</v>
      </c>
      <c r="BA8" s="72">
        <f>SUM(BA6:BA7)</f>
        <v>29576118</v>
      </c>
      <c r="BB8" s="71">
        <f t="shared" ref="BB8:BE8" si="3">SUM(BB6:BB7)</f>
        <v>4683</v>
      </c>
      <c r="BC8" s="69">
        <f t="shared" si="3"/>
        <v>114814</v>
      </c>
      <c r="BD8" s="69">
        <f t="shared" si="3"/>
        <v>0</v>
      </c>
      <c r="BE8" s="69">
        <f t="shared" si="3"/>
        <v>3827.1333333333332</v>
      </c>
      <c r="BF8" s="72">
        <f>SUM(BF6:BF7)</f>
        <v>28842343</v>
      </c>
      <c r="BG8" s="71">
        <f t="shared" ref="BG8:BJ8" si="4">SUM(BG6:BG7)</f>
        <v>0</v>
      </c>
      <c r="BH8" s="69">
        <f t="shared" si="4"/>
        <v>0</v>
      </c>
      <c r="BI8" s="69">
        <f t="shared" si="4"/>
        <v>0</v>
      </c>
      <c r="BJ8" s="69">
        <f t="shared" si="4"/>
        <v>0</v>
      </c>
      <c r="BK8" s="72">
        <f>SUM(BK6:BK7)</f>
        <v>0</v>
      </c>
      <c r="BL8" s="71">
        <f t="shared" ref="BL8:BO8" si="5">SUM(BL6:BL7)</f>
        <v>0</v>
      </c>
      <c r="BM8" s="69">
        <f t="shared" si="5"/>
        <v>0</v>
      </c>
      <c r="BN8" s="69">
        <f t="shared" si="5"/>
        <v>0</v>
      </c>
      <c r="BO8" s="69">
        <f t="shared" si="5"/>
        <v>0</v>
      </c>
      <c r="BP8" s="72">
        <f>SUM(BP6:BP7)</f>
        <v>0</v>
      </c>
    </row>
    <row r="9" spans="2:68" x14ac:dyDescent="0.25">
      <c r="B9" s="73"/>
      <c r="C9" s="74"/>
      <c r="D9" s="75"/>
      <c r="E9" s="76"/>
      <c r="F9" s="76"/>
      <c r="G9" s="76"/>
      <c r="H9" s="27"/>
      <c r="I9" s="75"/>
      <c r="J9" s="76"/>
      <c r="K9" s="76"/>
      <c r="L9" s="76"/>
      <c r="M9" s="27"/>
      <c r="N9" s="75"/>
      <c r="O9" s="76"/>
      <c r="P9" s="76"/>
      <c r="Q9" s="76"/>
      <c r="R9" s="27"/>
      <c r="S9" s="75"/>
      <c r="T9" s="76"/>
      <c r="U9" s="76"/>
      <c r="V9" s="76"/>
      <c r="W9" s="27"/>
      <c r="X9" s="75"/>
      <c r="Y9" s="76"/>
      <c r="Z9" s="76"/>
      <c r="AA9" s="76"/>
      <c r="AB9" s="27"/>
      <c r="AC9" s="75"/>
      <c r="AD9" s="76"/>
      <c r="AE9" s="76"/>
      <c r="AF9" s="77"/>
      <c r="AG9" s="29"/>
      <c r="AH9" s="78"/>
      <c r="AI9" s="77"/>
      <c r="AJ9" s="77"/>
      <c r="AK9" s="77"/>
      <c r="AL9" s="29"/>
      <c r="AM9" s="78"/>
      <c r="AN9" s="77"/>
      <c r="AO9" s="77"/>
      <c r="AP9" s="77"/>
      <c r="AQ9" s="29"/>
      <c r="AR9" s="75"/>
      <c r="AS9" s="76"/>
      <c r="AT9" s="76"/>
      <c r="AU9" s="76"/>
      <c r="AV9" s="27"/>
      <c r="AW9" s="75"/>
      <c r="AX9" s="76"/>
      <c r="AY9" s="76"/>
      <c r="AZ9" s="76"/>
      <c r="BA9" s="27"/>
      <c r="BB9" s="75"/>
      <c r="BC9" s="76"/>
      <c r="BD9" s="76"/>
      <c r="BE9" s="76"/>
      <c r="BF9" s="27"/>
      <c r="BG9" s="75"/>
      <c r="BH9" s="76"/>
      <c r="BI9" s="76"/>
      <c r="BJ9" s="76"/>
      <c r="BK9" s="27"/>
      <c r="BL9" s="75"/>
      <c r="BM9" s="76"/>
      <c r="BN9" s="76"/>
      <c r="BO9" s="76"/>
      <c r="BP9" s="27"/>
    </row>
    <row r="10" spans="2:68" x14ac:dyDescent="0.25">
      <c r="B10" s="390" t="s">
        <v>218</v>
      </c>
      <c r="C10" s="79" t="s">
        <v>215</v>
      </c>
      <c r="D10" s="66">
        <v>1600</v>
      </c>
      <c r="E10" s="67">
        <v>12599</v>
      </c>
      <c r="F10" s="68"/>
      <c r="G10" s="69">
        <f>IF($B$4="quarter",SUM((E10/36),(F10/900)),IF($B$4="semester",SUM((E10/24),F10/900)))</f>
        <v>524.95833333333337</v>
      </c>
      <c r="H10" s="25">
        <v>4166840</v>
      </c>
      <c r="I10" s="66">
        <v>1625</v>
      </c>
      <c r="J10" s="67">
        <v>14668</v>
      </c>
      <c r="K10" s="68"/>
      <c r="L10" s="69">
        <f>IF($B$4="quarter",SUM((J10/36),(K10/900)),IF($B$4="semester",SUM((J10/24),K10/900)))</f>
        <v>611.16666666666663</v>
      </c>
      <c r="M10" s="25">
        <v>5174289</v>
      </c>
      <c r="N10" s="66">
        <v>1738</v>
      </c>
      <c r="O10" s="67">
        <v>15440</v>
      </c>
      <c r="P10" s="68"/>
      <c r="Q10" s="69">
        <f>IF($B$4="quarter",SUM((O10/36),(P10/900)),IF($B$4="semester",SUM((O10/24),P10/900)))</f>
        <v>643.33333333333337</v>
      </c>
      <c r="R10" s="25">
        <v>5299365</v>
      </c>
      <c r="S10" s="80">
        <v>1732</v>
      </c>
      <c r="T10" s="67">
        <v>15933</v>
      </c>
      <c r="U10" s="68"/>
      <c r="V10" s="69">
        <f>IF($B$4="quarter",SUM((T10/36),(U10/900)),IF($B$4="semester",SUM((T10/24),U10/900)))</f>
        <v>663.875</v>
      </c>
      <c r="W10" s="25">
        <v>5073976</v>
      </c>
      <c r="X10" s="80">
        <v>1894</v>
      </c>
      <c r="Y10" s="67">
        <v>17193</v>
      </c>
      <c r="Z10" s="68"/>
      <c r="AA10" s="69">
        <f>IF($B$4="quarter",SUM((Y10/36),(Z10/900)),IF($B$4="semester",SUM((Y10/24),Z10/900)))</f>
        <v>716.375</v>
      </c>
      <c r="AB10" s="25">
        <v>5437747</v>
      </c>
      <c r="AC10" s="66">
        <v>1946</v>
      </c>
      <c r="AD10" s="67">
        <v>18465</v>
      </c>
      <c r="AE10" s="68"/>
      <c r="AF10" s="69">
        <f>IF($B$4="quarter",SUM((AD10/36),(AE10/900)),IF($B$4="semester",SUM((AD10/24),AE10/900)))</f>
        <v>769.375</v>
      </c>
      <c r="AG10" s="25">
        <v>5290180</v>
      </c>
      <c r="AH10" s="66">
        <v>1975</v>
      </c>
      <c r="AI10" s="67">
        <v>18178</v>
      </c>
      <c r="AJ10" s="68"/>
      <c r="AK10" s="69">
        <f>IF($B$4="quarter",SUM((AI10/36),(AJ10/900)),IF($B$4="semester",SUM((AI10/24),AJ10/900)))</f>
        <v>757.41666666666663</v>
      </c>
      <c r="AL10" s="25">
        <v>5382406</v>
      </c>
      <c r="AM10" s="66">
        <v>2006</v>
      </c>
      <c r="AN10" s="67">
        <v>19061</v>
      </c>
      <c r="AO10" s="68"/>
      <c r="AP10" s="69">
        <f>IF($B$4="quarter",SUM((AN10/36),(AO10/900)),IF($B$4="semester",SUM((AN10/24),AO10/900)))</f>
        <v>794.20833333333337</v>
      </c>
      <c r="AQ10" s="25">
        <v>5807199</v>
      </c>
      <c r="AR10" s="66">
        <v>2049</v>
      </c>
      <c r="AS10" s="67">
        <v>19265</v>
      </c>
      <c r="AT10" s="68"/>
      <c r="AU10" s="69">
        <f>IF($B$4="quarter",SUM((AS10/36),(AT10/900)),IF($B$4="semester",SUM((AS10/24),AT10/900)))</f>
        <v>802.70833333333337</v>
      </c>
      <c r="AV10" s="25">
        <v>5969411</v>
      </c>
      <c r="AW10" s="66">
        <v>2078</v>
      </c>
      <c r="AX10" s="67">
        <v>19949</v>
      </c>
      <c r="AY10" s="68"/>
      <c r="AZ10" s="69">
        <f>IF($B$4="quarter",SUM((AX10/36),(AY10/900)),IF($B$4="semester",SUM((AX10/24),AY10/900)))</f>
        <v>831.20833333333337</v>
      </c>
      <c r="BA10" s="25">
        <f>6224544-146977</f>
        <v>6077567</v>
      </c>
      <c r="BB10" s="23">
        <v>1986</v>
      </c>
      <c r="BC10" s="24">
        <v>19882</v>
      </c>
      <c r="BD10" s="68"/>
      <c r="BE10" s="69">
        <f>IF($B$4="quarter",SUM((BC10/36),(BD10/900)),IF($B$4="semester",SUM((BC10/24),BD10/900)))</f>
        <v>828.41666666666663</v>
      </c>
      <c r="BF10" s="26">
        <f>6276124-192058</f>
        <v>6084066</v>
      </c>
      <c r="BG10" s="66">
        <v>0</v>
      </c>
      <c r="BH10" s="67">
        <v>0</v>
      </c>
      <c r="BI10" s="68"/>
      <c r="BJ10" s="69">
        <f>IF($B$4="quarter",SUM((BH10/36),(BI10/900)),IF($B$4="semester",SUM((BH10/24),BI10/900)))</f>
        <v>0</v>
      </c>
      <c r="BK10" s="25"/>
      <c r="BL10" s="66">
        <v>0</v>
      </c>
      <c r="BM10" s="67">
        <v>0</v>
      </c>
      <c r="BN10" s="68"/>
      <c r="BO10" s="69">
        <f>IF($B$4="quarter",SUM((BM10/36),(BN10/900)),IF($B$4="semester",SUM((BM10/24),BN10/900)))</f>
        <v>0</v>
      </c>
      <c r="BP10" s="25"/>
    </row>
    <row r="11" spans="2:68" x14ac:dyDescent="0.25">
      <c r="B11" s="391"/>
      <c r="C11" s="79" t="s">
        <v>216</v>
      </c>
      <c r="D11" s="66">
        <v>810</v>
      </c>
      <c r="E11" s="67">
        <v>7230</v>
      </c>
      <c r="F11" s="68"/>
      <c r="G11" s="69">
        <f>IF($B$4="quarter",SUM((E11/36),(F11/900)),IF($B$4="semester",SUM((E11/24),F11/900)))</f>
        <v>301.25</v>
      </c>
      <c r="H11" s="25">
        <v>2232776</v>
      </c>
      <c r="I11" s="66">
        <v>812</v>
      </c>
      <c r="J11" s="67">
        <v>7436</v>
      </c>
      <c r="K11" s="68"/>
      <c r="L11" s="69">
        <f>IF($B$4="quarter",SUM((J11/36),(K11/900)),IF($B$4="semester",SUM((J11/24),K11/900)))</f>
        <v>309.83333333333331</v>
      </c>
      <c r="M11" s="25">
        <v>1930819</v>
      </c>
      <c r="N11" s="66">
        <v>810</v>
      </c>
      <c r="O11" s="67">
        <v>7494</v>
      </c>
      <c r="P11" s="68"/>
      <c r="Q11" s="69">
        <f>IF($B$4="quarter",SUM((O11/36),(P11/900)),IF($B$4="semester",SUM((O11/24),P11/900)))</f>
        <v>312.25</v>
      </c>
      <c r="R11" s="25">
        <v>2033235</v>
      </c>
      <c r="S11" s="80">
        <v>775</v>
      </c>
      <c r="T11" s="67">
        <v>7437</v>
      </c>
      <c r="U11" s="68"/>
      <c r="V11" s="69">
        <f>IF($B$4="quarter",SUM((T11/36),(U11/900)),IF($B$4="semester",SUM((T11/24),U11/900)))</f>
        <v>309.875</v>
      </c>
      <c r="W11" s="25">
        <v>2628247</v>
      </c>
      <c r="X11" s="80">
        <v>756</v>
      </c>
      <c r="Y11" s="67">
        <v>6960</v>
      </c>
      <c r="Z11" s="68"/>
      <c r="AA11" s="69">
        <f>IF($B$4="quarter",SUM((Y11/36),(Z11/900)),IF($B$4="semester",SUM((Y11/24),Z11/900)))</f>
        <v>290</v>
      </c>
      <c r="AB11" s="25">
        <v>2612107</v>
      </c>
      <c r="AC11" s="66">
        <v>745</v>
      </c>
      <c r="AD11" s="67">
        <v>6922</v>
      </c>
      <c r="AE11" s="68"/>
      <c r="AF11" s="69">
        <f>IF($B$4="quarter",SUM((AD11/36),(AE11/900)),IF($B$4="semester",SUM((AD11/24),AE11/900)))</f>
        <v>288.41666666666669</v>
      </c>
      <c r="AG11" s="25">
        <v>3365033</v>
      </c>
      <c r="AH11" s="66">
        <v>736</v>
      </c>
      <c r="AI11" s="67">
        <v>7119</v>
      </c>
      <c r="AJ11" s="68"/>
      <c r="AK11" s="69">
        <f>IF($B$4="quarter",SUM((AI11/36),(AJ11/900)),IF($B$4="semester",SUM((AI11/24),AJ11/900)))</f>
        <v>296.625</v>
      </c>
      <c r="AL11" s="25">
        <v>3533013</v>
      </c>
      <c r="AM11" s="66">
        <v>747</v>
      </c>
      <c r="AN11" s="67">
        <v>7675</v>
      </c>
      <c r="AO11" s="68"/>
      <c r="AP11" s="69">
        <f>IF($B$4="quarter",SUM((AN11/36),(AO11/900)),IF($B$4="semester",SUM((AN11/24),AO11/900)))</f>
        <v>319.79166666666669</v>
      </c>
      <c r="AQ11" s="25">
        <v>3898609</v>
      </c>
      <c r="AR11" s="66">
        <v>690</v>
      </c>
      <c r="AS11" s="67">
        <v>7245</v>
      </c>
      <c r="AT11" s="68"/>
      <c r="AU11" s="69">
        <f>IF($B$4="quarter",SUM((AS11/36),(AT11/900)),IF($B$4="semester",SUM((AS11/24),AT11/900)))</f>
        <v>301.875</v>
      </c>
      <c r="AV11" s="25">
        <v>3778453</v>
      </c>
      <c r="AW11" s="66">
        <v>602</v>
      </c>
      <c r="AX11" s="67">
        <v>6188</v>
      </c>
      <c r="AY11" s="68"/>
      <c r="AZ11" s="69">
        <f>IF($B$4="quarter",SUM((AX11/36),(AY11/900)),IF($B$4="semester",SUM((AX11/24),AY11/900)))</f>
        <v>257.83333333333331</v>
      </c>
      <c r="BA11" s="25">
        <f>3266510-77131</f>
        <v>3189379</v>
      </c>
      <c r="BB11" s="23">
        <v>543</v>
      </c>
      <c r="BC11" s="24">
        <v>5477</v>
      </c>
      <c r="BD11" s="68"/>
      <c r="BE11" s="69">
        <f>IF($B$4="quarter",SUM((BC11/36),(BD11/900)),IF($B$4="semester",SUM((BC11/24),BD11/900)))</f>
        <v>228.20833333333334</v>
      </c>
      <c r="BF11" s="26">
        <f>2840745-86931</f>
        <v>2753814</v>
      </c>
      <c r="BG11" s="66">
        <v>0</v>
      </c>
      <c r="BH11" s="67">
        <v>0</v>
      </c>
      <c r="BI11" s="68"/>
      <c r="BJ11" s="69">
        <f>IF($B$4="quarter",SUM((BH11/36),(BI11/900)),IF($B$4="semester",SUM((BH11/24),BI11/900)))</f>
        <v>0</v>
      </c>
      <c r="BK11" s="25"/>
      <c r="BL11" s="66">
        <v>0</v>
      </c>
      <c r="BM11" s="67">
        <v>0</v>
      </c>
      <c r="BN11" s="68"/>
      <c r="BO11" s="69">
        <f>IF($B$4="quarter",SUM((BM11/36),(BN11/900)),IF($B$4="semester",SUM((BM11/24),BN11/900)))</f>
        <v>0</v>
      </c>
      <c r="BP11" s="25"/>
    </row>
    <row r="12" spans="2:68" x14ac:dyDescent="0.25">
      <c r="B12" s="392"/>
      <c r="C12" s="81" t="s">
        <v>217</v>
      </c>
      <c r="D12" s="71">
        <f t="shared" ref="D12:AL12" si="6">SUM(D10:D11)</f>
        <v>2410</v>
      </c>
      <c r="E12" s="69">
        <f t="shared" si="6"/>
        <v>19829</v>
      </c>
      <c r="F12" s="68">
        <f t="shared" si="6"/>
        <v>0</v>
      </c>
      <c r="G12" s="69">
        <f t="shared" si="6"/>
        <v>826.20833333333337</v>
      </c>
      <c r="H12" s="72">
        <f t="shared" si="6"/>
        <v>6399616</v>
      </c>
      <c r="I12" s="71">
        <f t="shared" si="6"/>
        <v>2437</v>
      </c>
      <c r="J12" s="69">
        <f t="shared" si="6"/>
        <v>22104</v>
      </c>
      <c r="K12" s="68">
        <f t="shared" si="6"/>
        <v>0</v>
      </c>
      <c r="L12" s="69">
        <f t="shared" si="6"/>
        <v>921</v>
      </c>
      <c r="M12" s="72">
        <f t="shared" si="6"/>
        <v>7105108</v>
      </c>
      <c r="N12" s="71">
        <f t="shared" si="6"/>
        <v>2548</v>
      </c>
      <c r="O12" s="69">
        <f t="shared" si="6"/>
        <v>22934</v>
      </c>
      <c r="P12" s="68">
        <f t="shared" si="6"/>
        <v>0</v>
      </c>
      <c r="Q12" s="69">
        <f t="shared" si="6"/>
        <v>955.58333333333337</v>
      </c>
      <c r="R12" s="72">
        <f t="shared" si="6"/>
        <v>7332600</v>
      </c>
      <c r="S12" s="71">
        <f t="shared" si="6"/>
        <v>2507</v>
      </c>
      <c r="T12" s="69">
        <f t="shared" si="6"/>
        <v>23370</v>
      </c>
      <c r="U12" s="68">
        <f t="shared" si="6"/>
        <v>0</v>
      </c>
      <c r="V12" s="69">
        <f t="shared" si="6"/>
        <v>973.75</v>
      </c>
      <c r="W12" s="72">
        <f t="shared" si="6"/>
        <v>7702223</v>
      </c>
      <c r="X12" s="71">
        <f t="shared" si="6"/>
        <v>2650</v>
      </c>
      <c r="Y12" s="69">
        <f t="shared" si="6"/>
        <v>24153</v>
      </c>
      <c r="Z12" s="68">
        <f t="shared" si="6"/>
        <v>0</v>
      </c>
      <c r="AA12" s="69">
        <f t="shared" si="6"/>
        <v>1006.375</v>
      </c>
      <c r="AB12" s="72">
        <f t="shared" si="6"/>
        <v>8049854</v>
      </c>
      <c r="AC12" s="71">
        <f t="shared" si="6"/>
        <v>2691</v>
      </c>
      <c r="AD12" s="69">
        <f t="shared" si="6"/>
        <v>25387</v>
      </c>
      <c r="AE12" s="68">
        <f t="shared" si="6"/>
        <v>0</v>
      </c>
      <c r="AF12" s="69">
        <f t="shared" si="6"/>
        <v>1057.7916666666667</v>
      </c>
      <c r="AG12" s="72">
        <f t="shared" si="6"/>
        <v>8655213</v>
      </c>
      <c r="AH12" s="71">
        <f t="shared" si="6"/>
        <v>2711</v>
      </c>
      <c r="AI12" s="69">
        <f t="shared" si="6"/>
        <v>25297</v>
      </c>
      <c r="AJ12" s="68">
        <f t="shared" si="6"/>
        <v>0</v>
      </c>
      <c r="AK12" s="69">
        <f t="shared" si="6"/>
        <v>1054.0416666666665</v>
      </c>
      <c r="AL12" s="72">
        <f t="shared" si="6"/>
        <v>8915419</v>
      </c>
      <c r="AM12" s="71">
        <f t="shared" ref="AM12:AU12" si="7">SUM(AM10:AM11)</f>
        <v>2753</v>
      </c>
      <c r="AN12" s="69">
        <f t="shared" si="7"/>
        <v>26736</v>
      </c>
      <c r="AO12" s="68">
        <f t="shared" si="7"/>
        <v>0</v>
      </c>
      <c r="AP12" s="69">
        <f t="shared" si="7"/>
        <v>1114</v>
      </c>
      <c r="AQ12" s="72">
        <f>SUM(AQ10:AQ11)</f>
        <v>9705808</v>
      </c>
      <c r="AR12" s="71">
        <f t="shared" si="7"/>
        <v>2739</v>
      </c>
      <c r="AS12" s="69">
        <f t="shared" si="7"/>
        <v>26510</v>
      </c>
      <c r="AT12" s="68">
        <f t="shared" si="7"/>
        <v>0</v>
      </c>
      <c r="AU12" s="69">
        <f t="shared" si="7"/>
        <v>1104.5833333333335</v>
      </c>
      <c r="AV12" s="72">
        <f>SUM(AV10:AV11)</f>
        <v>9747864</v>
      </c>
      <c r="AW12" s="71">
        <f t="shared" ref="AW12:AZ12" si="8">SUM(AW10:AW11)</f>
        <v>2680</v>
      </c>
      <c r="AX12" s="69">
        <f t="shared" si="8"/>
        <v>26137</v>
      </c>
      <c r="AY12" s="68">
        <f t="shared" si="8"/>
        <v>0</v>
      </c>
      <c r="AZ12" s="69">
        <f t="shared" si="8"/>
        <v>1089.0416666666667</v>
      </c>
      <c r="BA12" s="72">
        <f>SUM(BA10:BA11)</f>
        <v>9266946</v>
      </c>
      <c r="BB12" s="71">
        <f t="shared" ref="BB12:BE12" si="9">SUM(BB10:BB11)</f>
        <v>2529</v>
      </c>
      <c r="BC12" s="69">
        <f t="shared" si="9"/>
        <v>25359</v>
      </c>
      <c r="BD12" s="68">
        <f t="shared" si="9"/>
        <v>0</v>
      </c>
      <c r="BE12" s="69">
        <f t="shared" si="9"/>
        <v>1056.625</v>
      </c>
      <c r="BF12" s="72">
        <f>SUM(BF10:BF11)</f>
        <v>8837880</v>
      </c>
      <c r="BG12" s="71">
        <f t="shared" ref="BG12:BJ12" si="10">SUM(BG10:BG11)</f>
        <v>0</v>
      </c>
      <c r="BH12" s="69">
        <f t="shared" si="10"/>
        <v>0</v>
      </c>
      <c r="BI12" s="68">
        <f t="shared" si="10"/>
        <v>0</v>
      </c>
      <c r="BJ12" s="69">
        <f t="shared" si="10"/>
        <v>0</v>
      </c>
      <c r="BK12" s="72">
        <f>SUM(BK10:BK11)</f>
        <v>0</v>
      </c>
      <c r="BL12" s="71">
        <f t="shared" ref="BL12:BO12" si="11">SUM(BL10:BL11)</f>
        <v>0</v>
      </c>
      <c r="BM12" s="69">
        <f t="shared" si="11"/>
        <v>0</v>
      </c>
      <c r="BN12" s="68">
        <f t="shared" si="11"/>
        <v>0</v>
      </c>
      <c r="BO12" s="69">
        <f t="shared" si="11"/>
        <v>0</v>
      </c>
      <c r="BP12" s="72">
        <f>SUM(BP10:BP11)</f>
        <v>0</v>
      </c>
    </row>
    <row r="13" spans="2:68" x14ac:dyDescent="0.25">
      <c r="B13" s="73"/>
      <c r="C13" s="74"/>
      <c r="D13" s="75"/>
      <c r="E13" s="76"/>
      <c r="F13" s="76"/>
      <c r="G13" s="76"/>
      <c r="H13" s="27"/>
      <c r="I13" s="75"/>
      <c r="J13" s="76"/>
      <c r="K13" s="76"/>
      <c r="L13" s="76"/>
      <c r="M13" s="27"/>
      <c r="N13" s="75"/>
      <c r="O13" s="76"/>
      <c r="P13" s="76"/>
      <c r="Q13" s="76"/>
      <c r="R13" s="27"/>
      <c r="S13" s="75"/>
      <c r="T13" s="76"/>
      <c r="U13" s="76"/>
      <c r="V13" s="76"/>
      <c r="W13" s="27"/>
      <c r="X13" s="75"/>
      <c r="Y13" s="76"/>
      <c r="Z13" s="76"/>
      <c r="AA13" s="76"/>
      <c r="AB13" s="27"/>
      <c r="AC13" s="75"/>
      <c r="AD13" s="76"/>
      <c r="AE13" s="76"/>
      <c r="AF13" s="77"/>
      <c r="AG13" s="29"/>
      <c r="AH13" s="78"/>
      <c r="AI13" s="77"/>
      <c r="AJ13" s="77"/>
      <c r="AK13" s="77"/>
      <c r="AL13" s="29"/>
      <c r="AM13" s="78"/>
      <c r="AN13" s="77"/>
      <c r="AO13" s="77"/>
      <c r="AP13" s="77"/>
      <c r="AQ13" s="29"/>
      <c r="AR13" s="75"/>
      <c r="AS13" s="76"/>
      <c r="AT13" s="76"/>
      <c r="AU13" s="76"/>
      <c r="AV13" s="27"/>
      <c r="AW13" s="75"/>
      <c r="AX13" s="76"/>
      <c r="AY13" s="76"/>
      <c r="AZ13" s="76"/>
      <c r="BA13" s="27"/>
      <c r="BB13" s="75"/>
      <c r="BC13" s="76"/>
      <c r="BD13" s="76"/>
      <c r="BE13" s="76"/>
      <c r="BF13" s="27"/>
      <c r="BG13" s="75"/>
      <c r="BH13" s="76"/>
      <c r="BI13" s="76"/>
      <c r="BJ13" s="76"/>
      <c r="BK13" s="27"/>
      <c r="BL13" s="75"/>
      <c r="BM13" s="76"/>
      <c r="BN13" s="76"/>
      <c r="BO13" s="76"/>
      <c r="BP13" s="27"/>
    </row>
    <row r="14" spans="2:68" x14ac:dyDescent="0.25">
      <c r="B14" s="390" t="s">
        <v>219</v>
      </c>
      <c r="C14" s="79" t="s">
        <v>215</v>
      </c>
      <c r="D14" s="66">
        <v>0</v>
      </c>
      <c r="E14" s="67">
        <v>0</v>
      </c>
      <c r="F14" s="68"/>
      <c r="G14" s="69">
        <f>IF($B$4="quarter",SUM((E14/36),(F14/900)),IF($B$4="semester",SUM((E14/24),F14/900)))</f>
        <v>0</v>
      </c>
      <c r="H14" s="25">
        <v>0</v>
      </c>
      <c r="I14" s="66">
        <v>0</v>
      </c>
      <c r="J14" s="67">
        <v>0</v>
      </c>
      <c r="K14" s="68"/>
      <c r="L14" s="69">
        <f>IF($B$4="quarter",SUM((J14/36),(K14/900)),IF($B$4="semester",SUM((J14/24),K14/900)))</f>
        <v>0</v>
      </c>
      <c r="M14" s="25">
        <v>0</v>
      </c>
      <c r="N14" s="66">
        <v>0</v>
      </c>
      <c r="O14" s="67">
        <v>0</v>
      </c>
      <c r="P14" s="68"/>
      <c r="Q14" s="69">
        <f>IF($B$4="quarter",SUM((O14/36),(P14/900)),IF($B$4="semester",SUM((O14/24),P14/900)))</f>
        <v>0</v>
      </c>
      <c r="R14" s="25">
        <v>0</v>
      </c>
      <c r="S14" s="66">
        <v>0</v>
      </c>
      <c r="T14" s="67">
        <v>0</v>
      </c>
      <c r="U14" s="68"/>
      <c r="V14" s="69">
        <f>IF($B$4="quarter",SUM((T14/36),(U14/900)),IF($B$4="semester",SUM((T14/24),U14/900)))</f>
        <v>0</v>
      </c>
      <c r="W14" s="25">
        <v>0</v>
      </c>
      <c r="X14" s="66">
        <v>0</v>
      </c>
      <c r="Y14" s="67">
        <v>0</v>
      </c>
      <c r="Z14" s="68"/>
      <c r="AA14" s="69">
        <f>IF($B$4="quarter",SUM((Y14/36),(Z14/900)),IF($B$4="semester",SUM((Y14/24),Z14/900)))</f>
        <v>0</v>
      </c>
      <c r="AB14" s="25">
        <v>0</v>
      </c>
      <c r="AC14" s="66">
        <v>0</v>
      </c>
      <c r="AD14" s="67">
        <v>0</v>
      </c>
      <c r="AE14" s="68"/>
      <c r="AF14" s="69">
        <f>IF($B$4="quarter",SUM((AD14/36),(AE14/900)),IF($B$4="semester",SUM((AD14/24),AE14/900)))</f>
        <v>0</v>
      </c>
      <c r="AG14" s="25">
        <v>0</v>
      </c>
      <c r="AH14" s="66">
        <v>0</v>
      </c>
      <c r="AI14" s="67">
        <v>0</v>
      </c>
      <c r="AJ14" s="68"/>
      <c r="AK14" s="69">
        <f>IF($B$4="quarter",SUM((AI14/36),(AJ14/900)),IF($B$4="semester",SUM((AI14/24),AJ14/900)))</f>
        <v>0</v>
      </c>
      <c r="AL14" s="25">
        <v>0</v>
      </c>
      <c r="AM14" s="66">
        <v>0</v>
      </c>
      <c r="AN14" s="67">
        <v>0</v>
      </c>
      <c r="AO14" s="68"/>
      <c r="AP14" s="69">
        <f>IF($B$4="quarter",SUM((AN14/36),(AO14/900)),IF($B$4="semester",SUM((AN14/24),AO14/900)))</f>
        <v>0</v>
      </c>
      <c r="AQ14" s="25">
        <v>0</v>
      </c>
      <c r="AR14" s="66">
        <v>0</v>
      </c>
      <c r="AS14" s="67">
        <v>0</v>
      </c>
      <c r="AT14" s="68"/>
      <c r="AU14" s="69">
        <f>IF($B$4="quarter",SUM((AS14/36),(AT14/900)),IF($B$4="semester",SUM((AS14/24),AT14/900)))</f>
        <v>0</v>
      </c>
      <c r="AV14" s="25"/>
      <c r="AW14" s="66">
        <v>0</v>
      </c>
      <c r="AX14" s="67">
        <v>0</v>
      </c>
      <c r="AY14" s="68"/>
      <c r="AZ14" s="69">
        <f>IF($B$4="quarter",SUM((AX14/36),(AY14/900)),IF($B$4="semester",SUM((AX14/24),AY14/900)))</f>
        <v>0</v>
      </c>
      <c r="BA14" s="25"/>
      <c r="BB14" s="23">
        <v>0</v>
      </c>
      <c r="BC14" s="24">
        <v>0</v>
      </c>
      <c r="BD14" s="68"/>
      <c r="BE14" s="69">
        <f>IF($B$4="quarter",SUM((BC14/36),(BD14/900)),IF($B$4="semester",SUM((BC14/24),BD14/900)))</f>
        <v>0</v>
      </c>
      <c r="BF14" s="26"/>
      <c r="BG14" s="66">
        <v>0</v>
      </c>
      <c r="BH14" s="67">
        <v>0</v>
      </c>
      <c r="BI14" s="68"/>
      <c r="BJ14" s="69">
        <f>IF($B$4="quarter",SUM((BH14/36),(BI14/900)),IF($B$4="semester",SUM((BH14/24),BI14/900)))</f>
        <v>0</v>
      </c>
      <c r="BK14" s="25"/>
      <c r="BL14" s="66">
        <v>0</v>
      </c>
      <c r="BM14" s="67">
        <v>0</v>
      </c>
      <c r="BN14" s="68"/>
      <c r="BO14" s="69">
        <f>IF($B$4="quarter",SUM((BM14/36),(BN14/900)),IF($B$4="semester",SUM((BM14/24),BN14/900)))</f>
        <v>0</v>
      </c>
      <c r="BP14" s="25"/>
    </row>
    <row r="15" spans="2:68" x14ac:dyDescent="0.25">
      <c r="B15" s="391"/>
      <c r="C15" s="79" t="s">
        <v>216</v>
      </c>
      <c r="D15" s="66">
        <v>0</v>
      </c>
      <c r="E15" s="67">
        <v>0</v>
      </c>
      <c r="F15" s="68"/>
      <c r="G15" s="69">
        <f>IF($B$4="quarter",SUM((E15/36),(F15/900)),IF($B$4="semester",SUM((E15/24),F15/900)))</f>
        <v>0</v>
      </c>
      <c r="H15" s="25">
        <v>0</v>
      </c>
      <c r="I15" s="66">
        <v>0</v>
      </c>
      <c r="J15" s="67">
        <v>0</v>
      </c>
      <c r="K15" s="68"/>
      <c r="L15" s="69">
        <f>IF($B$4="quarter",SUM((J15/36),(K15/900)),IF($B$4="semester",SUM((J15/24),K15/900)))</f>
        <v>0</v>
      </c>
      <c r="M15" s="25">
        <v>0</v>
      </c>
      <c r="N15" s="66">
        <v>0</v>
      </c>
      <c r="O15" s="67">
        <v>0</v>
      </c>
      <c r="P15" s="68"/>
      <c r="Q15" s="69">
        <f>IF($B$4="quarter",SUM((O15/36),(P15/900)),IF($B$4="semester",SUM((O15/24),P15/900)))</f>
        <v>0</v>
      </c>
      <c r="R15" s="25">
        <v>0</v>
      </c>
      <c r="S15" s="66">
        <v>0</v>
      </c>
      <c r="T15" s="67">
        <v>0</v>
      </c>
      <c r="U15" s="68"/>
      <c r="V15" s="69">
        <f>IF($B$4="quarter",SUM((T15/36),(U15/900)),IF($B$4="semester",SUM((T15/24),U15/900)))</f>
        <v>0</v>
      </c>
      <c r="W15" s="25">
        <v>0</v>
      </c>
      <c r="X15" s="66">
        <v>0</v>
      </c>
      <c r="Y15" s="67">
        <v>0</v>
      </c>
      <c r="Z15" s="68"/>
      <c r="AA15" s="69">
        <f>IF($B$4="quarter",SUM((Y15/36),(Z15/900)),IF($B$4="semester",SUM((Y15/24),Z15/900)))</f>
        <v>0</v>
      </c>
      <c r="AB15" s="25">
        <v>0</v>
      </c>
      <c r="AC15" s="66">
        <v>0</v>
      </c>
      <c r="AD15" s="67">
        <v>0</v>
      </c>
      <c r="AE15" s="68"/>
      <c r="AF15" s="69">
        <f>IF($B$4="quarter",SUM((AD15/36),(AE15/900)),IF($B$4="semester",SUM((AD15/24),AE15/900)))</f>
        <v>0</v>
      </c>
      <c r="AG15" s="25">
        <v>0</v>
      </c>
      <c r="AH15" s="66">
        <v>0</v>
      </c>
      <c r="AI15" s="67">
        <v>0</v>
      </c>
      <c r="AJ15" s="68"/>
      <c r="AK15" s="69">
        <f>IF($B$4="quarter",SUM((AI15/36),(AJ15/900)),IF($B$4="semester",SUM((AI15/24),AJ15/900)))</f>
        <v>0</v>
      </c>
      <c r="AL15" s="25">
        <v>0</v>
      </c>
      <c r="AM15" s="66">
        <v>0</v>
      </c>
      <c r="AN15" s="67">
        <v>0</v>
      </c>
      <c r="AO15" s="68"/>
      <c r="AP15" s="69">
        <f>IF($B$4="quarter",SUM((AN15/36),(AO15/900)),IF($B$4="semester",SUM((AN15/24),AO15/900)))</f>
        <v>0</v>
      </c>
      <c r="AQ15" s="25">
        <v>0</v>
      </c>
      <c r="AR15" s="66">
        <v>0</v>
      </c>
      <c r="AS15" s="67">
        <v>0</v>
      </c>
      <c r="AT15" s="68"/>
      <c r="AU15" s="69">
        <f>IF($B$4="quarter",SUM((AS15/36),(AT15/900)),IF($B$4="semester",SUM((AS15/24),AT15/900)))</f>
        <v>0</v>
      </c>
      <c r="AV15" s="25"/>
      <c r="AW15" s="66">
        <v>0</v>
      </c>
      <c r="AX15" s="67">
        <v>0</v>
      </c>
      <c r="AY15" s="68"/>
      <c r="AZ15" s="69">
        <f>IF($B$4="quarter",SUM((AX15/36),(AY15/900)),IF($B$4="semester",SUM((AX15/24),AY15/900)))</f>
        <v>0</v>
      </c>
      <c r="BA15" s="25"/>
      <c r="BB15" s="23">
        <v>0</v>
      </c>
      <c r="BC15" s="24">
        <v>0</v>
      </c>
      <c r="BD15" s="68"/>
      <c r="BE15" s="69">
        <f>IF($B$4="quarter",SUM((BC15/36),(BD15/900)),IF($B$4="semester",SUM((BC15/24),BD15/900)))</f>
        <v>0</v>
      </c>
      <c r="BF15" s="26"/>
      <c r="BG15" s="66">
        <v>0</v>
      </c>
      <c r="BH15" s="67">
        <v>0</v>
      </c>
      <c r="BI15" s="68"/>
      <c r="BJ15" s="69">
        <f>IF($B$4="quarter",SUM((BH15/36),(BI15/900)),IF($B$4="semester",SUM((BH15/24),BI15/900)))</f>
        <v>0</v>
      </c>
      <c r="BK15" s="25"/>
      <c r="BL15" s="66">
        <v>0</v>
      </c>
      <c r="BM15" s="67">
        <v>0</v>
      </c>
      <c r="BN15" s="68"/>
      <c r="BO15" s="69">
        <f>IF($B$4="quarter",SUM((BM15/36),(BN15/900)),IF($B$4="semester",SUM((BM15/24),BN15/900)))</f>
        <v>0</v>
      </c>
      <c r="BP15" s="25"/>
    </row>
    <row r="16" spans="2:68" x14ac:dyDescent="0.25">
      <c r="B16" s="392"/>
      <c r="C16" s="81" t="s">
        <v>217</v>
      </c>
      <c r="D16" s="71">
        <f t="shared" ref="D16:AF16" si="12">SUM(D14:D15)</f>
        <v>0</v>
      </c>
      <c r="E16" s="69">
        <f t="shared" si="12"/>
        <v>0</v>
      </c>
      <c r="F16" s="68">
        <f t="shared" si="12"/>
        <v>0</v>
      </c>
      <c r="G16" s="69">
        <f t="shared" si="12"/>
        <v>0</v>
      </c>
      <c r="H16" s="72">
        <f>SUM(H14:H15)</f>
        <v>0</v>
      </c>
      <c r="I16" s="71">
        <f t="shared" si="12"/>
        <v>0</v>
      </c>
      <c r="J16" s="69">
        <f t="shared" si="12"/>
        <v>0</v>
      </c>
      <c r="K16" s="68">
        <f t="shared" si="12"/>
        <v>0</v>
      </c>
      <c r="L16" s="69">
        <f t="shared" si="12"/>
        <v>0</v>
      </c>
      <c r="M16" s="72">
        <f>SUM(M14:M15)</f>
        <v>0</v>
      </c>
      <c r="N16" s="71">
        <f t="shared" si="12"/>
        <v>0</v>
      </c>
      <c r="O16" s="69">
        <f t="shared" si="12"/>
        <v>0</v>
      </c>
      <c r="P16" s="68">
        <f t="shared" si="12"/>
        <v>0</v>
      </c>
      <c r="Q16" s="69">
        <f t="shared" si="12"/>
        <v>0</v>
      </c>
      <c r="R16" s="72">
        <f>SUM(R14:R15)</f>
        <v>0</v>
      </c>
      <c r="S16" s="71">
        <f t="shared" si="12"/>
        <v>0</v>
      </c>
      <c r="T16" s="69">
        <f t="shared" si="12"/>
        <v>0</v>
      </c>
      <c r="U16" s="68">
        <f t="shared" si="12"/>
        <v>0</v>
      </c>
      <c r="V16" s="69">
        <f t="shared" si="12"/>
        <v>0</v>
      </c>
      <c r="W16" s="72">
        <f>SUM(W14:W15)</f>
        <v>0</v>
      </c>
      <c r="X16" s="71">
        <f t="shared" si="12"/>
        <v>0</v>
      </c>
      <c r="Y16" s="69">
        <f t="shared" si="12"/>
        <v>0</v>
      </c>
      <c r="Z16" s="68">
        <f t="shared" si="12"/>
        <v>0</v>
      </c>
      <c r="AA16" s="69">
        <f t="shared" si="12"/>
        <v>0</v>
      </c>
      <c r="AB16" s="72">
        <f>SUM(AB14:AB15)</f>
        <v>0</v>
      </c>
      <c r="AC16" s="71">
        <f t="shared" si="12"/>
        <v>0</v>
      </c>
      <c r="AD16" s="69">
        <f t="shared" si="12"/>
        <v>0</v>
      </c>
      <c r="AE16" s="68">
        <f t="shared" si="12"/>
        <v>0</v>
      </c>
      <c r="AF16" s="69">
        <f t="shared" si="12"/>
        <v>0</v>
      </c>
      <c r="AG16" s="72">
        <f>SUM(AG14:AG15)</f>
        <v>0</v>
      </c>
      <c r="AH16" s="71">
        <f t="shared" ref="AH16:AU16" si="13">SUM(AH14:AH15)</f>
        <v>0</v>
      </c>
      <c r="AI16" s="69">
        <f t="shared" si="13"/>
        <v>0</v>
      </c>
      <c r="AJ16" s="68">
        <f t="shared" si="13"/>
        <v>0</v>
      </c>
      <c r="AK16" s="69">
        <f t="shared" si="13"/>
        <v>0</v>
      </c>
      <c r="AL16" s="72">
        <f>SUM(AL14:AL15)</f>
        <v>0</v>
      </c>
      <c r="AM16" s="71">
        <f t="shared" si="13"/>
        <v>0</v>
      </c>
      <c r="AN16" s="69">
        <f t="shared" si="13"/>
        <v>0</v>
      </c>
      <c r="AO16" s="68">
        <f t="shared" si="13"/>
        <v>0</v>
      </c>
      <c r="AP16" s="69">
        <f t="shared" si="13"/>
        <v>0</v>
      </c>
      <c r="AQ16" s="72">
        <f>SUM(AQ14:AQ15)</f>
        <v>0</v>
      </c>
      <c r="AR16" s="71">
        <f t="shared" si="13"/>
        <v>0</v>
      </c>
      <c r="AS16" s="69">
        <f t="shared" si="13"/>
        <v>0</v>
      </c>
      <c r="AT16" s="68">
        <f t="shared" si="13"/>
        <v>0</v>
      </c>
      <c r="AU16" s="69">
        <f t="shared" si="13"/>
        <v>0</v>
      </c>
      <c r="AV16" s="72">
        <f>SUM(AV14:AV15)</f>
        <v>0</v>
      </c>
      <c r="AW16" s="71">
        <f t="shared" ref="AW16:AZ16" si="14">SUM(AW14:AW15)</f>
        <v>0</v>
      </c>
      <c r="AX16" s="69">
        <f t="shared" si="14"/>
        <v>0</v>
      </c>
      <c r="AY16" s="68">
        <f t="shared" si="14"/>
        <v>0</v>
      </c>
      <c r="AZ16" s="69">
        <f t="shared" si="14"/>
        <v>0</v>
      </c>
      <c r="BA16" s="72">
        <f>SUM(BA14:BA15)</f>
        <v>0</v>
      </c>
      <c r="BB16" s="71">
        <f t="shared" ref="BB16:BE16" si="15">SUM(BB14:BB15)</f>
        <v>0</v>
      </c>
      <c r="BC16" s="69">
        <f t="shared" si="15"/>
        <v>0</v>
      </c>
      <c r="BD16" s="68">
        <f t="shared" si="15"/>
        <v>0</v>
      </c>
      <c r="BE16" s="69">
        <f t="shared" si="15"/>
        <v>0</v>
      </c>
      <c r="BF16" s="72">
        <f>SUM(BF14:BF15)</f>
        <v>0</v>
      </c>
      <c r="BG16" s="71">
        <f t="shared" ref="BG16:BJ16" si="16">SUM(BG14:BG15)</f>
        <v>0</v>
      </c>
      <c r="BH16" s="69">
        <f t="shared" si="16"/>
        <v>0</v>
      </c>
      <c r="BI16" s="68">
        <f t="shared" si="16"/>
        <v>0</v>
      </c>
      <c r="BJ16" s="69">
        <f t="shared" si="16"/>
        <v>0</v>
      </c>
      <c r="BK16" s="72">
        <f>SUM(BK14:BK15)</f>
        <v>0</v>
      </c>
      <c r="BL16" s="71">
        <f t="shared" ref="BL16:BO16" si="17">SUM(BL14:BL15)</f>
        <v>0</v>
      </c>
      <c r="BM16" s="69">
        <f t="shared" si="17"/>
        <v>0</v>
      </c>
      <c r="BN16" s="68">
        <f t="shared" si="17"/>
        <v>0</v>
      </c>
      <c r="BO16" s="69">
        <f t="shared" si="17"/>
        <v>0</v>
      </c>
      <c r="BP16" s="72">
        <f>SUM(BP14:BP15)</f>
        <v>0</v>
      </c>
    </row>
    <row r="17" spans="2:68" x14ac:dyDescent="0.25">
      <c r="B17" s="73"/>
      <c r="C17" s="74"/>
      <c r="D17" s="75"/>
      <c r="E17" s="76"/>
      <c r="F17" s="76"/>
      <c r="G17" s="76"/>
      <c r="H17" s="27"/>
      <c r="I17" s="75"/>
      <c r="J17" s="76"/>
      <c r="K17" s="76"/>
      <c r="L17" s="76"/>
      <c r="M17" s="27"/>
      <c r="N17" s="75"/>
      <c r="O17" s="76"/>
      <c r="P17" s="76"/>
      <c r="Q17" s="76"/>
      <c r="R17" s="27"/>
      <c r="S17" s="75"/>
      <c r="T17" s="76"/>
      <c r="U17" s="76"/>
      <c r="V17" s="76"/>
      <c r="W17" s="27"/>
      <c r="X17" s="75"/>
      <c r="Y17" s="76"/>
      <c r="Z17" s="76"/>
      <c r="AA17" s="76"/>
      <c r="AB17" s="27"/>
      <c r="AC17" s="75"/>
      <c r="AD17" s="76"/>
      <c r="AE17" s="76"/>
      <c r="AF17" s="77"/>
      <c r="AG17" s="27"/>
      <c r="AH17" s="78"/>
      <c r="AI17" s="77"/>
      <c r="AJ17" s="77"/>
      <c r="AK17" s="77"/>
      <c r="AL17" s="27"/>
      <c r="AM17" s="78"/>
      <c r="AN17" s="77"/>
      <c r="AO17" s="77"/>
      <c r="AP17" s="77"/>
      <c r="AQ17" s="27"/>
      <c r="AR17" s="75"/>
      <c r="AS17" s="76"/>
      <c r="AT17" s="76"/>
      <c r="AU17" s="76"/>
      <c r="AV17" s="27"/>
      <c r="AW17" s="75"/>
      <c r="AX17" s="76"/>
      <c r="AY17" s="76"/>
      <c r="AZ17" s="76"/>
      <c r="BA17" s="27"/>
      <c r="BB17" s="75"/>
      <c r="BC17" s="76"/>
      <c r="BD17" s="76"/>
      <c r="BE17" s="76"/>
      <c r="BF17" s="27"/>
      <c r="BG17" s="75"/>
      <c r="BH17" s="76"/>
      <c r="BI17" s="76"/>
      <c r="BJ17" s="76"/>
      <c r="BK17" s="27"/>
      <c r="BL17" s="75"/>
      <c r="BM17" s="76"/>
      <c r="BN17" s="76"/>
      <c r="BO17" s="76"/>
      <c r="BP17" s="27"/>
    </row>
    <row r="18" spans="2:68" x14ac:dyDescent="0.25">
      <c r="B18" s="390" t="s">
        <v>220</v>
      </c>
      <c r="C18" s="79" t="s">
        <v>215</v>
      </c>
      <c r="D18" s="71">
        <f t="shared" ref="D18:BO19" si="18">D14+D10+D6</f>
        <v>6666</v>
      </c>
      <c r="E18" s="69">
        <f t="shared" si="18"/>
        <v>144804</v>
      </c>
      <c r="F18" s="68"/>
      <c r="G18" s="69">
        <f t="shared" si="18"/>
        <v>4931.7916666666661</v>
      </c>
      <c r="H18" s="72">
        <f t="shared" si="18"/>
        <v>27884620</v>
      </c>
      <c r="I18" s="71">
        <f t="shared" si="18"/>
        <v>6629</v>
      </c>
      <c r="J18" s="69">
        <f t="shared" si="18"/>
        <v>143100</v>
      </c>
      <c r="K18" s="68"/>
      <c r="L18" s="69">
        <f t="shared" si="18"/>
        <v>4892.2333333333336</v>
      </c>
      <c r="M18" s="72">
        <f t="shared" si="18"/>
        <v>28538977</v>
      </c>
      <c r="N18" s="71">
        <f t="shared" si="18"/>
        <v>6593</v>
      </c>
      <c r="O18" s="69">
        <f t="shared" si="18"/>
        <v>141136</v>
      </c>
      <c r="P18" s="68"/>
      <c r="Q18" s="69">
        <f t="shared" si="18"/>
        <v>4833.2</v>
      </c>
      <c r="R18" s="72">
        <f t="shared" si="18"/>
        <v>28149796</v>
      </c>
      <c r="S18" s="71">
        <f t="shared" si="18"/>
        <v>6542</v>
      </c>
      <c r="T18" s="69">
        <f t="shared" si="18"/>
        <v>137327</v>
      </c>
      <c r="U18" s="68"/>
      <c r="V18" s="69">
        <f t="shared" si="18"/>
        <v>4710.3416666666672</v>
      </c>
      <c r="W18" s="72">
        <f t="shared" si="18"/>
        <v>27444825</v>
      </c>
      <c r="X18" s="71">
        <f t="shared" si="18"/>
        <v>6724</v>
      </c>
      <c r="Y18" s="69">
        <f t="shared" si="18"/>
        <v>135835</v>
      </c>
      <c r="Z18" s="68"/>
      <c r="AA18" s="69">
        <f t="shared" si="18"/>
        <v>4671.1083333333336</v>
      </c>
      <c r="AB18" s="72">
        <f t="shared" si="18"/>
        <v>27946538</v>
      </c>
      <c r="AC18" s="71">
        <f t="shared" si="18"/>
        <v>6503</v>
      </c>
      <c r="AD18" s="69">
        <f t="shared" si="18"/>
        <v>131010</v>
      </c>
      <c r="AE18" s="68"/>
      <c r="AF18" s="69">
        <f t="shared" si="18"/>
        <v>4520.875</v>
      </c>
      <c r="AG18" s="72">
        <f t="shared" si="18"/>
        <v>28209521</v>
      </c>
      <c r="AH18" s="71">
        <f t="shared" si="18"/>
        <v>6427</v>
      </c>
      <c r="AI18" s="69">
        <f t="shared" si="18"/>
        <v>127120</v>
      </c>
      <c r="AJ18" s="68"/>
      <c r="AK18" s="69">
        <f t="shared" si="18"/>
        <v>4388.8166666666666</v>
      </c>
      <c r="AL18" s="72">
        <f t="shared" si="18"/>
        <v>28484336</v>
      </c>
      <c r="AM18" s="71">
        <f t="shared" si="18"/>
        <v>6120</v>
      </c>
      <c r="AN18" s="69">
        <f t="shared" si="18"/>
        <v>124618</v>
      </c>
      <c r="AO18" s="68"/>
      <c r="AP18" s="69">
        <f t="shared" si="18"/>
        <v>4312.7749999999996</v>
      </c>
      <c r="AQ18" s="72">
        <f t="shared" si="18"/>
        <v>29017283</v>
      </c>
      <c r="AR18" s="71">
        <f t="shared" si="18"/>
        <v>6235</v>
      </c>
      <c r="AS18" s="69">
        <f t="shared" si="18"/>
        <v>123084</v>
      </c>
      <c r="AT18" s="68"/>
      <c r="AU18" s="69">
        <f t="shared" si="18"/>
        <v>4263.3416666666662</v>
      </c>
      <c r="AV18" s="72">
        <f t="shared" si="18"/>
        <v>29553282</v>
      </c>
      <c r="AW18" s="71">
        <f t="shared" si="18"/>
        <v>6200</v>
      </c>
      <c r="AX18" s="69">
        <f t="shared" si="18"/>
        <v>121025</v>
      </c>
      <c r="AY18" s="69">
        <f t="shared" si="18"/>
        <v>0</v>
      </c>
      <c r="AZ18" s="69">
        <f t="shared" si="18"/>
        <v>4200.4083333333328</v>
      </c>
      <c r="BA18" s="72">
        <f t="shared" si="18"/>
        <v>28502682</v>
      </c>
      <c r="BB18" s="71">
        <f t="shared" si="18"/>
        <v>5902</v>
      </c>
      <c r="BC18" s="69">
        <f t="shared" si="18"/>
        <v>117282</v>
      </c>
      <c r="BD18" s="69">
        <f t="shared" si="18"/>
        <v>0</v>
      </c>
      <c r="BE18" s="69">
        <f t="shared" si="18"/>
        <v>4075.083333333333</v>
      </c>
      <c r="BF18" s="72">
        <f t="shared" si="18"/>
        <v>27555614</v>
      </c>
      <c r="BG18" s="71">
        <f t="shared" si="18"/>
        <v>0</v>
      </c>
      <c r="BH18" s="69">
        <f t="shared" si="18"/>
        <v>0</v>
      </c>
      <c r="BI18" s="69">
        <f t="shared" si="18"/>
        <v>0</v>
      </c>
      <c r="BJ18" s="69">
        <f t="shared" si="18"/>
        <v>0</v>
      </c>
      <c r="BK18" s="72">
        <f t="shared" si="18"/>
        <v>0</v>
      </c>
      <c r="BL18" s="71">
        <f t="shared" si="18"/>
        <v>0</v>
      </c>
      <c r="BM18" s="69">
        <f t="shared" si="18"/>
        <v>0</v>
      </c>
      <c r="BN18" s="69">
        <f t="shared" si="18"/>
        <v>0</v>
      </c>
      <c r="BO18" s="69">
        <f t="shared" si="18"/>
        <v>0</v>
      </c>
      <c r="BP18" s="72">
        <f t="shared" ref="BP18:BP19" si="19">BP14+BP10+BP6</f>
        <v>0</v>
      </c>
    </row>
    <row r="19" spans="2:68" x14ac:dyDescent="0.25">
      <c r="B19" s="391"/>
      <c r="C19" s="79" t="s">
        <v>216</v>
      </c>
      <c r="D19" s="71">
        <f t="shared" si="18"/>
        <v>1972</v>
      </c>
      <c r="E19" s="69">
        <f t="shared" si="18"/>
        <v>31655</v>
      </c>
      <c r="F19" s="68"/>
      <c r="G19" s="69">
        <f t="shared" si="18"/>
        <v>1115.4166666666665</v>
      </c>
      <c r="H19" s="72">
        <f t="shared" si="18"/>
        <v>11109969</v>
      </c>
      <c r="I19" s="71">
        <f t="shared" si="18"/>
        <v>1900</v>
      </c>
      <c r="J19" s="69">
        <f t="shared" si="18"/>
        <v>30459</v>
      </c>
      <c r="K19" s="68"/>
      <c r="L19" s="69">
        <f t="shared" si="18"/>
        <v>1077.2666666666667</v>
      </c>
      <c r="M19" s="72">
        <f t="shared" si="18"/>
        <v>10353927</v>
      </c>
      <c r="N19" s="71">
        <f t="shared" si="18"/>
        <v>1701</v>
      </c>
      <c r="O19" s="69">
        <f t="shared" si="18"/>
        <v>27921</v>
      </c>
      <c r="P19" s="68"/>
      <c r="Q19" s="69">
        <f t="shared" si="18"/>
        <v>993.15</v>
      </c>
      <c r="R19" s="72">
        <f t="shared" si="18"/>
        <v>9845866</v>
      </c>
      <c r="S19" s="71">
        <f t="shared" si="18"/>
        <v>1560</v>
      </c>
      <c r="T19" s="69">
        <f t="shared" si="18"/>
        <v>25051</v>
      </c>
      <c r="U19" s="68"/>
      <c r="V19" s="69">
        <f t="shared" si="18"/>
        <v>897.00833333333333</v>
      </c>
      <c r="W19" s="72">
        <f t="shared" si="18"/>
        <v>9771585</v>
      </c>
      <c r="X19" s="71">
        <f t="shared" si="18"/>
        <v>1540</v>
      </c>
      <c r="Y19" s="69">
        <f t="shared" si="18"/>
        <v>23775</v>
      </c>
      <c r="Z19" s="68"/>
      <c r="AA19" s="69">
        <f t="shared" si="18"/>
        <v>850.5</v>
      </c>
      <c r="AB19" s="72">
        <f t="shared" si="18"/>
        <v>9658873</v>
      </c>
      <c r="AC19" s="71">
        <f t="shared" si="18"/>
        <v>1538</v>
      </c>
      <c r="AD19" s="69">
        <f t="shared" si="18"/>
        <v>23531</v>
      </c>
      <c r="AE19" s="68"/>
      <c r="AF19" s="69">
        <f t="shared" si="18"/>
        <v>842.05</v>
      </c>
      <c r="AG19" s="72">
        <f t="shared" si="18"/>
        <v>10166673</v>
      </c>
      <c r="AH19" s="71">
        <f t="shared" si="18"/>
        <v>1432</v>
      </c>
      <c r="AI19" s="69">
        <f t="shared" si="18"/>
        <v>21972</v>
      </c>
      <c r="AJ19" s="68"/>
      <c r="AK19" s="69">
        <f t="shared" si="18"/>
        <v>791.72500000000002</v>
      </c>
      <c r="AL19" s="72">
        <f t="shared" si="18"/>
        <v>9784242</v>
      </c>
      <c r="AM19" s="71">
        <f t="shared" si="18"/>
        <v>1444</v>
      </c>
      <c r="AN19" s="69">
        <f t="shared" si="18"/>
        <v>23562</v>
      </c>
      <c r="AO19" s="68"/>
      <c r="AP19" s="69">
        <f t="shared" si="18"/>
        <v>849.35833333333335</v>
      </c>
      <c r="AQ19" s="72">
        <f t="shared" si="18"/>
        <v>10709725</v>
      </c>
      <c r="AR19" s="71">
        <f t="shared" si="18"/>
        <v>1321</v>
      </c>
      <c r="AS19" s="69">
        <f t="shared" si="18"/>
        <v>22031</v>
      </c>
      <c r="AT19" s="68"/>
      <c r="AU19" s="69">
        <f t="shared" si="18"/>
        <v>794.74166666666667</v>
      </c>
      <c r="AV19" s="72">
        <f t="shared" si="18"/>
        <v>10163706</v>
      </c>
      <c r="AW19" s="71">
        <f t="shared" si="18"/>
        <v>1367</v>
      </c>
      <c r="AX19" s="69">
        <f t="shared" si="18"/>
        <v>23060</v>
      </c>
      <c r="AY19" s="69">
        <f t="shared" si="18"/>
        <v>0</v>
      </c>
      <c r="AZ19" s="69">
        <f t="shared" si="18"/>
        <v>820.23333333333335</v>
      </c>
      <c r="BA19" s="72">
        <f t="shared" si="18"/>
        <v>10340382</v>
      </c>
      <c r="BB19" s="71">
        <f t="shared" si="18"/>
        <v>1310</v>
      </c>
      <c r="BC19" s="69">
        <f t="shared" si="18"/>
        <v>22891</v>
      </c>
      <c r="BD19" s="69">
        <f t="shared" si="18"/>
        <v>0</v>
      </c>
      <c r="BE19" s="69">
        <f t="shared" si="18"/>
        <v>808.67500000000007</v>
      </c>
      <c r="BF19" s="72">
        <f t="shared" si="18"/>
        <v>10124609</v>
      </c>
      <c r="BG19" s="71">
        <f t="shared" si="18"/>
        <v>0</v>
      </c>
      <c r="BH19" s="69">
        <f t="shared" si="18"/>
        <v>0</v>
      </c>
      <c r="BI19" s="69">
        <f t="shared" si="18"/>
        <v>0</v>
      </c>
      <c r="BJ19" s="69">
        <f t="shared" si="18"/>
        <v>0</v>
      </c>
      <c r="BK19" s="72">
        <f t="shared" si="18"/>
        <v>0</v>
      </c>
      <c r="BL19" s="71">
        <f t="shared" si="18"/>
        <v>0</v>
      </c>
      <c r="BM19" s="69">
        <f t="shared" si="18"/>
        <v>0</v>
      </c>
      <c r="BN19" s="69">
        <f t="shared" si="18"/>
        <v>0</v>
      </c>
      <c r="BO19" s="69">
        <f t="shared" si="18"/>
        <v>0</v>
      </c>
      <c r="BP19" s="72">
        <f t="shared" si="19"/>
        <v>0</v>
      </c>
    </row>
    <row r="20" spans="2:68" x14ac:dyDescent="0.25">
      <c r="B20" s="392"/>
      <c r="C20" s="81" t="s">
        <v>217</v>
      </c>
      <c r="D20" s="71">
        <f>SUM(D18:D19)</f>
        <v>8638</v>
      </c>
      <c r="E20" s="69">
        <f>SUM(E18:E19)</f>
        <v>176459</v>
      </c>
      <c r="F20" s="68">
        <f t="shared" ref="F20" si="20">SUM(F18:F19)</f>
        <v>0</v>
      </c>
      <c r="G20" s="69">
        <f>SUM(G18:G19)</f>
        <v>6047.2083333333321</v>
      </c>
      <c r="H20" s="72">
        <f>H16+H12+H8</f>
        <v>38994589</v>
      </c>
      <c r="I20" s="71">
        <f>SUM(I18:I19)</f>
        <v>8529</v>
      </c>
      <c r="J20" s="69">
        <f>SUM(J18:J19)</f>
        <v>173559</v>
      </c>
      <c r="K20" s="68">
        <f t="shared" ref="K20" si="21">SUM(K18:K19)</f>
        <v>0</v>
      </c>
      <c r="L20" s="69">
        <f>SUM(L18:L19)</f>
        <v>5969.5</v>
      </c>
      <c r="M20" s="72">
        <f>M16+M12+M8</f>
        <v>38892904</v>
      </c>
      <c r="N20" s="71">
        <f>SUM(N18:N19)</f>
        <v>8294</v>
      </c>
      <c r="O20" s="69">
        <f>SUM(O18:O19)</f>
        <v>169057</v>
      </c>
      <c r="P20" s="68">
        <f t="shared" ref="P20" si="22">SUM(P18:P19)</f>
        <v>0</v>
      </c>
      <c r="Q20" s="69">
        <f>SUM(Q18:Q19)</f>
        <v>5826.3499999999995</v>
      </c>
      <c r="R20" s="72">
        <f>R16+R12+R8</f>
        <v>37995662</v>
      </c>
      <c r="S20" s="71">
        <f>SUM(S18:S19)</f>
        <v>8102</v>
      </c>
      <c r="T20" s="69">
        <f>SUM(T18:T19)</f>
        <v>162378</v>
      </c>
      <c r="U20" s="68">
        <f t="shared" ref="U20" si="23">SUM(U18:U19)</f>
        <v>0</v>
      </c>
      <c r="V20" s="69">
        <f>SUM(V18:V19)</f>
        <v>5607.35</v>
      </c>
      <c r="W20" s="72">
        <f>W16+W12+W8</f>
        <v>37216410</v>
      </c>
      <c r="X20" s="71">
        <f>SUM(X18:X19)</f>
        <v>8264</v>
      </c>
      <c r="Y20" s="69">
        <f>SUM(Y18:Y19)</f>
        <v>159610</v>
      </c>
      <c r="Z20" s="68">
        <f t="shared" ref="Z20" si="24">SUM(Z18:Z19)</f>
        <v>0</v>
      </c>
      <c r="AA20" s="69">
        <f>SUM(AA18:AA19)</f>
        <v>5521.6083333333336</v>
      </c>
      <c r="AB20" s="72">
        <f>AB16+AB12+AB8</f>
        <v>37605411</v>
      </c>
      <c r="AC20" s="71">
        <f>SUM(AC18:AC19)</f>
        <v>8041</v>
      </c>
      <c r="AD20" s="69">
        <f>SUM(AD18:AD19)</f>
        <v>154541</v>
      </c>
      <c r="AE20" s="68">
        <f t="shared" ref="AE20" si="25">SUM(AE18:AE19)</f>
        <v>0</v>
      </c>
      <c r="AF20" s="69">
        <f>SUM(AF18:AF19)</f>
        <v>5362.9250000000002</v>
      </c>
      <c r="AG20" s="72">
        <f>AG16+AG12+AG8</f>
        <v>38376194</v>
      </c>
      <c r="AH20" s="71">
        <f>SUM(AH18:AH19)</f>
        <v>7859</v>
      </c>
      <c r="AI20" s="69">
        <f>SUM(AI18:AI19)</f>
        <v>149092</v>
      </c>
      <c r="AJ20" s="68">
        <f t="shared" ref="AJ20" si="26">SUM(AJ18:AJ19)</f>
        <v>0</v>
      </c>
      <c r="AK20" s="69">
        <f>SUM(AK18:AK19)</f>
        <v>5180.541666666667</v>
      </c>
      <c r="AL20" s="72">
        <f>AL16+AL12+AL8</f>
        <v>38268578</v>
      </c>
      <c r="AM20" s="71">
        <f>SUM(AM18:AM19)</f>
        <v>7564</v>
      </c>
      <c r="AN20" s="69">
        <f>SUM(AN18:AN19)</f>
        <v>148180</v>
      </c>
      <c r="AO20" s="68">
        <f t="shared" ref="AO20" si="27">SUM(AO18:AO19)</f>
        <v>0</v>
      </c>
      <c r="AP20" s="69">
        <f>SUM(AP18:AP19)</f>
        <v>5162.1333333333332</v>
      </c>
      <c r="AQ20" s="72">
        <f>AQ16+AQ12+AQ8</f>
        <v>39727008</v>
      </c>
      <c r="AR20" s="71">
        <f>SUM(AR18:AR19)</f>
        <v>7556</v>
      </c>
      <c r="AS20" s="69">
        <f>SUM(AS18:AS19)</f>
        <v>145115</v>
      </c>
      <c r="AT20" s="68">
        <f t="shared" ref="AT20" si="28">SUM(AT18:AT19)</f>
        <v>0</v>
      </c>
      <c r="AU20" s="69">
        <f>SUM(AU18:AU19)</f>
        <v>5058.083333333333</v>
      </c>
      <c r="AV20" s="72">
        <f>AV16+AV12+AV8</f>
        <v>39716988</v>
      </c>
      <c r="AW20" s="71">
        <f>SUM(AW18:AW19)</f>
        <v>7567</v>
      </c>
      <c r="AX20" s="69">
        <f>SUM(AX18:AX19)</f>
        <v>144085</v>
      </c>
      <c r="AY20" s="69">
        <f>SUM(AY18:AY19)</f>
        <v>0</v>
      </c>
      <c r="AZ20" s="69">
        <f>SUM(AZ18:AZ19)</f>
        <v>5020.6416666666664</v>
      </c>
      <c r="BA20" s="72">
        <f>BA16+BA12+BA8</f>
        <v>38843064</v>
      </c>
      <c r="BB20" s="71">
        <f>SUM(BB18:BB19)</f>
        <v>7212</v>
      </c>
      <c r="BC20" s="69">
        <f>SUM(BC18:BC19)</f>
        <v>140173</v>
      </c>
      <c r="BD20" s="69">
        <f>SUM(BD18:BD19)</f>
        <v>0</v>
      </c>
      <c r="BE20" s="69">
        <f>SUM(BE18:BE19)</f>
        <v>4883.7583333333332</v>
      </c>
      <c r="BF20" s="72">
        <f>BF16+BF12+BF8</f>
        <v>37680223</v>
      </c>
      <c r="BG20" s="71">
        <f>SUM(BG18:BG19)</f>
        <v>0</v>
      </c>
      <c r="BH20" s="69">
        <f>SUM(BH18:BH19)</f>
        <v>0</v>
      </c>
      <c r="BI20" s="69">
        <f>SUM(BI18:BI19)</f>
        <v>0</v>
      </c>
      <c r="BJ20" s="69">
        <f>SUM(BJ18:BJ19)</f>
        <v>0</v>
      </c>
      <c r="BK20" s="72">
        <f>BK16+BK12+BK8</f>
        <v>0</v>
      </c>
      <c r="BL20" s="71">
        <f>SUM(BL18:BL19)</f>
        <v>0</v>
      </c>
      <c r="BM20" s="69">
        <f>SUM(BM18:BM19)</f>
        <v>0</v>
      </c>
      <c r="BN20" s="69">
        <f>SUM(BN18:BN19)</f>
        <v>0</v>
      </c>
      <c r="BO20" s="69">
        <f>SUM(BO18:BO19)</f>
        <v>0</v>
      </c>
      <c r="BP20" s="72">
        <f>BP16+BP12+BP8</f>
        <v>0</v>
      </c>
    </row>
    <row r="21" spans="2:68" ht="24.75" customHeight="1" x14ac:dyDescent="0.25">
      <c r="B21" s="82" t="s">
        <v>221</v>
      </c>
      <c r="D21" s="75"/>
      <c r="E21" s="76"/>
      <c r="F21" s="76"/>
      <c r="G21" s="76"/>
      <c r="H21" s="83"/>
      <c r="I21" s="84"/>
      <c r="J21" s="76"/>
      <c r="K21" s="76"/>
      <c r="L21" s="76"/>
      <c r="M21" s="85"/>
      <c r="N21" s="75"/>
      <c r="O21" s="76"/>
      <c r="P21" s="76"/>
      <c r="Q21" s="76"/>
      <c r="R21" s="85"/>
      <c r="S21" s="75"/>
      <c r="T21" s="76"/>
      <c r="U21" s="76"/>
      <c r="V21" s="76"/>
      <c r="W21" s="85"/>
      <c r="X21" s="75"/>
      <c r="Y21" s="76"/>
      <c r="Z21" s="76"/>
      <c r="AA21" s="76"/>
      <c r="AB21" s="85"/>
      <c r="AC21" s="75"/>
      <c r="AD21" s="76"/>
      <c r="AE21" s="76"/>
      <c r="AF21" s="76"/>
      <c r="AG21" s="85"/>
      <c r="AH21" s="75"/>
      <c r="AI21" s="76"/>
      <c r="AJ21" s="76"/>
      <c r="AK21" s="76"/>
      <c r="AL21" s="85"/>
      <c r="AM21" s="75"/>
      <c r="AN21" s="76"/>
      <c r="AO21" s="76"/>
      <c r="AP21" s="76"/>
      <c r="AQ21" s="85"/>
      <c r="AR21" s="75"/>
      <c r="AS21" s="76"/>
      <c r="AT21" s="76"/>
      <c r="AU21" s="76"/>
      <c r="AV21" s="85"/>
      <c r="AW21" s="75"/>
      <c r="AX21" s="76"/>
      <c r="AY21" s="76"/>
      <c r="AZ21" s="76"/>
      <c r="BA21" s="85"/>
      <c r="BB21" s="75"/>
      <c r="BC21" s="76"/>
      <c r="BD21" s="76"/>
      <c r="BE21" s="76"/>
      <c r="BF21" s="85"/>
      <c r="BG21" s="75"/>
      <c r="BH21" s="76"/>
      <c r="BI21" s="76"/>
      <c r="BJ21" s="76"/>
      <c r="BK21" s="85"/>
      <c r="BL21" s="75"/>
      <c r="BM21" s="76"/>
      <c r="BN21" s="76"/>
      <c r="BO21" s="76"/>
      <c r="BP21" s="85"/>
    </row>
    <row r="22" spans="2:68" x14ac:dyDescent="0.25">
      <c r="B22" s="86" t="s">
        <v>222</v>
      </c>
      <c r="D22" s="75"/>
      <c r="E22" s="76"/>
      <c r="F22" s="76"/>
      <c r="G22" s="76"/>
      <c r="H22" s="87">
        <v>1166274</v>
      </c>
      <c r="I22" s="84"/>
      <c r="J22" s="76"/>
      <c r="K22" s="76"/>
      <c r="L22" s="76"/>
      <c r="M22" s="88">
        <v>1037791</v>
      </c>
      <c r="N22" s="75"/>
      <c r="O22" s="76"/>
      <c r="P22" s="76"/>
      <c r="Q22" s="76"/>
      <c r="R22" s="88">
        <v>904592</v>
      </c>
      <c r="S22" s="75"/>
      <c r="T22" s="76"/>
      <c r="U22" s="76"/>
      <c r="V22" s="76"/>
      <c r="W22" s="88">
        <v>863563</v>
      </c>
      <c r="X22" s="75"/>
      <c r="Y22" s="76"/>
      <c r="Z22" s="76"/>
      <c r="AA22" s="76"/>
      <c r="AB22" s="88">
        <v>1078568</v>
      </c>
      <c r="AC22" s="75"/>
      <c r="AD22" s="76"/>
      <c r="AE22" s="76"/>
      <c r="AF22" s="76"/>
      <c r="AG22" s="88">
        <v>896998</v>
      </c>
      <c r="AH22" s="75"/>
      <c r="AI22" s="76"/>
      <c r="AJ22" s="76"/>
      <c r="AK22" s="76"/>
      <c r="AL22" s="88">
        <v>725185</v>
      </c>
      <c r="AM22" s="75"/>
      <c r="AN22" s="76"/>
      <c r="AO22" s="76"/>
      <c r="AP22" s="76"/>
      <c r="AQ22" s="88">
        <v>787524</v>
      </c>
      <c r="AR22" s="75"/>
      <c r="AS22" s="76"/>
      <c r="AT22" s="76"/>
      <c r="AU22" s="76"/>
      <c r="AV22" s="88">
        <v>397235</v>
      </c>
      <c r="AW22" s="75"/>
      <c r="AX22" s="76"/>
      <c r="AY22" s="76"/>
      <c r="AZ22" s="76"/>
      <c r="BA22" s="88">
        <f>939364-542319-172937-146977-77131</f>
        <v>0</v>
      </c>
      <c r="BB22" s="75"/>
      <c r="BC22" s="76"/>
      <c r="BD22" s="76"/>
      <c r="BE22" s="76"/>
      <c r="BF22" s="28">
        <v>0</v>
      </c>
      <c r="BG22" s="75"/>
      <c r="BH22" s="76"/>
      <c r="BI22" s="76"/>
      <c r="BJ22" s="76"/>
      <c r="BK22" s="88"/>
      <c r="BL22" s="75"/>
      <c r="BM22" s="76"/>
      <c r="BN22" s="76"/>
      <c r="BO22" s="76"/>
      <c r="BP22" s="88"/>
    </row>
    <row r="23" spans="2:68" x14ac:dyDescent="0.25">
      <c r="B23" s="86" t="s">
        <v>223</v>
      </c>
      <c r="D23" s="75"/>
      <c r="E23" s="76"/>
      <c r="F23" s="76"/>
      <c r="G23" s="76"/>
      <c r="H23" s="87">
        <v>8676979</v>
      </c>
      <c r="I23" s="84"/>
      <c r="J23" s="76"/>
      <c r="K23" s="76"/>
      <c r="L23" s="76"/>
      <c r="M23" s="88">
        <v>8433705</v>
      </c>
      <c r="N23" s="75"/>
      <c r="O23" s="76"/>
      <c r="P23" s="76"/>
      <c r="Q23" s="76"/>
      <c r="R23" s="88">
        <v>8169410</v>
      </c>
      <c r="S23" s="75"/>
      <c r="T23" s="84"/>
      <c r="U23" s="84"/>
      <c r="V23" s="84"/>
      <c r="W23" s="88">
        <v>8073390</v>
      </c>
      <c r="X23" s="75"/>
      <c r="Y23" s="84"/>
      <c r="Z23" s="84"/>
      <c r="AA23" s="84"/>
      <c r="AB23" s="88">
        <v>7941643</v>
      </c>
      <c r="AC23" s="75"/>
      <c r="AD23" s="84"/>
      <c r="AE23" s="84"/>
      <c r="AF23" s="84"/>
      <c r="AG23" s="88">
        <v>8524919</v>
      </c>
      <c r="AH23" s="75"/>
      <c r="AI23" s="84"/>
      <c r="AJ23" s="84"/>
      <c r="AK23" s="84"/>
      <c r="AL23" s="88">
        <v>8784105</v>
      </c>
      <c r="AM23" s="75"/>
      <c r="AN23" s="84"/>
      <c r="AO23" s="84"/>
      <c r="AP23" s="84"/>
      <c r="AQ23" s="88">
        <f>484825+8523178</f>
        <v>9008003</v>
      </c>
      <c r="AR23" s="75"/>
      <c r="AS23" s="84"/>
      <c r="AT23" s="84"/>
      <c r="AU23" s="84"/>
      <c r="AV23" s="88">
        <v>8601013</v>
      </c>
      <c r="AW23" s="75"/>
      <c r="AX23" s="84"/>
      <c r="AY23" s="84"/>
      <c r="AZ23" s="84"/>
      <c r="BA23" s="88">
        <v>9032510</v>
      </c>
      <c r="BB23" s="75"/>
      <c r="BC23" s="84"/>
      <c r="BD23" s="84"/>
      <c r="BE23" s="84"/>
      <c r="BF23" s="28">
        <v>10064449</v>
      </c>
      <c r="BG23" s="75"/>
      <c r="BH23" s="84"/>
      <c r="BI23" s="84"/>
      <c r="BJ23" s="84"/>
      <c r="BK23" s="88"/>
      <c r="BL23" s="75"/>
      <c r="BM23" s="84"/>
      <c r="BN23" s="84"/>
      <c r="BO23" s="84"/>
      <c r="BP23" s="88"/>
    </row>
    <row r="24" spans="2:68" x14ac:dyDescent="0.25">
      <c r="B24" s="86" t="s">
        <v>224</v>
      </c>
      <c r="D24" s="75"/>
      <c r="E24" s="76"/>
      <c r="F24" s="76"/>
      <c r="G24" s="76"/>
      <c r="H24" s="89">
        <f>H20-H22-H23</f>
        <v>29151336</v>
      </c>
      <c r="I24" s="84"/>
      <c r="J24" s="76"/>
      <c r="K24" s="76"/>
      <c r="L24" s="76"/>
      <c r="M24" s="89">
        <f>M20-M22-M23</f>
        <v>29421408</v>
      </c>
      <c r="N24" s="75"/>
      <c r="O24" s="76"/>
      <c r="P24" s="76"/>
      <c r="Q24" s="76"/>
      <c r="R24" s="89">
        <f>R20-R22-R23</f>
        <v>28921660</v>
      </c>
      <c r="S24" s="75"/>
      <c r="T24" s="76"/>
      <c r="U24" s="76"/>
      <c r="V24" s="76"/>
      <c r="W24" s="89">
        <f>W20-W22-W23</f>
        <v>28279457</v>
      </c>
      <c r="X24" s="75"/>
      <c r="Y24" s="76"/>
      <c r="Z24" s="76"/>
      <c r="AA24" s="76"/>
      <c r="AB24" s="89">
        <f>AB20-AB22-AB23</f>
        <v>28585200</v>
      </c>
      <c r="AC24" s="75"/>
      <c r="AD24" s="76"/>
      <c r="AE24" s="76"/>
      <c r="AF24" s="76"/>
      <c r="AG24" s="89">
        <f>AG20-AG22-AG23</f>
        <v>28954277</v>
      </c>
      <c r="AH24" s="75"/>
      <c r="AI24" s="76"/>
      <c r="AJ24" s="76"/>
      <c r="AK24" s="76"/>
      <c r="AL24" s="89">
        <f>AL20-AL22-AL23</f>
        <v>28759288</v>
      </c>
      <c r="AM24" s="75"/>
      <c r="AN24" s="76"/>
      <c r="AO24" s="76"/>
      <c r="AP24" s="76"/>
      <c r="AQ24" s="89">
        <f>AQ20-AQ22-AQ23</f>
        <v>29931481</v>
      </c>
      <c r="AR24" s="75"/>
      <c r="AS24" s="76"/>
      <c r="AT24" s="76"/>
      <c r="AU24" s="76"/>
      <c r="AV24" s="89">
        <f>AV20-AV22-AV23</f>
        <v>30718740</v>
      </c>
      <c r="AW24" s="75"/>
      <c r="AX24" s="76"/>
      <c r="AY24" s="76"/>
      <c r="AZ24" s="76"/>
      <c r="BA24" s="89">
        <f>BA20-BA22-BA23</f>
        <v>29810554</v>
      </c>
      <c r="BB24" s="75"/>
      <c r="BC24" s="76"/>
      <c r="BD24" s="76"/>
      <c r="BE24" s="76"/>
      <c r="BF24" s="89">
        <f>BF20-BF22-BF23</f>
        <v>27615774</v>
      </c>
      <c r="BG24" s="75"/>
      <c r="BH24" s="76"/>
      <c r="BI24" s="76"/>
      <c r="BJ24" s="76"/>
      <c r="BK24" s="89">
        <f>BK20-BK22-BK23</f>
        <v>0</v>
      </c>
      <c r="BL24" s="75"/>
      <c r="BM24" s="76"/>
      <c r="BN24" s="76"/>
      <c r="BO24" s="76"/>
      <c r="BP24" s="89">
        <f>BP20-BP22-BP23</f>
        <v>0</v>
      </c>
    </row>
    <row r="25" spans="2:68" x14ac:dyDescent="0.25">
      <c r="B25" s="86"/>
      <c r="D25" s="75"/>
      <c r="E25" s="76"/>
      <c r="F25" s="76"/>
      <c r="G25" s="76"/>
      <c r="H25" s="83"/>
      <c r="I25" s="84"/>
      <c r="J25" s="76"/>
      <c r="K25" s="76"/>
      <c r="L25" s="76"/>
      <c r="M25" s="85"/>
      <c r="N25" s="75"/>
      <c r="O25" s="76"/>
      <c r="P25" s="76"/>
      <c r="Q25" s="76"/>
      <c r="R25" s="85"/>
      <c r="S25" s="75"/>
      <c r="T25" s="76"/>
      <c r="U25" s="76"/>
      <c r="V25" s="76"/>
      <c r="W25" s="85"/>
      <c r="X25" s="75"/>
      <c r="Y25" s="76"/>
      <c r="Z25" s="76"/>
      <c r="AA25" s="76"/>
      <c r="AB25" s="85"/>
      <c r="AC25" s="75"/>
      <c r="AD25" s="76"/>
      <c r="AE25" s="76"/>
      <c r="AF25" s="76"/>
      <c r="AG25" s="85"/>
      <c r="AH25" s="75"/>
      <c r="AI25" s="76"/>
      <c r="AJ25" s="76"/>
      <c r="AK25" s="76"/>
      <c r="AL25" s="85"/>
      <c r="AM25" s="75"/>
      <c r="AN25" s="76"/>
      <c r="AO25" s="76"/>
      <c r="AP25" s="76"/>
      <c r="AQ25" s="85"/>
      <c r="AR25" s="75"/>
      <c r="AS25" s="76"/>
      <c r="AT25" s="76"/>
      <c r="AU25" s="76"/>
      <c r="AV25" s="85"/>
      <c r="AW25" s="75"/>
      <c r="AX25" s="76"/>
      <c r="AY25" s="76"/>
      <c r="AZ25" s="76"/>
      <c r="BA25" s="85"/>
      <c r="BB25" s="75"/>
      <c r="BC25" s="76"/>
      <c r="BD25" s="76"/>
      <c r="BE25" s="76"/>
      <c r="BF25" s="85"/>
      <c r="BG25" s="75"/>
      <c r="BH25" s="76"/>
      <c r="BI25" s="76"/>
      <c r="BJ25" s="76"/>
      <c r="BK25" s="85"/>
      <c r="BL25" s="75"/>
      <c r="BM25" s="76"/>
      <c r="BN25" s="76"/>
      <c r="BO25" s="76"/>
      <c r="BP25" s="85"/>
    </row>
    <row r="26" spans="2:68" ht="11.25" customHeight="1" x14ac:dyDescent="0.25">
      <c r="B26" s="90"/>
      <c r="C26" s="90"/>
      <c r="D26" s="91"/>
      <c r="E26" s="90"/>
      <c r="F26" s="90"/>
      <c r="G26" s="90"/>
      <c r="H26" s="92"/>
      <c r="I26" s="93"/>
      <c r="J26" s="90"/>
      <c r="K26" s="90"/>
      <c r="L26" s="90"/>
      <c r="M26" s="94"/>
      <c r="N26" s="91"/>
      <c r="O26" s="90"/>
      <c r="P26" s="90"/>
      <c r="Q26" s="90"/>
      <c r="R26" s="94"/>
      <c r="S26" s="91"/>
      <c r="T26" s="90"/>
      <c r="U26" s="90"/>
      <c r="V26" s="90"/>
      <c r="W26" s="94"/>
      <c r="X26" s="91"/>
      <c r="Y26" s="90"/>
      <c r="Z26" s="90"/>
      <c r="AA26" s="90"/>
      <c r="AB26" s="94"/>
      <c r="AC26" s="91"/>
      <c r="AD26" s="90"/>
      <c r="AE26" s="90"/>
      <c r="AF26" s="90"/>
      <c r="AG26" s="94"/>
      <c r="AH26" s="91"/>
      <c r="AI26" s="90"/>
      <c r="AJ26" s="90"/>
      <c r="AK26" s="90"/>
      <c r="AL26" s="94"/>
      <c r="AM26" s="91"/>
      <c r="AN26" s="90"/>
      <c r="AO26" s="90"/>
      <c r="AP26" s="90"/>
      <c r="AQ26" s="94"/>
      <c r="AR26" s="91"/>
      <c r="AS26" s="90"/>
      <c r="AT26" s="90"/>
      <c r="AU26" s="90"/>
      <c r="AV26" s="94"/>
      <c r="AW26" s="91"/>
      <c r="AX26" s="90"/>
      <c r="AY26" s="90"/>
      <c r="AZ26" s="90"/>
      <c r="BA26" s="94"/>
      <c r="BB26" s="91"/>
      <c r="BC26" s="90"/>
      <c r="BD26" s="90"/>
      <c r="BE26" s="90"/>
      <c r="BF26" s="94"/>
      <c r="BG26" s="91"/>
      <c r="BH26" s="90"/>
      <c r="BI26" s="90"/>
      <c r="BJ26" s="90"/>
      <c r="BK26" s="94"/>
      <c r="BL26" s="91"/>
      <c r="BM26" s="90"/>
      <c r="BN26" s="90"/>
      <c r="BO26" s="90"/>
      <c r="BP26" s="94"/>
    </row>
    <row r="27" spans="2:68" ht="51" customHeight="1" x14ac:dyDescent="0.25">
      <c r="B27" s="377" t="s">
        <v>225</v>
      </c>
      <c r="C27" s="377"/>
      <c r="D27" s="95"/>
      <c r="I27" s="96"/>
      <c r="M27" s="97"/>
      <c r="N27" s="95"/>
      <c r="R27" s="97"/>
      <c r="S27" s="95"/>
      <c r="W27" s="97"/>
      <c r="X27" s="95"/>
      <c r="AB27" s="97"/>
      <c r="AC27" s="95"/>
      <c r="AG27" s="97"/>
      <c r="AH27" s="95"/>
      <c r="AL27" s="97"/>
      <c r="AM27" s="95"/>
      <c r="AQ27" s="97"/>
      <c r="AR27" s="95"/>
      <c r="AV27" s="97"/>
      <c r="AW27" s="95"/>
      <c r="BA27" s="97"/>
      <c r="BB27" s="95"/>
      <c r="BF27" s="97"/>
      <c r="BG27" s="95"/>
      <c r="BK27" s="97"/>
      <c r="BL27" s="95"/>
      <c r="BP27" s="97"/>
    </row>
    <row r="28" spans="2:68" x14ac:dyDescent="0.25">
      <c r="B28" s="378" t="s">
        <v>226</v>
      </c>
      <c r="C28" s="79" t="s">
        <v>215</v>
      </c>
      <c r="D28" s="66">
        <v>0</v>
      </c>
      <c r="E28" s="67">
        <v>0</v>
      </c>
      <c r="F28" s="68"/>
      <c r="G28" s="69">
        <f>IF($B$4="quarter",SUM((E28/45),(F28/900)),IF($B$4="semester",SUM((E28/30),F28/900)))</f>
        <v>0</v>
      </c>
      <c r="H28" s="98"/>
      <c r="I28" s="80">
        <v>0</v>
      </c>
      <c r="J28" s="67">
        <v>0</v>
      </c>
      <c r="K28" s="68"/>
      <c r="L28" s="69">
        <f>IF($B$4="quarter",SUM((J28/45),(K28/900)),IF($B$4="semester",SUM((J28/30),K28/900)))</f>
        <v>0</v>
      </c>
      <c r="M28" s="99"/>
      <c r="N28" s="66">
        <v>0</v>
      </c>
      <c r="O28" s="67">
        <v>0</v>
      </c>
      <c r="P28" s="68"/>
      <c r="Q28" s="69">
        <f>IF($B$4="quarter",SUM((O28/45),(P28/900)),IF($B$4="semester",SUM((O28/30),P28/900)))</f>
        <v>0</v>
      </c>
      <c r="R28" s="99"/>
      <c r="S28" s="66">
        <v>0</v>
      </c>
      <c r="T28" s="67">
        <v>0</v>
      </c>
      <c r="U28" s="68"/>
      <c r="V28" s="69">
        <f>IF($B$4="quarter",SUM((T28/45),(U28/900)),IF($B$4="semester",SUM((T28/30),U28/900)))</f>
        <v>0</v>
      </c>
      <c r="W28" s="99"/>
      <c r="X28" s="66">
        <v>0</v>
      </c>
      <c r="Y28" s="67">
        <v>0</v>
      </c>
      <c r="Z28" s="68"/>
      <c r="AA28" s="69">
        <f>IF($B$4="quarter",SUM((Y28/45),(Z28/900)),IF($B$4="semester",SUM((Y28/30),Z28/900)))</f>
        <v>0</v>
      </c>
      <c r="AB28" s="99"/>
      <c r="AC28" s="66">
        <v>0</v>
      </c>
      <c r="AD28" s="67">
        <v>0</v>
      </c>
      <c r="AE28" s="68"/>
      <c r="AF28" s="69">
        <f>IF($B$4="quarter",SUM((AD28/45),(AE28/900)),IF($B$4="semester",SUM((AD28/30),AE28/900)))</f>
        <v>0</v>
      </c>
      <c r="AG28" s="99"/>
      <c r="AH28" s="66">
        <v>0</v>
      </c>
      <c r="AI28" s="67">
        <v>0</v>
      </c>
      <c r="AJ28" s="68"/>
      <c r="AK28" s="69">
        <f>IF($B$4="quarter",SUM((AI28/45),(AJ28/900)),IF($B$4="semester",SUM((AI28/30),AJ28/900)))</f>
        <v>0</v>
      </c>
      <c r="AL28" s="99"/>
      <c r="AM28" s="66">
        <v>0</v>
      </c>
      <c r="AN28" s="67">
        <v>0</v>
      </c>
      <c r="AO28" s="68"/>
      <c r="AP28" s="69">
        <f>IF($B$4="quarter",SUM((AN28/45),(AO28/900)),IF($B$4="semester",SUM((AN28/30),AO28/900)))</f>
        <v>0</v>
      </c>
      <c r="AQ28" s="99"/>
      <c r="AR28" s="66">
        <v>0</v>
      </c>
      <c r="AS28" s="67">
        <v>0</v>
      </c>
      <c r="AT28" s="68"/>
      <c r="AU28" s="69">
        <f>IF($B$4="quarter",SUM((AS28/45),(AT28/900)),IF($B$4="semester",SUM((AS28/30),AT28/900)))</f>
        <v>0</v>
      </c>
      <c r="AV28" s="99"/>
      <c r="AW28" s="66">
        <v>0</v>
      </c>
      <c r="AX28" s="67">
        <v>0</v>
      </c>
      <c r="AY28" s="68"/>
      <c r="AZ28" s="69">
        <f>IF($B$4="quarter",SUM((AX28/45),(AY28/900)),IF($B$4="semester",SUM((AX28/30),AY28/900)))</f>
        <v>0</v>
      </c>
      <c r="BA28" s="99"/>
      <c r="BB28" s="23">
        <v>0</v>
      </c>
      <c r="BC28" s="24">
        <v>0</v>
      </c>
      <c r="BD28" s="68"/>
      <c r="BE28" s="69">
        <f>IF($B$4="quarter",SUM((BC28/45),(BD28/900)),IF($B$4="semester",SUM((BC28/30),BD28/900)))</f>
        <v>0</v>
      </c>
      <c r="BF28" s="99"/>
      <c r="BG28" s="66">
        <v>0</v>
      </c>
      <c r="BH28" s="67">
        <v>0</v>
      </c>
      <c r="BI28" s="68"/>
      <c r="BJ28" s="69">
        <f>IF($B$4="quarter",SUM((BH28/45),(BI28/900)),IF($B$4="semester",SUM((BH28/30),BI28/900)))</f>
        <v>0</v>
      </c>
      <c r="BK28" s="99"/>
      <c r="BL28" s="66">
        <v>0</v>
      </c>
      <c r="BM28" s="67">
        <v>0</v>
      </c>
      <c r="BN28" s="68"/>
      <c r="BO28" s="69">
        <f>IF($B$4="quarter",SUM((BM28/45),(BN28/900)),IF($B$4="semester",SUM((BM28/30),BN28/900)))</f>
        <v>0</v>
      </c>
      <c r="BP28" s="99"/>
    </row>
    <row r="29" spans="2:68" x14ac:dyDescent="0.25">
      <c r="B29" s="379"/>
      <c r="C29" s="79" t="s">
        <v>216</v>
      </c>
      <c r="D29" s="66">
        <v>0</v>
      </c>
      <c r="E29" s="67">
        <v>0</v>
      </c>
      <c r="F29" s="68"/>
      <c r="G29" s="69">
        <f>IF($B$4="quarter",SUM((E29/45),(F29/900)),IF($B$4="semester",SUM((E29/30),F29/900)))</f>
        <v>0</v>
      </c>
      <c r="H29" s="98"/>
      <c r="I29" s="80">
        <v>0</v>
      </c>
      <c r="J29" s="67">
        <v>0</v>
      </c>
      <c r="K29" s="68"/>
      <c r="L29" s="69">
        <f>IF($B$4="quarter",SUM((J29/45),(K29/900)),IF($B$4="semester",SUM((J29/30),K29/900)))</f>
        <v>0</v>
      </c>
      <c r="M29" s="99"/>
      <c r="N29" s="66">
        <v>0</v>
      </c>
      <c r="O29" s="67">
        <v>0</v>
      </c>
      <c r="P29" s="68"/>
      <c r="Q29" s="69">
        <f>IF($B$4="quarter",SUM((O29/45),(P29/900)),IF($B$4="semester",SUM((O29/30),P29/900)))</f>
        <v>0</v>
      </c>
      <c r="R29" s="99"/>
      <c r="S29" s="66">
        <v>0</v>
      </c>
      <c r="T29" s="67">
        <v>0</v>
      </c>
      <c r="U29" s="68"/>
      <c r="V29" s="69">
        <f>IF($B$4="quarter",SUM((T29/45),(U29/900)),IF($B$4="semester",SUM((T29/30),U29/900)))</f>
        <v>0</v>
      </c>
      <c r="W29" s="99"/>
      <c r="X29" s="66">
        <v>0</v>
      </c>
      <c r="Y29" s="67">
        <v>0</v>
      </c>
      <c r="Z29" s="68"/>
      <c r="AA29" s="69">
        <f>IF($B$4="quarter",SUM((Y29/45),(Z29/900)),IF($B$4="semester",SUM((Y29/30),Z29/900)))</f>
        <v>0</v>
      </c>
      <c r="AB29" s="99"/>
      <c r="AC29" s="66">
        <v>0</v>
      </c>
      <c r="AD29" s="67">
        <v>0</v>
      </c>
      <c r="AE29" s="68"/>
      <c r="AF29" s="69">
        <f>IF($B$4="quarter",SUM((AD29/45),(AE29/900)),IF($B$4="semester",SUM((AD29/30),AE29/900)))</f>
        <v>0</v>
      </c>
      <c r="AG29" s="99"/>
      <c r="AH29" s="66">
        <v>0</v>
      </c>
      <c r="AI29" s="67">
        <v>0</v>
      </c>
      <c r="AJ29" s="68"/>
      <c r="AK29" s="69">
        <f>IF($B$4="quarter",SUM((AI29/45),(AJ29/900)),IF($B$4="semester",SUM((AI29/30),AJ29/900)))</f>
        <v>0</v>
      </c>
      <c r="AL29" s="99"/>
      <c r="AM29" s="66">
        <v>0</v>
      </c>
      <c r="AN29" s="67">
        <v>0</v>
      </c>
      <c r="AO29" s="68"/>
      <c r="AP29" s="69">
        <f>IF($B$4="quarter",SUM((AN29/45),(AO29/900)),IF($B$4="semester",SUM((AN29/30),AO29/900)))</f>
        <v>0</v>
      </c>
      <c r="AQ29" s="99"/>
      <c r="AR29" s="66">
        <v>0</v>
      </c>
      <c r="AS29" s="67">
        <v>0</v>
      </c>
      <c r="AT29" s="68"/>
      <c r="AU29" s="69">
        <f>IF($B$4="quarter",SUM((AS29/45),(AT29/900)),IF($B$4="semester",SUM((AS29/30),AT29/900)))</f>
        <v>0</v>
      </c>
      <c r="AV29" s="99"/>
      <c r="AW29" s="66">
        <v>0</v>
      </c>
      <c r="AX29" s="67">
        <v>0</v>
      </c>
      <c r="AY29" s="68"/>
      <c r="AZ29" s="69">
        <f>IF($B$4="quarter",SUM((AX29/45),(AY29/900)),IF($B$4="semester",SUM((AX29/30),AY29/900)))</f>
        <v>0</v>
      </c>
      <c r="BA29" s="99"/>
      <c r="BB29" s="23">
        <v>0</v>
      </c>
      <c r="BC29" s="24">
        <v>0</v>
      </c>
      <c r="BD29" s="68"/>
      <c r="BE29" s="69">
        <f>IF($B$4="quarter",SUM((BC29/45),(BD29/900)),IF($B$4="semester",SUM((BC29/30),BD29/900)))</f>
        <v>0</v>
      </c>
      <c r="BF29" s="99"/>
      <c r="BG29" s="66">
        <v>0</v>
      </c>
      <c r="BH29" s="67">
        <v>0</v>
      </c>
      <c r="BI29" s="68"/>
      <c r="BJ29" s="69">
        <f>IF($B$4="quarter",SUM((BH29/45),(BI29/900)),IF($B$4="semester",SUM((BH29/30),BI29/900)))</f>
        <v>0</v>
      </c>
      <c r="BK29" s="99"/>
      <c r="BL29" s="66">
        <v>0</v>
      </c>
      <c r="BM29" s="67">
        <v>0</v>
      </c>
      <c r="BN29" s="68"/>
      <c r="BO29" s="69">
        <f>IF($B$4="quarter",SUM((BM29/45),(BN29/900)),IF($B$4="semester",SUM((BM29/30),BN29/900)))</f>
        <v>0</v>
      </c>
      <c r="BP29" s="99"/>
    </row>
    <row r="30" spans="2:68" x14ac:dyDescent="0.25">
      <c r="B30" s="379"/>
      <c r="C30" s="81" t="s">
        <v>217</v>
      </c>
      <c r="D30" s="71">
        <f>SUM(D28:D29)</f>
        <v>0</v>
      </c>
      <c r="E30" s="69">
        <f>SUM(E28:E29)</f>
        <v>0</v>
      </c>
      <c r="F30" s="68">
        <f t="shared" ref="F30" si="29">SUM(F28:F29)</f>
        <v>0</v>
      </c>
      <c r="G30" s="69">
        <f>SUM(G28:G29)</f>
        <v>0</v>
      </c>
      <c r="H30" s="98"/>
      <c r="I30" s="100">
        <f>SUM(I28:I29)</f>
        <v>0</v>
      </c>
      <c r="J30" s="69">
        <f>SUM(J28:J29)</f>
        <v>0</v>
      </c>
      <c r="K30" s="68"/>
      <c r="L30" s="69">
        <f>SUM(L28:L29)</f>
        <v>0</v>
      </c>
      <c r="M30" s="99"/>
      <c r="N30" s="71">
        <f>SUM(N28:N29)</f>
        <v>0</v>
      </c>
      <c r="O30" s="69">
        <f>SUM(O28:O29)</f>
        <v>0</v>
      </c>
      <c r="P30" s="68"/>
      <c r="Q30" s="69">
        <f>SUM(Q28:Q29)</f>
        <v>0</v>
      </c>
      <c r="R30" s="99"/>
      <c r="S30" s="71">
        <f>SUM(S28:S29)</f>
        <v>0</v>
      </c>
      <c r="T30" s="69">
        <f>SUM(T28:T29)</f>
        <v>0</v>
      </c>
      <c r="U30" s="68"/>
      <c r="V30" s="69">
        <f>SUM(V28:V29)</f>
        <v>0</v>
      </c>
      <c r="W30" s="99"/>
      <c r="X30" s="71">
        <f>SUM(X28:X29)</f>
        <v>0</v>
      </c>
      <c r="Y30" s="69">
        <f>SUM(Y28:Y29)</f>
        <v>0</v>
      </c>
      <c r="Z30" s="68"/>
      <c r="AA30" s="69">
        <f>SUM(AA28:AA29)</f>
        <v>0</v>
      </c>
      <c r="AB30" s="99"/>
      <c r="AC30" s="71">
        <f>SUM(AC28:AC29)</f>
        <v>0</v>
      </c>
      <c r="AD30" s="69">
        <f>SUM(AD28:AD29)</f>
        <v>0</v>
      </c>
      <c r="AE30" s="68"/>
      <c r="AF30" s="69">
        <f>SUM(AF28:AF29)</f>
        <v>0</v>
      </c>
      <c r="AG30" s="99"/>
      <c r="AH30" s="71">
        <f>SUM(AH28:AH29)</f>
        <v>0</v>
      </c>
      <c r="AI30" s="69">
        <f>SUM(AI28:AI29)</f>
        <v>0</v>
      </c>
      <c r="AJ30" s="68"/>
      <c r="AK30" s="69">
        <f>SUM(AK28:AK29)</f>
        <v>0</v>
      </c>
      <c r="AL30" s="99"/>
      <c r="AM30" s="71">
        <f>SUM(AM28:AM29)</f>
        <v>0</v>
      </c>
      <c r="AN30" s="69">
        <f>SUM(AN28:AN29)</f>
        <v>0</v>
      </c>
      <c r="AO30" s="68"/>
      <c r="AP30" s="69">
        <f>SUM(AP28:AP29)</f>
        <v>0</v>
      </c>
      <c r="AQ30" s="99"/>
      <c r="AR30" s="71">
        <f>SUM(AR28:AR29)</f>
        <v>0</v>
      </c>
      <c r="AS30" s="69">
        <f>SUM(AS28:AS29)</f>
        <v>0</v>
      </c>
      <c r="AT30" s="68"/>
      <c r="AU30" s="69">
        <f>SUM(AU28:AU29)</f>
        <v>0</v>
      </c>
      <c r="AV30" s="99"/>
      <c r="AW30" s="71">
        <f>SUM(AW28:AW29)</f>
        <v>0</v>
      </c>
      <c r="AX30" s="69">
        <f>SUM(AX28:AX29)</f>
        <v>0</v>
      </c>
      <c r="AY30" s="68"/>
      <c r="AZ30" s="69">
        <f>SUM(AZ28:AZ29)</f>
        <v>0</v>
      </c>
      <c r="BA30" s="99"/>
      <c r="BB30" s="71">
        <f>SUM(BB28:BB29)</f>
        <v>0</v>
      </c>
      <c r="BC30" s="69">
        <f>SUM(BC28:BC29)</f>
        <v>0</v>
      </c>
      <c r="BD30" s="68"/>
      <c r="BE30" s="69">
        <f>SUM(BE28:BE29)</f>
        <v>0</v>
      </c>
      <c r="BF30" s="99"/>
      <c r="BG30" s="71">
        <f>SUM(BG28:BG29)</f>
        <v>0</v>
      </c>
      <c r="BH30" s="69">
        <f>SUM(BH28:BH29)</f>
        <v>0</v>
      </c>
      <c r="BI30" s="68"/>
      <c r="BJ30" s="69">
        <f>SUM(BJ28:BJ29)</f>
        <v>0</v>
      </c>
      <c r="BK30" s="99"/>
      <c r="BL30" s="71">
        <f>SUM(BL28:BL29)</f>
        <v>0</v>
      </c>
      <c r="BM30" s="69">
        <f>SUM(BM28:BM29)</f>
        <v>0</v>
      </c>
      <c r="BN30" s="68"/>
      <c r="BO30" s="69">
        <f>SUM(BO28:BO29)</f>
        <v>0</v>
      </c>
      <c r="BP30" s="99"/>
    </row>
    <row r="31" spans="2:68" x14ac:dyDescent="0.25">
      <c r="B31" s="101"/>
      <c r="D31" s="102"/>
      <c r="E31" s="101"/>
      <c r="F31" s="101"/>
      <c r="G31" s="101"/>
      <c r="H31" s="103"/>
      <c r="I31" s="104"/>
      <c r="J31" s="101"/>
      <c r="K31" s="101"/>
      <c r="L31" s="101"/>
      <c r="M31" s="105"/>
      <c r="N31" s="102"/>
      <c r="O31" s="106"/>
      <c r="P31" s="101"/>
      <c r="Q31" s="101"/>
      <c r="R31" s="105"/>
      <c r="S31" s="102"/>
      <c r="T31" s="106"/>
      <c r="U31" s="101"/>
      <c r="V31" s="101"/>
      <c r="W31" s="105"/>
      <c r="X31" s="102"/>
      <c r="Y31" s="106"/>
      <c r="Z31" s="101"/>
      <c r="AA31" s="101"/>
      <c r="AB31" s="105"/>
      <c r="AC31" s="102"/>
      <c r="AD31" s="106"/>
      <c r="AE31" s="101"/>
      <c r="AF31" s="101"/>
      <c r="AG31" s="105"/>
      <c r="AH31" s="102"/>
      <c r="AI31" s="106"/>
      <c r="AJ31" s="101"/>
      <c r="AK31" s="101"/>
      <c r="AL31" s="105"/>
      <c r="AM31" s="102"/>
      <c r="AN31" s="106"/>
      <c r="AO31" s="101"/>
      <c r="AP31" s="101"/>
      <c r="AQ31" s="105"/>
      <c r="AR31" s="102"/>
      <c r="AS31" s="106"/>
      <c r="AT31" s="101"/>
      <c r="AU31" s="101"/>
      <c r="AV31" s="105"/>
      <c r="AW31" s="102"/>
      <c r="AX31" s="106"/>
      <c r="AY31" s="101"/>
      <c r="AZ31" s="101"/>
      <c r="BA31" s="105"/>
      <c r="BB31" s="102"/>
      <c r="BC31" s="106"/>
      <c r="BD31" s="101"/>
      <c r="BE31" s="101"/>
      <c r="BF31" s="105"/>
      <c r="BG31" s="102"/>
      <c r="BH31" s="106"/>
      <c r="BI31" s="101"/>
      <c r="BJ31" s="101"/>
      <c r="BK31" s="105"/>
      <c r="BL31" s="102"/>
      <c r="BM31" s="106"/>
      <c r="BN31" s="101"/>
      <c r="BO31" s="101"/>
      <c r="BP31" s="105"/>
    </row>
    <row r="32" spans="2:68" x14ac:dyDescent="0.25">
      <c r="B32" s="380" t="s">
        <v>227</v>
      </c>
      <c r="C32" s="79" t="s">
        <v>215</v>
      </c>
      <c r="D32" s="66">
        <v>80</v>
      </c>
      <c r="E32" s="67">
        <v>413</v>
      </c>
      <c r="F32" s="68"/>
      <c r="G32" s="69">
        <f>IF($B$4="quarter",SUM((E32/45),(F32/900)),IF($B$4="semester",SUM((E32/30),F32/900)))</f>
        <v>13.766666666666667</v>
      </c>
      <c r="H32" s="98"/>
      <c r="I32" s="80">
        <v>80</v>
      </c>
      <c r="J32" s="67">
        <v>409</v>
      </c>
      <c r="K32" s="68"/>
      <c r="L32" s="69">
        <f>IF($B$4="quarter",SUM((J32/45),(K32/900)),IF($B$4="semester",SUM((J32/30),K32/900)))</f>
        <v>13.633333333333333</v>
      </c>
      <c r="M32" s="99"/>
      <c r="N32" s="66">
        <v>82</v>
      </c>
      <c r="O32" s="67">
        <v>420</v>
      </c>
      <c r="P32" s="68"/>
      <c r="Q32" s="69">
        <f>IF($B$4="quarter",SUM((O32/45),(P32/900)),IF($B$4="semester",SUM((O32/30),P32/900)))</f>
        <v>14</v>
      </c>
      <c r="R32" s="99"/>
      <c r="S32" s="66">
        <v>209</v>
      </c>
      <c r="T32" s="67">
        <v>1217</v>
      </c>
      <c r="U32" s="68"/>
      <c r="V32" s="69">
        <f>IF($B$4="quarter",SUM((T32/45),(U32/900)),IF($B$4="semester",SUM((T32/30),U32/900)))</f>
        <v>40.56666666666667</v>
      </c>
      <c r="W32" s="99"/>
      <c r="X32" s="66">
        <v>344</v>
      </c>
      <c r="Y32" s="67">
        <v>1783</v>
      </c>
      <c r="Z32" s="68"/>
      <c r="AA32" s="69">
        <f>IF($B$4="quarter",SUM((Y32/45),(Z32/900)),IF($B$4="semester",SUM((Y32/30),Z32/900)))</f>
        <v>59.43333333333333</v>
      </c>
      <c r="AB32" s="99"/>
      <c r="AC32" s="66">
        <v>312</v>
      </c>
      <c r="AD32" s="67">
        <v>1728</v>
      </c>
      <c r="AE32" s="68"/>
      <c r="AF32" s="69">
        <f>IF($B$4="quarter",SUM((AD32/45),(AE32/900)),IF($B$4="semester",SUM((AD32/30),AE32/900)))</f>
        <v>57.6</v>
      </c>
      <c r="AG32" s="99"/>
      <c r="AH32" s="66">
        <v>0</v>
      </c>
      <c r="AI32" s="67">
        <v>0</v>
      </c>
      <c r="AJ32" s="68"/>
      <c r="AK32" s="69">
        <f>IF($B$4="quarter",SUM((AI32/45),(AJ32/900)),IF($B$4="semester",SUM((AI32/30),AJ32/900)))</f>
        <v>0</v>
      </c>
      <c r="AL32" s="99"/>
      <c r="AM32" s="66">
        <v>0</v>
      </c>
      <c r="AN32" s="67">
        <v>0</v>
      </c>
      <c r="AO32" s="68"/>
      <c r="AP32" s="69">
        <f>IF($B$4="quarter",SUM((AN32/45),(AO32/900)),IF($B$4="semester",SUM((AN32/30),AO32/900)))</f>
        <v>0</v>
      </c>
      <c r="AQ32" s="99"/>
      <c r="AR32" s="23">
        <v>0</v>
      </c>
      <c r="AS32" s="24">
        <v>0</v>
      </c>
      <c r="AT32" s="68"/>
      <c r="AU32" s="69">
        <f>IF($B$4="quarter",SUM((AS32/45),(AT32/900)),IF($B$4="semester",SUM((AS32/30),AT32/900)))</f>
        <v>0</v>
      </c>
      <c r="AV32" s="99"/>
      <c r="AW32" s="23">
        <v>0</v>
      </c>
      <c r="AX32" s="24">
        <v>0</v>
      </c>
      <c r="AY32" s="68"/>
      <c r="AZ32" s="69">
        <f>IF($B$4="quarter",SUM((AX32/45),(AY32/900)),IF($B$4="semester",SUM((AX32/30),AY32/900)))</f>
        <v>0</v>
      </c>
      <c r="BA32" s="99"/>
      <c r="BB32" s="23">
        <v>0</v>
      </c>
      <c r="BC32" s="24">
        <v>0</v>
      </c>
      <c r="BD32" s="68"/>
      <c r="BE32" s="69">
        <f>IF($B$4="quarter",SUM((BC32/45),(BD32/900)),IF($B$4="semester",SUM((BC32/30),BD32/900)))</f>
        <v>0</v>
      </c>
      <c r="BF32" s="99"/>
      <c r="BG32" s="66">
        <v>0</v>
      </c>
      <c r="BH32" s="67">
        <v>0</v>
      </c>
      <c r="BI32" s="68"/>
      <c r="BJ32" s="69">
        <f>IF($B$4="quarter",SUM((BH32/45),(BI32/900)),IF($B$4="semester",SUM((BH32/30),BI32/900)))</f>
        <v>0</v>
      </c>
      <c r="BK32" s="99"/>
      <c r="BL32" s="66">
        <v>0</v>
      </c>
      <c r="BM32" s="67">
        <v>0</v>
      </c>
      <c r="BN32" s="68"/>
      <c r="BO32" s="69">
        <f>IF($B$4="quarter",SUM((BM32/45),(BN32/900)),IF($B$4="semester",SUM((BM32/30),BN32/900)))</f>
        <v>0</v>
      </c>
      <c r="BP32" s="99"/>
    </row>
    <row r="33" spans="2:68" x14ac:dyDescent="0.25">
      <c r="B33" s="380"/>
      <c r="C33" s="79" t="s">
        <v>216</v>
      </c>
      <c r="D33" s="66">
        <v>0</v>
      </c>
      <c r="E33" s="67">
        <v>0</v>
      </c>
      <c r="F33" s="68"/>
      <c r="G33" s="69">
        <f>IF($B$4="quarter",SUM((E33/45),(F33/900)),IF($B$4="semester",SUM((E33/30),F33/900)))</f>
        <v>0</v>
      </c>
      <c r="H33" s="98"/>
      <c r="I33" s="80">
        <v>0</v>
      </c>
      <c r="J33" s="67">
        <v>0</v>
      </c>
      <c r="K33" s="68"/>
      <c r="L33" s="69">
        <f>IF($B$4="quarter",SUM((J33/45),(K33/900)),IF($B$4="semester",SUM((J33/30),K33/900)))</f>
        <v>0</v>
      </c>
      <c r="M33" s="99"/>
      <c r="N33" s="66">
        <v>0</v>
      </c>
      <c r="O33" s="67">
        <v>0</v>
      </c>
      <c r="P33" s="68"/>
      <c r="Q33" s="69">
        <f>IF($B$4="quarter",SUM((O33/45),(P33/900)),IF($B$4="semester",SUM((O33/30),P33/900)))</f>
        <v>0</v>
      </c>
      <c r="R33" s="99"/>
      <c r="S33" s="66">
        <v>0</v>
      </c>
      <c r="T33" s="67">
        <v>0</v>
      </c>
      <c r="U33" s="68"/>
      <c r="V33" s="69">
        <f>IF($B$4="quarter",SUM((T33/45),(U33/900)),IF($B$4="semester",SUM((T33/30),U33/900)))</f>
        <v>0</v>
      </c>
      <c r="W33" s="99"/>
      <c r="X33" s="66">
        <v>0</v>
      </c>
      <c r="Y33" s="67">
        <v>0</v>
      </c>
      <c r="Z33" s="68"/>
      <c r="AA33" s="69">
        <f>IF($B$4="quarter",SUM((Y33/45),(Z33/900)),IF($B$4="semester",SUM((Y33/30),Z33/900)))</f>
        <v>0</v>
      </c>
      <c r="AB33" s="99"/>
      <c r="AC33" s="66">
        <v>0</v>
      </c>
      <c r="AD33" s="67">
        <v>0</v>
      </c>
      <c r="AE33" s="68"/>
      <c r="AF33" s="69">
        <f>IF($B$4="quarter",SUM((AD33/45),(AE33/900)),IF($B$4="semester",SUM((AD33/30),AE33/900)))</f>
        <v>0</v>
      </c>
      <c r="AG33" s="99"/>
      <c r="AH33" s="66">
        <v>0</v>
      </c>
      <c r="AI33" s="67">
        <v>0</v>
      </c>
      <c r="AJ33" s="68"/>
      <c r="AK33" s="69">
        <f>IF($B$4="quarter",SUM((AI33/45),(AJ33/900)),IF($B$4="semester",SUM((AI33/30),AJ33/900)))</f>
        <v>0</v>
      </c>
      <c r="AL33" s="99"/>
      <c r="AM33" s="66">
        <v>0</v>
      </c>
      <c r="AN33" s="67">
        <v>0</v>
      </c>
      <c r="AO33" s="68"/>
      <c r="AP33" s="69">
        <f>IF($B$4="quarter",SUM((AN33/45),(AO33/900)),IF($B$4="semester",SUM((AN33/30),AO33/900)))</f>
        <v>0</v>
      </c>
      <c r="AQ33" s="99"/>
      <c r="AR33" s="23">
        <v>0</v>
      </c>
      <c r="AS33" s="24">
        <v>0</v>
      </c>
      <c r="AT33" s="68"/>
      <c r="AU33" s="69">
        <f>IF($B$4="quarter",SUM((AS33/45),(AT33/900)),IF($B$4="semester",SUM((AS33/30),AT33/900)))</f>
        <v>0</v>
      </c>
      <c r="AV33" s="99"/>
      <c r="AW33" s="23">
        <v>0</v>
      </c>
      <c r="AX33" s="24">
        <v>0</v>
      </c>
      <c r="AY33" s="68"/>
      <c r="AZ33" s="69">
        <f>IF($B$4="quarter",SUM((AX33/45),(AY33/900)),IF($B$4="semester",SUM((AX33/30),AY33/900)))</f>
        <v>0</v>
      </c>
      <c r="BA33" s="99"/>
      <c r="BB33" s="23">
        <v>0</v>
      </c>
      <c r="BC33" s="24">
        <v>0</v>
      </c>
      <c r="BD33" s="68"/>
      <c r="BE33" s="69">
        <f>IF($B$4="quarter",SUM((BC33/45),(BD33/900)),IF($B$4="semester",SUM((BC33/30),BD33/900)))</f>
        <v>0</v>
      </c>
      <c r="BF33" s="99"/>
      <c r="BG33" s="66">
        <v>0</v>
      </c>
      <c r="BH33" s="67">
        <v>0</v>
      </c>
      <c r="BI33" s="68"/>
      <c r="BJ33" s="69">
        <f>IF($B$4="quarter",SUM((BH33/45),(BI33/900)),IF($B$4="semester",SUM((BH33/30),BI33/900)))</f>
        <v>0</v>
      </c>
      <c r="BK33" s="99"/>
      <c r="BL33" s="66">
        <v>0</v>
      </c>
      <c r="BM33" s="67">
        <v>0</v>
      </c>
      <c r="BN33" s="68"/>
      <c r="BO33" s="69">
        <f>IF($B$4="quarter",SUM((BM33/45),(BN33/900)),IF($B$4="semester",SUM((BM33/30),BN33/900)))</f>
        <v>0</v>
      </c>
      <c r="BP33" s="99"/>
    </row>
    <row r="34" spans="2:68" x14ac:dyDescent="0.25">
      <c r="B34" s="380"/>
      <c r="C34" s="81" t="s">
        <v>217</v>
      </c>
      <c r="D34" s="71">
        <f>SUM(D32:D33)</f>
        <v>80</v>
      </c>
      <c r="E34" s="69">
        <f>SUM(E32:E33)</f>
        <v>413</v>
      </c>
      <c r="F34" s="68">
        <f t="shared" ref="F34" si="30">SUM(F32:F33)</f>
        <v>0</v>
      </c>
      <c r="G34" s="69">
        <f>SUM(G32:G33)</f>
        <v>13.766666666666667</v>
      </c>
      <c r="H34" s="98"/>
      <c r="I34" s="100">
        <f>SUM(I32:I33)</f>
        <v>80</v>
      </c>
      <c r="J34" s="69">
        <f>SUM(J32:J33)</f>
        <v>409</v>
      </c>
      <c r="K34" s="68"/>
      <c r="L34" s="69">
        <f>SUM(L32:L33)</f>
        <v>13.633333333333333</v>
      </c>
      <c r="M34" s="99"/>
      <c r="N34" s="71">
        <f>SUM(N32:N33)</f>
        <v>82</v>
      </c>
      <c r="O34" s="69">
        <f>SUM(O32:O33)</f>
        <v>420</v>
      </c>
      <c r="P34" s="68"/>
      <c r="Q34" s="69">
        <f>SUM(Q32:Q33)</f>
        <v>14</v>
      </c>
      <c r="R34" s="99"/>
      <c r="S34" s="71">
        <f>SUM(S32:S33)</f>
        <v>209</v>
      </c>
      <c r="T34" s="69">
        <f>SUM(T32:T33)</f>
        <v>1217</v>
      </c>
      <c r="U34" s="68"/>
      <c r="V34" s="69">
        <f>SUM(V32:V33)</f>
        <v>40.56666666666667</v>
      </c>
      <c r="W34" s="99"/>
      <c r="X34" s="71">
        <f>SUM(X32:X33)</f>
        <v>344</v>
      </c>
      <c r="Y34" s="69">
        <f>SUM(Y32:Y33)</f>
        <v>1783</v>
      </c>
      <c r="Z34" s="68"/>
      <c r="AA34" s="69">
        <f>SUM(AA32:AA33)</f>
        <v>59.43333333333333</v>
      </c>
      <c r="AB34" s="99"/>
      <c r="AC34" s="71">
        <f>SUM(AC32:AC33)</f>
        <v>312</v>
      </c>
      <c r="AD34" s="69">
        <f>SUM(AD32:AD33)</f>
        <v>1728</v>
      </c>
      <c r="AE34" s="68"/>
      <c r="AF34" s="69">
        <f>SUM(AF32:AF33)</f>
        <v>57.6</v>
      </c>
      <c r="AG34" s="99"/>
      <c r="AH34" s="71">
        <f>SUM(AH32:AH33)</f>
        <v>0</v>
      </c>
      <c r="AI34" s="69">
        <f>SUM(AI32:AI33)</f>
        <v>0</v>
      </c>
      <c r="AJ34" s="68"/>
      <c r="AK34" s="69">
        <f>SUM(AK32:AK33)</f>
        <v>0</v>
      </c>
      <c r="AL34" s="99"/>
      <c r="AM34" s="71">
        <f>SUM(AM32:AM33)</f>
        <v>0</v>
      </c>
      <c r="AN34" s="69">
        <f>SUM(AN32:AN33)</f>
        <v>0</v>
      </c>
      <c r="AO34" s="68"/>
      <c r="AP34" s="69">
        <f>SUM(AP32:AP33)</f>
        <v>0</v>
      </c>
      <c r="AQ34" s="99"/>
      <c r="AR34" s="71">
        <f>SUM(AR32:AR33)</f>
        <v>0</v>
      </c>
      <c r="AS34" s="69">
        <f>SUM(AS32:AS33)</f>
        <v>0</v>
      </c>
      <c r="AT34" s="68"/>
      <c r="AU34" s="69">
        <f>SUM(AU32:AU33)</f>
        <v>0</v>
      </c>
      <c r="AV34" s="99"/>
      <c r="AW34" s="71">
        <f>SUM(AW32:AW33)</f>
        <v>0</v>
      </c>
      <c r="AX34" s="69">
        <f>SUM(AX32:AX33)</f>
        <v>0</v>
      </c>
      <c r="AY34" s="68"/>
      <c r="AZ34" s="69">
        <f>SUM(AZ32:AZ33)</f>
        <v>0</v>
      </c>
      <c r="BA34" s="99"/>
      <c r="BB34" s="71">
        <f>SUM(BB32:BB33)</f>
        <v>0</v>
      </c>
      <c r="BC34" s="69">
        <f>SUM(BC32:BC33)</f>
        <v>0</v>
      </c>
      <c r="BD34" s="68"/>
      <c r="BE34" s="69">
        <f>SUM(BE32:BE33)</f>
        <v>0</v>
      </c>
      <c r="BF34" s="99"/>
      <c r="BG34" s="71">
        <f>SUM(BG32:BG33)</f>
        <v>0</v>
      </c>
      <c r="BH34" s="69">
        <f>SUM(BH32:BH33)</f>
        <v>0</v>
      </c>
      <c r="BI34" s="68"/>
      <c r="BJ34" s="69">
        <f>SUM(BJ32:BJ33)</f>
        <v>0</v>
      </c>
      <c r="BK34" s="99"/>
      <c r="BL34" s="71">
        <f>SUM(BL32:BL33)</f>
        <v>0</v>
      </c>
      <c r="BM34" s="69">
        <f>SUM(BM32:BM33)</f>
        <v>0</v>
      </c>
      <c r="BN34" s="68"/>
      <c r="BO34" s="69">
        <f>SUM(BO32:BO33)</f>
        <v>0</v>
      </c>
      <c r="BP34" s="99"/>
    </row>
    <row r="35" spans="2:68" x14ac:dyDescent="0.25">
      <c r="B35" s="107"/>
      <c r="C35" s="64"/>
      <c r="D35" s="84"/>
      <c r="E35" s="76"/>
      <c r="F35" s="76"/>
      <c r="G35" s="76"/>
      <c r="H35" s="83"/>
      <c r="I35" s="84"/>
      <c r="J35" s="76"/>
      <c r="K35" s="76"/>
      <c r="L35" s="76"/>
      <c r="M35" s="83"/>
      <c r="N35" s="84"/>
      <c r="O35" s="76"/>
      <c r="P35" s="76"/>
      <c r="Q35" s="76"/>
      <c r="R35" s="83"/>
      <c r="S35" s="84"/>
      <c r="T35" s="76"/>
      <c r="U35" s="76"/>
      <c r="V35" s="76"/>
      <c r="W35" s="83"/>
      <c r="X35" s="84"/>
      <c r="Y35" s="76"/>
      <c r="Z35" s="76"/>
      <c r="AA35" s="76"/>
      <c r="AB35" s="83"/>
      <c r="AC35" s="84"/>
      <c r="AD35" s="76"/>
      <c r="AE35" s="76"/>
      <c r="AF35" s="76"/>
      <c r="AG35" s="83"/>
      <c r="AH35" s="84"/>
      <c r="AI35" s="76"/>
      <c r="AJ35" s="76"/>
      <c r="AK35" s="76"/>
      <c r="AL35" s="83"/>
      <c r="AM35" s="84"/>
      <c r="AN35" s="76"/>
      <c r="AO35" s="76"/>
      <c r="AP35" s="76"/>
      <c r="AQ35" s="83"/>
      <c r="AR35" s="84"/>
      <c r="AS35" s="76"/>
      <c r="AT35" s="76"/>
      <c r="AU35" s="76"/>
      <c r="AV35" s="83"/>
      <c r="AW35" s="84"/>
      <c r="AX35" s="76"/>
      <c r="AY35" s="76"/>
      <c r="AZ35" s="76"/>
      <c r="BA35" s="83"/>
      <c r="BB35" s="84"/>
      <c r="BC35" s="76"/>
      <c r="BD35" s="76"/>
      <c r="BE35" s="76"/>
      <c r="BF35" s="83"/>
      <c r="BG35" s="84"/>
      <c r="BH35" s="76"/>
      <c r="BI35" s="76"/>
      <c r="BJ35" s="76"/>
      <c r="BK35" s="83"/>
      <c r="BL35" s="84"/>
      <c r="BM35" s="76"/>
      <c r="BN35" s="76"/>
      <c r="BO35" s="76"/>
      <c r="BP35" s="83"/>
    </row>
    <row r="37" spans="2:68" s="108" customFormat="1" x14ac:dyDescent="0.25">
      <c r="D37" s="108" t="str">
        <f>D2&amp;" COMMENTS"</f>
        <v>2012-13 COMMENTS</v>
      </c>
      <c r="H37" s="109"/>
      <c r="I37" s="108" t="str">
        <f>I2&amp;" COMMENTS"</f>
        <v>2013-14 COMMENTS</v>
      </c>
      <c r="M37" s="109"/>
      <c r="N37" s="108" t="str">
        <f>N2&amp;" COMMENTS"</f>
        <v>2014-15 COMMENTS</v>
      </c>
      <c r="R37" s="109"/>
      <c r="S37" s="108" t="str">
        <f>S2&amp;" COMMENTS"</f>
        <v>2015-16 COMMENTS</v>
      </c>
      <c r="W37" s="109"/>
      <c r="X37" s="108" t="str">
        <f>X2&amp;" COMMENTS"</f>
        <v>2016-17 COMMENTS</v>
      </c>
      <c r="AB37" s="109"/>
      <c r="AC37" s="108" t="str">
        <f>AC2&amp;" COMMENTS"</f>
        <v>2017-18 COMMENTS</v>
      </c>
      <c r="AG37" s="109"/>
      <c r="AH37" s="108" t="str">
        <f>AH2&amp;" COMMENTS"</f>
        <v>2018-19 COMMENTS</v>
      </c>
      <c r="AL37" s="109"/>
      <c r="AM37" s="108" t="str">
        <f>AM2&amp;" COMMENTS"</f>
        <v>2019-20 COMMENTS</v>
      </c>
      <c r="AQ37" s="109"/>
      <c r="AR37" s="108" t="str">
        <f>AR2&amp;" COMMENTS"</f>
        <v>2020-21 COMMENTS</v>
      </c>
      <c r="AV37" s="109"/>
      <c r="AW37" s="108" t="str">
        <f>AW2&amp;" COMMENTS"</f>
        <v>2021-22 COMMENTS</v>
      </c>
      <c r="BA37" s="109"/>
      <c r="BB37" s="108" t="str">
        <f>BB2&amp;" COMMENTS"</f>
        <v>2022-23 COMMENTS</v>
      </c>
      <c r="BF37" s="109"/>
      <c r="BG37" s="108" t="str">
        <f>BG2&amp;" COMMENTS"</f>
        <v>2023-24 COMMENTS</v>
      </c>
      <c r="BK37" s="109"/>
      <c r="BL37" s="108" t="str">
        <f>BL2&amp;" COMMENTS"</f>
        <v>2024-25 COMMENTS</v>
      </c>
      <c r="BP37" s="109"/>
    </row>
    <row r="38" spans="2:68" s="110" customFormat="1" ht="243.75" customHeight="1" x14ac:dyDescent="0.2">
      <c r="D38" s="381"/>
      <c r="E38" s="382"/>
      <c r="F38" s="382"/>
      <c r="G38" s="382"/>
      <c r="H38" s="383"/>
      <c r="I38" s="381"/>
      <c r="J38" s="382"/>
      <c r="K38" s="382"/>
      <c r="L38" s="382"/>
      <c r="M38" s="383"/>
      <c r="N38" s="381"/>
      <c r="O38" s="382"/>
      <c r="P38" s="382"/>
      <c r="Q38" s="382"/>
      <c r="R38" s="383"/>
      <c r="S38" s="371"/>
      <c r="T38" s="372"/>
      <c r="U38" s="372"/>
      <c r="V38" s="372"/>
      <c r="W38" s="373"/>
      <c r="X38" s="371"/>
      <c r="Y38" s="372"/>
      <c r="Z38" s="372"/>
      <c r="AA38" s="372"/>
      <c r="AB38" s="373"/>
      <c r="AC38" s="371"/>
      <c r="AD38" s="372"/>
      <c r="AE38" s="372"/>
      <c r="AF38" s="372"/>
      <c r="AG38" s="373"/>
      <c r="AH38" s="371" t="s">
        <v>228</v>
      </c>
      <c r="AI38" s="372"/>
      <c r="AJ38" s="372"/>
      <c r="AK38" s="372"/>
      <c r="AL38" s="373"/>
      <c r="AM38" s="371"/>
      <c r="AN38" s="372"/>
      <c r="AO38" s="372"/>
      <c r="AP38" s="372"/>
      <c r="AQ38" s="373"/>
      <c r="AR38" s="371"/>
      <c r="AS38" s="372"/>
      <c r="AT38" s="372"/>
      <c r="AU38" s="372"/>
      <c r="AV38" s="373"/>
      <c r="AW38" s="371" t="s">
        <v>256</v>
      </c>
      <c r="AX38" s="372"/>
      <c r="AY38" s="372"/>
      <c r="AZ38" s="372"/>
      <c r="BA38" s="373"/>
      <c r="BB38" s="374" t="s">
        <v>261</v>
      </c>
      <c r="BC38" s="375"/>
      <c r="BD38" s="375"/>
      <c r="BE38" s="375"/>
      <c r="BF38" s="376"/>
      <c r="BG38" s="371"/>
      <c r="BH38" s="372"/>
      <c r="BI38" s="372"/>
      <c r="BJ38" s="372"/>
      <c r="BK38" s="373"/>
      <c r="BL38" s="371"/>
      <c r="BM38" s="372"/>
      <c r="BN38" s="372"/>
      <c r="BO38" s="372"/>
      <c r="BP38" s="373"/>
    </row>
  </sheetData>
  <sheetProtection formatColumns="0"/>
  <mergeCells count="98">
    <mergeCell ref="AC2:AG2"/>
    <mergeCell ref="D2:H2"/>
    <mergeCell ref="I2:M2"/>
    <mergeCell ref="N2:R2"/>
    <mergeCell ref="S2:W2"/>
    <mergeCell ref="X2:AB2"/>
    <mergeCell ref="BL2:BP2"/>
    <mergeCell ref="D3:D5"/>
    <mergeCell ref="E3:E5"/>
    <mergeCell ref="F3:F5"/>
    <mergeCell ref="G3:G5"/>
    <mergeCell ref="H3:H5"/>
    <mergeCell ref="I3:I5"/>
    <mergeCell ref="J3:J5"/>
    <mergeCell ref="K3:K5"/>
    <mergeCell ref="L3:L5"/>
    <mergeCell ref="AH2:AL2"/>
    <mergeCell ref="AM2:AQ2"/>
    <mergeCell ref="AR2:AV2"/>
    <mergeCell ref="AW2:BA2"/>
    <mergeCell ref="BB2:BF2"/>
    <mergeCell ref="BG2:BK2"/>
    <mergeCell ref="X3:X5"/>
    <mergeCell ref="M3:M5"/>
    <mergeCell ref="N3:N5"/>
    <mergeCell ref="O3:O5"/>
    <mergeCell ref="P3:P5"/>
    <mergeCell ref="Q3:Q5"/>
    <mergeCell ref="R3:R5"/>
    <mergeCell ref="S3:S5"/>
    <mergeCell ref="T3:T5"/>
    <mergeCell ref="U3:U5"/>
    <mergeCell ref="V3:V5"/>
    <mergeCell ref="W3:W5"/>
    <mergeCell ref="AJ3:AJ5"/>
    <mergeCell ref="Y3:Y5"/>
    <mergeCell ref="Z3:Z5"/>
    <mergeCell ref="AA3:AA5"/>
    <mergeCell ref="AB3:AB5"/>
    <mergeCell ref="AC3:AC5"/>
    <mergeCell ref="AD3:AD5"/>
    <mergeCell ref="AE3:AE5"/>
    <mergeCell ref="AF3:AF5"/>
    <mergeCell ref="AG3:AG5"/>
    <mergeCell ref="AH3:AH5"/>
    <mergeCell ref="AI3:AI5"/>
    <mergeCell ref="AV3:AV5"/>
    <mergeCell ref="AK3:AK5"/>
    <mergeCell ref="AL3:AL5"/>
    <mergeCell ref="AM3:AM5"/>
    <mergeCell ref="AN3:AN5"/>
    <mergeCell ref="AO3:AO5"/>
    <mergeCell ref="AP3:AP5"/>
    <mergeCell ref="AQ3:AQ5"/>
    <mergeCell ref="AR3:AR5"/>
    <mergeCell ref="AS3:AS5"/>
    <mergeCell ref="AT3:AT5"/>
    <mergeCell ref="AU3:AU5"/>
    <mergeCell ref="BF3:BF5"/>
    <mergeCell ref="BG3:BG5"/>
    <mergeCell ref="BH3:BH5"/>
    <mergeCell ref="AW3:AW5"/>
    <mergeCell ref="AX3:AX5"/>
    <mergeCell ref="AY3:AY5"/>
    <mergeCell ref="AZ3:AZ5"/>
    <mergeCell ref="BA3:BA5"/>
    <mergeCell ref="BB3:BB5"/>
    <mergeCell ref="N38:R38"/>
    <mergeCell ref="BO3:BO5"/>
    <mergeCell ref="BP3:BP5"/>
    <mergeCell ref="B6:B8"/>
    <mergeCell ref="B10:B12"/>
    <mergeCell ref="B14:B16"/>
    <mergeCell ref="B18:B20"/>
    <mergeCell ref="BI3:BI5"/>
    <mergeCell ref="BJ3:BJ5"/>
    <mergeCell ref="BK3:BK5"/>
    <mergeCell ref="BL3:BL5"/>
    <mergeCell ref="BM3:BM5"/>
    <mergeCell ref="BN3:BN5"/>
    <mergeCell ref="BC3:BC5"/>
    <mergeCell ref="BD3:BD5"/>
    <mergeCell ref="BE3:BE5"/>
    <mergeCell ref="B27:C27"/>
    <mergeCell ref="B28:B30"/>
    <mergeCell ref="B32:B34"/>
    <mergeCell ref="D38:H38"/>
    <mergeCell ref="I38:M38"/>
    <mergeCell ref="AW38:BA38"/>
    <mergeCell ref="BB38:BF38"/>
    <mergeCell ref="BG38:BK38"/>
    <mergeCell ref="BL38:BP38"/>
    <mergeCell ref="S38:W38"/>
    <mergeCell ref="X38:AB38"/>
    <mergeCell ref="AC38:AG38"/>
    <mergeCell ref="AH38:AL38"/>
    <mergeCell ref="AM38:AQ38"/>
    <mergeCell ref="AR38:AV38"/>
  </mergeCells>
  <dataValidations count="2">
    <dataValidation type="decimal" operator="greaterThanOrEqual" allowBlank="1" showInputMessage="1" showErrorMessage="1" errorTitle="data type error" error="value must be number greater than or equal to 0" sqref="S10:T11 X10:Y11" xr:uid="{6ACC7E1C-0A06-4D2E-9707-04E542A41141}">
      <formula1>0</formula1>
    </dataValidation>
    <dataValidation type="list" allowBlank="1" showInputMessage="1" showErrorMessage="1" sqref="B4" xr:uid="{17AEDB72-8E7F-402D-B037-0BAEA92D41AA}">
      <formula1>"Semester,Quarter"</formula1>
    </dataValidation>
  </dataValidations>
  <pageMargins left="0.3" right="0.3" top="0.76" bottom="0.28999999999999998" header="0.3" footer="0.22"/>
  <pageSetup scale="63" orientation="landscape" r:id="rId1"/>
  <headerFooter>
    <oddHeader>&amp;C&amp;"-,Bold"&amp;16University of Nebraska at Kearney
&amp;A</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46875-D342-4E1A-90B8-4BB54FA53EA7}">
  <sheetPr>
    <pageSetUpPr fitToPage="1"/>
  </sheetPr>
  <dimension ref="B1:AR52"/>
  <sheetViews>
    <sheetView showGridLines="0" zoomScaleNormal="100" workbookViewId="0">
      <pane xSplit="2" ySplit="4" topLeftCell="C5" activePane="bottomRight" state="frozen"/>
      <selection pane="topRight" activeCell="C1" sqref="C1"/>
      <selection pane="bottomLeft" activeCell="A5" sqref="A5"/>
      <selection pane="bottomRight" activeCell="ZQ13" sqref="ZQ13"/>
    </sheetView>
  </sheetViews>
  <sheetFormatPr defaultColWidth="21.28515625" defaultRowHeight="15" x14ac:dyDescent="0.25"/>
  <cols>
    <col min="1" max="1" width="1.5703125" style="173" customWidth="1"/>
    <col min="2" max="2" width="40.5703125" style="173" customWidth="1"/>
    <col min="3" max="3" width="20.28515625" style="173" bestFit="1" customWidth="1"/>
    <col min="4" max="4" width="15.7109375" style="191" customWidth="1"/>
    <col min="5" max="5" width="14.28515625" style="173" hidden="1" customWidth="1"/>
    <col min="6" max="6" width="10.28515625" style="173" hidden="1" customWidth="1"/>
    <col min="7" max="7" width="14.28515625" style="173" hidden="1" customWidth="1"/>
    <col min="8" max="8" width="10.28515625" style="173" hidden="1" customWidth="1"/>
    <col min="9" max="9" width="14.28515625" style="173" hidden="1" customWidth="1"/>
    <col min="10" max="10" width="10.28515625" style="173" hidden="1" customWidth="1"/>
    <col min="11" max="11" width="14.28515625" style="173" hidden="1" customWidth="1"/>
    <col min="12" max="12" width="10.28515625" style="173" hidden="1" customWidth="1"/>
    <col min="13" max="13" width="14.28515625" style="173" hidden="1" customWidth="1"/>
    <col min="14" max="14" width="10.28515625" style="173" hidden="1" customWidth="1"/>
    <col min="15" max="15" width="14.28515625" style="173" hidden="1" customWidth="1"/>
    <col min="16" max="16" width="10.28515625" style="173" hidden="1" customWidth="1"/>
    <col min="17" max="17" width="14.28515625" style="173" hidden="1" customWidth="1"/>
    <col min="18" max="18" width="10.28515625" style="173" hidden="1" customWidth="1"/>
    <col min="19" max="19" width="12.85546875" style="173" customWidth="1"/>
    <col min="20" max="20" width="10.28515625" style="173" customWidth="1"/>
    <col min="21" max="21" width="12.140625" style="173" customWidth="1"/>
    <col min="22" max="22" width="10.28515625" style="173" customWidth="1"/>
    <col min="23" max="23" width="11.5703125" style="173" customWidth="1"/>
    <col min="24" max="24" width="10.28515625" style="173" customWidth="1"/>
    <col min="25" max="25" width="11.7109375" style="173" customWidth="1"/>
    <col min="26" max="26" width="10.28515625" style="173" customWidth="1"/>
    <col min="27" max="28" width="10.28515625" style="173" hidden="1" customWidth="1"/>
    <col min="29" max="29" width="1.7109375" style="173" customWidth="1"/>
    <col min="30" max="36" width="16" style="173" hidden="1" customWidth="1"/>
    <col min="37" max="39" width="16" style="173" customWidth="1"/>
    <col min="40" max="41" width="16" style="173" hidden="1" customWidth="1"/>
    <col min="42" max="42" width="1.5703125" style="173" customWidth="1"/>
    <col min="43" max="43" width="21.28515625" style="173" customWidth="1"/>
    <col min="44" max="701" width="21.28515625" style="173"/>
    <col min="702" max="702" width="0" style="173" hidden="1" customWidth="1"/>
    <col min="703" max="16384" width="21.28515625" style="173"/>
  </cols>
  <sheetData>
    <row r="1" spans="2:43" s="111" customFormat="1" ht="15.75" customHeight="1" thickBot="1" x14ac:dyDescent="0.3">
      <c r="C1" s="112"/>
      <c r="D1" s="113"/>
      <c r="E1" s="435" t="s">
        <v>159</v>
      </c>
      <c r="F1" s="436"/>
      <c r="G1" s="436"/>
      <c r="H1" s="436"/>
      <c r="I1" s="436"/>
      <c r="J1" s="436"/>
      <c r="K1" s="436"/>
      <c r="L1" s="436"/>
      <c r="M1" s="436"/>
      <c r="N1" s="436"/>
      <c r="O1" s="436"/>
      <c r="P1" s="436"/>
      <c r="Q1" s="436"/>
      <c r="R1" s="436"/>
      <c r="S1" s="436"/>
      <c r="T1" s="436"/>
      <c r="U1" s="436"/>
      <c r="V1" s="436"/>
      <c r="W1" s="436"/>
      <c r="X1" s="436"/>
      <c r="Y1" s="436"/>
      <c r="Z1" s="436"/>
      <c r="AA1" s="436"/>
      <c r="AB1" s="437"/>
      <c r="AC1" s="114"/>
      <c r="AD1" s="435" t="s">
        <v>160</v>
      </c>
      <c r="AE1" s="436"/>
      <c r="AF1" s="436"/>
      <c r="AG1" s="436"/>
      <c r="AH1" s="436"/>
      <c r="AI1" s="436"/>
      <c r="AJ1" s="436"/>
      <c r="AK1" s="436"/>
      <c r="AL1" s="436"/>
      <c r="AM1" s="436"/>
      <c r="AN1" s="436"/>
      <c r="AO1" s="437"/>
      <c r="AP1" s="115"/>
    </row>
    <row r="2" spans="2:43" s="111" customFormat="1" ht="15.75" thickBot="1" x14ac:dyDescent="0.3">
      <c r="D2" s="116"/>
      <c r="E2" s="438" t="s">
        <v>161</v>
      </c>
      <c r="F2" s="439"/>
      <c r="G2" s="440" t="s">
        <v>162</v>
      </c>
      <c r="H2" s="441"/>
      <c r="I2" s="442" t="s">
        <v>72</v>
      </c>
      <c r="J2" s="443"/>
      <c r="K2" s="444" t="s">
        <v>73</v>
      </c>
      <c r="L2" s="445"/>
      <c r="M2" s="446" t="s">
        <v>74</v>
      </c>
      <c r="N2" s="447"/>
      <c r="O2" s="448" t="s">
        <v>75</v>
      </c>
      <c r="P2" s="449"/>
      <c r="Q2" s="438" t="s">
        <v>76</v>
      </c>
      <c r="R2" s="439"/>
      <c r="S2" s="440" t="s">
        <v>163</v>
      </c>
      <c r="T2" s="441"/>
      <c r="U2" s="442" t="s">
        <v>164</v>
      </c>
      <c r="V2" s="443"/>
      <c r="W2" s="444" t="s">
        <v>165</v>
      </c>
      <c r="X2" s="450"/>
      <c r="Y2" s="451" t="s">
        <v>247</v>
      </c>
      <c r="Z2" s="452"/>
      <c r="AA2" s="453" t="s">
        <v>248</v>
      </c>
      <c r="AB2" s="454"/>
      <c r="AC2" s="116"/>
      <c r="AD2" s="117"/>
      <c r="AE2" s="118"/>
      <c r="AF2" s="119"/>
      <c r="AG2" s="120"/>
      <c r="AH2" s="120"/>
      <c r="AI2" s="120"/>
      <c r="AJ2" s="120"/>
      <c r="AK2" s="120"/>
      <c r="AL2" s="120"/>
      <c r="AM2" s="121"/>
      <c r="AN2" s="121"/>
      <c r="AO2" s="121"/>
      <c r="AP2" s="122"/>
      <c r="AQ2" s="123"/>
    </row>
    <row r="3" spans="2:43" s="139" customFormat="1" ht="15.75" thickBot="1" x14ac:dyDescent="0.3">
      <c r="B3" s="124" t="s">
        <v>166</v>
      </c>
      <c r="C3" s="125" t="s">
        <v>167</v>
      </c>
      <c r="D3" s="126" t="s">
        <v>168</v>
      </c>
      <c r="E3" s="127" t="s">
        <v>169</v>
      </c>
      <c r="F3" s="125" t="s">
        <v>170</v>
      </c>
      <c r="G3" s="125" t="s">
        <v>169</v>
      </c>
      <c r="H3" s="125" t="s">
        <v>170</v>
      </c>
      <c r="I3" s="125" t="s">
        <v>169</v>
      </c>
      <c r="J3" s="125" t="s">
        <v>170</v>
      </c>
      <c r="K3" s="125" t="s">
        <v>169</v>
      </c>
      <c r="L3" s="125" t="s">
        <v>170</v>
      </c>
      <c r="M3" s="125" t="s">
        <v>169</v>
      </c>
      <c r="N3" s="125" t="s">
        <v>170</v>
      </c>
      <c r="O3" s="125" t="s">
        <v>169</v>
      </c>
      <c r="P3" s="125" t="s">
        <v>170</v>
      </c>
      <c r="Q3" s="125" t="s">
        <v>169</v>
      </c>
      <c r="R3" s="125" t="s">
        <v>170</v>
      </c>
      <c r="S3" s="125" t="s">
        <v>169</v>
      </c>
      <c r="T3" s="125" t="s">
        <v>170</v>
      </c>
      <c r="U3" s="125" t="s">
        <v>169</v>
      </c>
      <c r="V3" s="125" t="s">
        <v>170</v>
      </c>
      <c r="W3" s="125" t="s">
        <v>169</v>
      </c>
      <c r="X3" s="128" t="s">
        <v>170</v>
      </c>
      <c r="Y3" s="125" t="s">
        <v>169</v>
      </c>
      <c r="Z3" s="128" t="s">
        <v>170</v>
      </c>
      <c r="AA3" s="125" t="s">
        <v>169</v>
      </c>
      <c r="AB3" s="128" t="s">
        <v>170</v>
      </c>
      <c r="AC3" s="129"/>
      <c r="AD3" s="130" t="s">
        <v>161</v>
      </c>
      <c r="AE3" s="131" t="s">
        <v>162</v>
      </c>
      <c r="AF3" s="132" t="s">
        <v>72</v>
      </c>
      <c r="AG3" s="133" t="s">
        <v>73</v>
      </c>
      <c r="AH3" s="134" t="s">
        <v>74</v>
      </c>
      <c r="AI3" s="135" t="s">
        <v>75</v>
      </c>
      <c r="AJ3" s="130" t="s">
        <v>76</v>
      </c>
      <c r="AK3" s="131" t="s">
        <v>163</v>
      </c>
      <c r="AL3" s="132" t="s">
        <v>164</v>
      </c>
      <c r="AM3" s="133" t="s">
        <v>165</v>
      </c>
      <c r="AN3" s="136" t="s">
        <v>165</v>
      </c>
      <c r="AO3" s="137" t="s">
        <v>165</v>
      </c>
      <c r="AP3" s="138"/>
      <c r="AQ3" s="138"/>
    </row>
    <row r="4" spans="2:43" customFormat="1" ht="19.5" customHeight="1" x14ac:dyDescent="0.25">
      <c r="B4" s="140" t="s">
        <v>171</v>
      </c>
      <c r="C4" s="82"/>
      <c r="D4" s="141"/>
      <c r="E4" s="351"/>
      <c r="F4" s="352"/>
      <c r="G4" s="353"/>
      <c r="H4" s="354"/>
      <c r="I4" s="351"/>
      <c r="J4" s="352"/>
      <c r="K4" s="353"/>
      <c r="L4" s="354"/>
      <c r="M4" s="353"/>
      <c r="N4" s="354"/>
      <c r="O4" s="353"/>
      <c r="P4" s="354"/>
      <c r="Q4" s="353"/>
      <c r="R4" s="354"/>
      <c r="S4" s="353"/>
      <c r="T4" s="354"/>
      <c r="U4" s="353"/>
      <c r="V4" s="354"/>
      <c r="W4" s="353"/>
      <c r="X4" s="354"/>
      <c r="Y4" s="353"/>
      <c r="Z4" s="354"/>
      <c r="AA4" s="353"/>
      <c r="AB4" s="354"/>
      <c r="AC4" s="82"/>
      <c r="AD4" s="351"/>
      <c r="AE4" s="353"/>
      <c r="AF4" s="142"/>
      <c r="AG4" s="355"/>
      <c r="AH4" s="355"/>
      <c r="AI4" s="355"/>
      <c r="AJ4" s="355"/>
      <c r="AK4" s="355"/>
      <c r="AL4" s="355"/>
      <c r="AM4" s="355"/>
      <c r="AN4" s="355"/>
      <c r="AO4" s="355"/>
    </row>
    <row r="5" spans="2:43" customFormat="1" x14ac:dyDescent="0.25">
      <c r="B5" s="143" t="s">
        <v>172</v>
      </c>
      <c r="C5" s="144" t="s">
        <v>173</v>
      </c>
      <c r="D5" s="145">
        <v>5.3</v>
      </c>
      <c r="E5" s="146">
        <v>2.5</v>
      </c>
      <c r="F5" s="144" t="s">
        <v>174</v>
      </c>
      <c r="G5" s="146">
        <v>3</v>
      </c>
      <c r="H5" s="144" t="s">
        <v>174</v>
      </c>
      <c r="I5" s="146">
        <v>3</v>
      </c>
      <c r="J5" s="144" t="s">
        <v>174</v>
      </c>
      <c r="K5" s="146">
        <v>3</v>
      </c>
      <c r="L5" s="144" t="s">
        <v>174</v>
      </c>
      <c r="M5" s="146">
        <v>3</v>
      </c>
      <c r="N5" s="144" t="s">
        <v>174</v>
      </c>
      <c r="O5" s="147">
        <v>3</v>
      </c>
      <c r="P5" s="144" t="s">
        <v>174</v>
      </c>
      <c r="Q5" s="147">
        <v>3</v>
      </c>
      <c r="R5" s="144" t="s">
        <v>174</v>
      </c>
      <c r="S5" s="147">
        <v>3</v>
      </c>
      <c r="T5" s="144" t="s">
        <v>174</v>
      </c>
      <c r="U5" s="147">
        <v>3</v>
      </c>
      <c r="V5" s="144" t="s">
        <v>174</v>
      </c>
      <c r="W5" s="147">
        <v>3</v>
      </c>
      <c r="X5" s="144" t="s">
        <v>174</v>
      </c>
      <c r="Y5" s="18">
        <v>3</v>
      </c>
      <c r="Z5" s="17" t="s">
        <v>174</v>
      </c>
      <c r="AA5" s="146"/>
      <c r="AB5" s="144"/>
      <c r="AC5" s="148"/>
      <c r="AD5" s="149">
        <v>321364</v>
      </c>
      <c r="AE5" s="149">
        <v>364614</v>
      </c>
      <c r="AF5" s="149">
        <v>405456.53</v>
      </c>
      <c r="AG5" s="149">
        <v>402369.9</v>
      </c>
      <c r="AH5" s="149">
        <v>392803.9</v>
      </c>
      <c r="AI5" s="149">
        <v>383712.51</v>
      </c>
      <c r="AJ5" s="149">
        <v>374391</v>
      </c>
      <c r="AK5" s="150">
        <v>360208</v>
      </c>
      <c r="AL5" s="149">
        <v>371145.38</v>
      </c>
      <c r="AM5" s="19">
        <v>352821.14</v>
      </c>
      <c r="AN5" s="149"/>
      <c r="AO5" s="149"/>
    </row>
    <row r="6" spans="2:43" customFormat="1" x14ac:dyDescent="0.25">
      <c r="B6" s="143" t="s">
        <v>175</v>
      </c>
      <c r="C6" s="144" t="s">
        <v>176</v>
      </c>
      <c r="D6" s="145">
        <v>0.6</v>
      </c>
      <c r="E6" s="146">
        <v>3</v>
      </c>
      <c r="F6" s="144" t="s">
        <v>177</v>
      </c>
      <c r="G6" s="146">
        <v>2</v>
      </c>
      <c r="H6" s="144" t="s">
        <v>177</v>
      </c>
      <c r="I6" s="146">
        <v>1</v>
      </c>
      <c r="J6" s="144" t="s">
        <v>177</v>
      </c>
      <c r="K6" s="146">
        <v>1</v>
      </c>
      <c r="L6" s="144" t="s">
        <v>177</v>
      </c>
      <c r="M6" s="146">
        <v>1</v>
      </c>
      <c r="N6" s="144" t="s">
        <v>177</v>
      </c>
      <c r="O6" s="147">
        <v>1</v>
      </c>
      <c r="P6" s="144" t="s">
        <v>178</v>
      </c>
      <c r="Q6" s="147">
        <v>0</v>
      </c>
      <c r="R6" s="144" t="s">
        <v>177</v>
      </c>
      <c r="S6" s="147">
        <v>0</v>
      </c>
      <c r="T6" s="144" t="s">
        <v>178</v>
      </c>
      <c r="U6" s="147">
        <v>0</v>
      </c>
      <c r="V6" s="144" t="s">
        <v>178</v>
      </c>
      <c r="W6" s="147">
        <v>0</v>
      </c>
      <c r="X6" s="144" t="s">
        <v>178</v>
      </c>
      <c r="Y6" s="18">
        <v>0</v>
      </c>
      <c r="Z6" s="17" t="s">
        <v>178</v>
      </c>
      <c r="AA6" s="146"/>
      <c r="AB6" s="144"/>
      <c r="AC6" s="148"/>
      <c r="AD6" s="149">
        <v>31303</v>
      </c>
      <c r="AE6" s="149">
        <v>19978</v>
      </c>
      <c r="AF6" s="149">
        <v>9400</v>
      </c>
      <c r="AG6" s="149">
        <v>9250</v>
      </c>
      <c r="AH6" s="149">
        <v>8853.5</v>
      </c>
      <c r="AI6" s="149">
        <v>8510.75</v>
      </c>
      <c r="AJ6" s="149">
        <v>0</v>
      </c>
      <c r="AK6" s="150">
        <v>0</v>
      </c>
      <c r="AL6" s="149">
        <v>0</v>
      </c>
      <c r="AM6" s="19">
        <v>0</v>
      </c>
      <c r="AN6" s="149"/>
      <c r="AO6" s="149"/>
    </row>
    <row r="7" spans="2:43" customFormat="1" x14ac:dyDescent="0.25">
      <c r="B7" s="143" t="s">
        <v>179</v>
      </c>
      <c r="C7" s="144" t="s">
        <v>173</v>
      </c>
      <c r="D7" s="145">
        <v>6.7</v>
      </c>
      <c r="E7" s="146">
        <v>1.5</v>
      </c>
      <c r="F7" s="144" t="s">
        <v>177</v>
      </c>
      <c r="G7" s="146">
        <v>1.5</v>
      </c>
      <c r="H7" s="144" t="s">
        <v>177</v>
      </c>
      <c r="I7" s="146">
        <v>1.5</v>
      </c>
      <c r="J7" s="144" t="s">
        <v>177</v>
      </c>
      <c r="K7" s="146">
        <v>1.5</v>
      </c>
      <c r="L7" s="144" t="s">
        <v>177</v>
      </c>
      <c r="M7" s="146">
        <v>1.5</v>
      </c>
      <c r="N7" s="144" t="s">
        <v>177</v>
      </c>
      <c r="O7" s="147">
        <v>1.5</v>
      </c>
      <c r="P7" s="144" t="s">
        <v>177</v>
      </c>
      <c r="Q7" s="147">
        <v>1.5</v>
      </c>
      <c r="R7" s="144" t="s">
        <v>177</v>
      </c>
      <c r="S7" s="147">
        <v>5</v>
      </c>
      <c r="T7" s="144" t="s">
        <v>177</v>
      </c>
      <c r="U7" s="147">
        <v>5</v>
      </c>
      <c r="V7" s="144" t="s">
        <v>177</v>
      </c>
      <c r="W7" s="147">
        <v>5</v>
      </c>
      <c r="X7" s="144" t="s">
        <v>177</v>
      </c>
      <c r="Y7" s="18">
        <v>5</v>
      </c>
      <c r="Z7" s="17" t="s">
        <v>177</v>
      </c>
      <c r="AA7" s="146"/>
      <c r="AB7" s="144"/>
      <c r="AC7" s="148"/>
      <c r="AD7" s="149">
        <v>15781</v>
      </c>
      <c r="AE7" s="149">
        <v>15062</v>
      </c>
      <c r="AF7" s="149">
        <v>14218.96</v>
      </c>
      <c r="AG7" s="149">
        <v>13903.56</v>
      </c>
      <c r="AH7" s="149">
        <v>13301.32</v>
      </c>
      <c r="AI7" s="149">
        <v>12787.22</v>
      </c>
      <c r="AJ7" s="149">
        <v>12053</v>
      </c>
      <c r="AK7" s="150">
        <v>38325</v>
      </c>
      <c r="AL7" s="149">
        <v>37756.25</v>
      </c>
      <c r="AM7" s="19">
        <v>35915</v>
      </c>
      <c r="AN7" s="149"/>
      <c r="AO7" s="149"/>
    </row>
    <row r="8" spans="2:43" customFormat="1" x14ac:dyDescent="0.25">
      <c r="B8" s="143" t="s">
        <v>180</v>
      </c>
      <c r="C8" s="144" t="s">
        <v>173</v>
      </c>
      <c r="D8" s="145">
        <v>9.1</v>
      </c>
      <c r="E8" s="146">
        <v>6</v>
      </c>
      <c r="F8" s="144" t="s">
        <v>174</v>
      </c>
      <c r="G8" s="146">
        <v>6</v>
      </c>
      <c r="H8" s="144" t="s">
        <v>174</v>
      </c>
      <c r="I8" s="146">
        <v>6</v>
      </c>
      <c r="J8" s="144" t="s">
        <v>174</v>
      </c>
      <c r="K8" s="146">
        <v>6</v>
      </c>
      <c r="L8" s="144" t="s">
        <v>174</v>
      </c>
      <c r="M8" s="146">
        <v>6</v>
      </c>
      <c r="N8" s="144" t="s">
        <v>174</v>
      </c>
      <c r="O8" s="147">
        <v>6</v>
      </c>
      <c r="P8" s="144" t="s">
        <v>174</v>
      </c>
      <c r="Q8" s="147">
        <v>6</v>
      </c>
      <c r="R8" s="144" t="s">
        <v>174</v>
      </c>
      <c r="S8" s="147">
        <v>90</v>
      </c>
      <c r="T8" s="144" t="s">
        <v>177</v>
      </c>
      <c r="U8" s="147">
        <v>90</v>
      </c>
      <c r="V8" s="144" t="s">
        <v>177</v>
      </c>
      <c r="W8" s="147">
        <v>90</v>
      </c>
      <c r="X8" s="144" t="s">
        <v>177</v>
      </c>
      <c r="Y8" s="18">
        <v>95</v>
      </c>
      <c r="Z8" s="17" t="s">
        <v>177</v>
      </c>
      <c r="AA8" s="146"/>
      <c r="AB8" s="144"/>
      <c r="AC8" s="148"/>
      <c r="AD8" s="149">
        <v>788412</v>
      </c>
      <c r="AE8" s="149">
        <v>743184</v>
      </c>
      <c r="AF8" s="149">
        <v>695764.5</v>
      </c>
      <c r="AG8" s="149">
        <v>668918.5</v>
      </c>
      <c r="AH8" s="149">
        <v>633619.5</v>
      </c>
      <c r="AI8" s="149">
        <v>598966.25</v>
      </c>
      <c r="AJ8" s="149">
        <v>552654</v>
      </c>
      <c r="AK8" s="150">
        <v>643274</v>
      </c>
      <c r="AL8" s="149">
        <v>641651.25</v>
      </c>
      <c r="AM8" s="19">
        <v>648446</v>
      </c>
      <c r="AN8" s="149"/>
      <c r="AO8" s="149"/>
    </row>
    <row r="9" spans="2:43" customFormat="1" x14ac:dyDescent="0.25">
      <c r="B9" s="143" t="s">
        <v>181</v>
      </c>
      <c r="C9" s="144" t="s">
        <v>173</v>
      </c>
      <c r="D9" s="145">
        <v>5.7</v>
      </c>
      <c r="E9" s="146">
        <v>80</v>
      </c>
      <c r="F9" s="144" t="s">
        <v>177</v>
      </c>
      <c r="G9" s="146">
        <v>95</v>
      </c>
      <c r="H9" s="144" t="s">
        <v>177</v>
      </c>
      <c r="I9" s="146">
        <v>95</v>
      </c>
      <c r="J9" s="144" t="s">
        <v>177</v>
      </c>
      <c r="K9" s="146">
        <v>98</v>
      </c>
      <c r="L9" s="144" t="s">
        <v>177</v>
      </c>
      <c r="M9" s="146">
        <v>98</v>
      </c>
      <c r="N9" s="144" t="s">
        <v>177</v>
      </c>
      <c r="O9" s="147">
        <v>98</v>
      </c>
      <c r="P9" s="144" t="s">
        <v>177</v>
      </c>
      <c r="Q9" s="147">
        <v>112</v>
      </c>
      <c r="R9" s="144" t="s">
        <v>177</v>
      </c>
      <c r="S9" s="147">
        <v>118</v>
      </c>
      <c r="T9" s="144" t="s">
        <v>177</v>
      </c>
      <c r="U9" s="147">
        <v>118</v>
      </c>
      <c r="V9" s="144" t="s">
        <v>177</v>
      </c>
      <c r="W9" s="147">
        <v>128</v>
      </c>
      <c r="X9" s="144" t="s">
        <v>177</v>
      </c>
      <c r="Y9" s="18">
        <v>138</v>
      </c>
      <c r="Z9" s="17" t="s">
        <v>177</v>
      </c>
      <c r="AA9" s="146"/>
      <c r="AB9" s="144"/>
      <c r="AC9" s="148"/>
      <c r="AD9" s="149">
        <v>786647</v>
      </c>
      <c r="AE9" s="149">
        <v>885990</v>
      </c>
      <c r="AF9" s="149">
        <v>834357.12</v>
      </c>
      <c r="AG9" s="149">
        <v>834732.25</v>
      </c>
      <c r="AH9" s="149">
        <v>799680</v>
      </c>
      <c r="AI9" s="149">
        <v>758774</v>
      </c>
      <c r="AJ9" s="149">
        <v>800419</v>
      </c>
      <c r="AK9" s="150">
        <v>843969</v>
      </c>
      <c r="AL9" s="149">
        <v>842083.25</v>
      </c>
      <c r="AM9" s="19">
        <v>925241.07</v>
      </c>
      <c r="AN9" s="149"/>
      <c r="AO9" s="149"/>
    </row>
    <row r="10" spans="2:43" customFormat="1" x14ac:dyDescent="0.25">
      <c r="B10" s="143" t="s">
        <v>182</v>
      </c>
      <c r="C10" s="144" t="s">
        <v>173</v>
      </c>
      <c r="D10" s="145">
        <v>6.2</v>
      </c>
      <c r="E10" s="146">
        <v>4</v>
      </c>
      <c r="F10" s="144" t="s">
        <v>177</v>
      </c>
      <c r="G10" s="146">
        <v>4</v>
      </c>
      <c r="H10" s="144" t="s">
        <v>177</v>
      </c>
      <c r="I10" s="146">
        <v>4</v>
      </c>
      <c r="J10" s="144" t="s">
        <v>177</v>
      </c>
      <c r="K10" s="146">
        <v>4</v>
      </c>
      <c r="L10" s="144" t="s">
        <v>177</v>
      </c>
      <c r="M10" s="146">
        <v>4</v>
      </c>
      <c r="N10" s="144" t="s">
        <v>177</v>
      </c>
      <c r="O10" s="147">
        <v>4</v>
      </c>
      <c r="P10" s="144" t="s">
        <v>177</v>
      </c>
      <c r="Q10" s="147">
        <v>4</v>
      </c>
      <c r="R10" s="144" t="s">
        <v>177</v>
      </c>
      <c r="S10" s="147">
        <v>4</v>
      </c>
      <c r="T10" s="144" t="s">
        <v>177</v>
      </c>
      <c r="U10" s="147">
        <v>4</v>
      </c>
      <c r="V10" s="144" t="s">
        <v>177</v>
      </c>
      <c r="W10" s="147">
        <v>4</v>
      </c>
      <c r="X10" s="144" t="s">
        <v>177</v>
      </c>
      <c r="Y10" s="18">
        <v>4</v>
      </c>
      <c r="Z10" s="17" t="s">
        <v>177</v>
      </c>
      <c r="AA10" s="146"/>
      <c r="AB10" s="144"/>
      <c r="AC10" s="148"/>
      <c r="AD10" s="149">
        <v>45393</v>
      </c>
      <c r="AE10" s="149">
        <v>42892</v>
      </c>
      <c r="AF10" s="149">
        <v>40369</v>
      </c>
      <c r="AG10" s="149">
        <v>39313</v>
      </c>
      <c r="AH10" s="149">
        <v>37722.25</v>
      </c>
      <c r="AI10" s="149">
        <v>36174</v>
      </c>
      <c r="AJ10" s="149">
        <v>33255</v>
      </c>
      <c r="AK10" s="150">
        <v>31602</v>
      </c>
      <c r="AL10" s="149">
        <v>31430</v>
      </c>
      <c r="AM10" s="19">
        <v>30028</v>
      </c>
      <c r="AN10" s="149"/>
      <c r="AO10" s="149"/>
    </row>
    <row r="11" spans="2:43" customFormat="1" x14ac:dyDescent="0.25">
      <c r="B11" s="143" t="s">
        <v>183</v>
      </c>
      <c r="C11" s="144" t="s">
        <v>173</v>
      </c>
      <c r="D11" s="145">
        <v>4.0999999999999996</v>
      </c>
      <c r="E11" s="146">
        <v>4</v>
      </c>
      <c r="F11" s="144" t="s">
        <v>174</v>
      </c>
      <c r="G11" s="146">
        <v>4</v>
      </c>
      <c r="H11" s="144" t="s">
        <v>174</v>
      </c>
      <c r="I11" s="146">
        <v>4</v>
      </c>
      <c r="J11" s="144" t="s">
        <v>174</v>
      </c>
      <c r="K11" s="146">
        <v>6.25</v>
      </c>
      <c r="L11" s="144" t="s">
        <v>174</v>
      </c>
      <c r="M11" s="146">
        <v>6.25</v>
      </c>
      <c r="N11" s="144" t="s">
        <v>174</v>
      </c>
      <c r="O11" s="147">
        <v>6.25</v>
      </c>
      <c r="P11" s="144" t="s">
        <v>174</v>
      </c>
      <c r="Q11" s="147">
        <v>6.25</v>
      </c>
      <c r="R11" s="144" t="s">
        <v>174</v>
      </c>
      <c r="S11" s="147">
        <v>6.25</v>
      </c>
      <c r="T11" s="144" t="s">
        <v>174</v>
      </c>
      <c r="U11" s="147">
        <v>6.25</v>
      </c>
      <c r="V11" s="144" t="s">
        <v>174</v>
      </c>
      <c r="W11" s="147">
        <v>6.25</v>
      </c>
      <c r="X11" s="144" t="s">
        <v>174</v>
      </c>
      <c r="Y11" s="18">
        <v>8.25</v>
      </c>
      <c r="Z11" s="17" t="s">
        <v>174</v>
      </c>
      <c r="AA11" s="146"/>
      <c r="AB11" s="144"/>
      <c r="AC11" s="148"/>
      <c r="AD11" s="149">
        <v>689814</v>
      </c>
      <c r="AE11" s="149">
        <v>671858</v>
      </c>
      <c r="AF11" s="149">
        <v>634303.5</v>
      </c>
      <c r="AG11" s="149">
        <v>961080.27</v>
      </c>
      <c r="AH11" s="149">
        <v>940250.87</v>
      </c>
      <c r="AI11" s="149">
        <v>917465.95</v>
      </c>
      <c r="AJ11" s="149">
        <v>905315</v>
      </c>
      <c r="AK11" s="150">
        <v>888756</v>
      </c>
      <c r="AL11" s="149">
        <v>875187.72</v>
      </c>
      <c r="AM11" s="19">
        <v>842288.98</v>
      </c>
      <c r="AN11" s="149"/>
      <c r="AO11" s="149"/>
    </row>
    <row r="12" spans="2:43" customFormat="1" x14ac:dyDescent="0.25">
      <c r="B12" s="143" t="s">
        <v>184</v>
      </c>
      <c r="C12" s="144" t="s">
        <v>176</v>
      </c>
      <c r="D12" s="145">
        <v>0.6</v>
      </c>
      <c r="E12" s="146">
        <v>14</v>
      </c>
      <c r="F12" s="144" t="s">
        <v>177</v>
      </c>
      <c r="G12" s="146">
        <v>14</v>
      </c>
      <c r="H12" s="144" t="s">
        <v>177</v>
      </c>
      <c r="I12" s="146">
        <v>15</v>
      </c>
      <c r="J12" s="144" t="s">
        <v>177</v>
      </c>
      <c r="K12" s="146">
        <v>15</v>
      </c>
      <c r="L12" s="144" t="s">
        <v>177</v>
      </c>
      <c r="M12" s="146">
        <v>15</v>
      </c>
      <c r="N12" s="144" t="s">
        <v>177</v>
      </c>
      <c r="O12" s="147">
        <v>15</v>
      </c>
      <c r="P12" s="144" t="s">
        <v>177</v>
      </c>
      <c r="Q12" s="147">
        <v>15</v>
      </c>
      <c r="R12" s="144" t="s">
        <v>177</v>
      </c>
      <c r="S12" s="147">
        <v>15</v>
      </c>
      <c r="T12" s="144" t="s">
        <v>177</v>
      </c>
      <c r="U12" s="147">
        <v>15</v>
      </c>
      <c r="V12" s="144" t="s">
        <v>177</v>
      </c>
      <c r="W12" s="147">
        <v>15</v>
      </c>
      <c r="X12" s="144" t="s">
        <v>177</v>
      </c>
      <c r="Y12" s="18">
        <v>15</v>
      </c>
      <c r="Z12" s="17" t="s">
        <v>177</v>
      </c>
      <c r="AA12" s="146"/>
      <c r="AB12" s="144"/>
      <c r="AC12" s="148"/>
      <c r="AD12" s="149">
        <v>137797</v>
      </c>
      <c r="AE12" s="149">
        <v>131912</v>
      </c>
      <c r="AF12" s="149">
        <v>133248.51999999999</v>
      </c>
      <c r="AG12" s="149">
        <v>129598.27</v>
      </c>
      <c r="AH12" s="149">
        <v>124186.11</v>
      </c>
      <c r="AI12" s="149">
        <v>118521.75</v>
      </c>
      <c r="AJ12" s="149">
        <v>111187</v>
      </c>
      <c r="AK12" s="150">
        <v>105648</v>
      </c>
      <c r="AL12" s="149">
        <v>105232.37</v>
      </c>
      <c r="AM12" s="19">
        <v>106167</v>
      </c>
      <c r="AN12" s="149"/>
      <c r="AO12" s="149"/>
    </row>
    <row r="13" spans="2:43" customFormat="1" x14ac:dyDescent="0.25">
      <c r="B13" s="143" t="s">
        <v>185</v>
      </c>
      <c r="C13" s="144" t="s">
        <v>173</v>
      </c>
      <c r="D13" s="145">
        <v>6.2</v>
      </c>
      <c r="E13" s="146">
        <v>62</v>
      </c>
      <c r="F13" s="144" t="s">
        <v>177</v>
      </c>
      <c r="G13" s="146">
        <v>72</v>
      </c>
      <c r="H13" s="144" t="s">
        <v>177</v>
      </c>
      <c r="I13" s="146">
        <v>82</v>
      </c>
      <c r="J13" s="144" t="s">
        <v>177</v>
      </c>
      <c r="K13" s="146">
        <v>92</v>
      </c>
      <c r="L13" s="144" t="s">
        <v>177</v>
      </c>
      <c r="M13" s="146">
        <v>102</v>
      </c>
      <c r="N13" s="144" t="s">
        <v>177</v>
      </c>
      <c r="O13" s="147">
        <v>102</v>
      </c>
      <c r="P13" s="144" t="s">
        <v>177</v>
      </c>
      <c r="Q13" s="147">
        <v>102</v>
      </c>
      <c r="R13" s="144" t="s">
        <v>177</v>
      </c>
      <c r="S13" s="147">
        <v>107</v>
      </c>
      <c r="T13" s="144" t="s">
        <v>177</v>
      </c>
      <c r="U13" s="147">
        <v>107</v>
      </c>
      <c r="V13" s="144" t="s">
        <v>177</v>
      </c>
      <c r="W13" s="147">
        <v>107</v>
      </c>
      <c r="X13" s="144" t="s">
        <v>177</v>
      </c>
      <c r="Y13" s="18">
        <v>107</v>
      </c>
      <c r="Z13" s="17" t="s">
        <v>177</v>
      </c>
      <c r="AA13" s="146"/>
      <c r="AB13" s="144"/>
      <c r="AC13" s="148"/>
      <c r="AD13" s="149">
        <v>615191</v>
      </c>
      <c r="AE13" s="149">
        <v>680196</v>
      </c>
      <c r="AF13" s="149">
        <v>731066.85</v>
      </c>
      <c r="AG13" s="149">
        <v>797057.37</v>
      </c>
      <c r="AH13" s="149">
        <v>846596.69</v>
      </c>
      <c r="AI13" s="149">
        <v>806996.49</v>
      </c>
      <c r="AJ13" s="149">
        <v>756991</v>
      </c>
      <c r="AK13" s="150">
        <v>615525</v>
      </c>
      <c r="AL13" s="149">
        <v>752783.5</v>
      </c>
      <c r="AM13" s="19">
        <v>760100.25</v>
      </c>
      <c r="AN13" s="149"/>
      <c r="AO13" s="149"/>
    </row>
    <row r="14" spans="2:43" customFormat="1" x14ac:dyDescent="0.25">
      <c r="B14" s="143" t="s">
        <v>186</v>
      </c>
      <c r="C14" s="144" t="s">
        <v>173</v>
      </c>
      <c r="D14" s="145">
        <v>6.8</v>
      </c>
      <c r="E14" s="146">
        <v>4</v>
      </c>
      <c r="F14" s="144" t="s">
        <v>177</v>
      </c>
      <c r="G14" s="146">
        <v>4</v>
      </c>
      <c r="H14" s="144" t="s">
        <v>177</v>
      </c>
      <c r="I14" s="146">
        <v>4</v>
      </c>
      <c r="J14" s="144" t="s">
        <v>177</v>
      </c>
      <c r="K14" s="146">
        <v>4</v>
      </c>
      <c r="L14" s="144" t="s">
        <v>177</v>
      </c>
      <c r="M14" s="146">
        <v>4</v>
      </c>
      <c r="N14" s="144" t="s">
        <v>177</v>
      </c>
      <c r="O14" s="147">
        <v>4</v>
      </c>
      <c r="P14" s="144" t="s">
        <v>177</v>
      </c>
      <c r="Q14" s="147">
        <v>4</v>
      </c>
      <c r="R14" s="144" t="s">
        <v>177</v>
      </c>
      <c r="S14" s="147">
        <v>4</v>
      </c>
      <c r="T14" s="144" t="s">
        <v>177</v>
      </c>
      <c r="U14" s="147">
        <v>4</v>
      </c>
      <c r="V14" s="144" t="s">
        <v>177</v>
      </c>
      <c r="W14" s="147">
        <v>4</v>
      </c>
      <c r="X14" s="144" t="s">
        <v>177</v>
      </c>
      <c r="Y14" s="18">
        <v>4</v>
      </c>
      <c r="Z14" s="17" t="s">
        <v>177</v>
      </c>
      <c r="AA14" s="146"/>
      <c r="AB14" s="144"/>
      <c r="AC14" s="148"/>
      <c r="AD14" s="149">
        <v>64705</v>
      </c>
      <c r="AE14" s="149">
        <v>64225</v>
      </c>
      <c r="AF14" s="149">
        <v>62129</v>
      </c>
      <c r="AG14" s="149">
        <v>61700</v>
      </c>
      <c r="AH14" s="149">
        <v>60801</v>
      </c>
      <c r="AI14" s="149">
        <v>59527</v>
      </c>
      <c r="AJ14" s="149">
        <v>59385</v>
      </c>
      <c r="AK14" s="150">
        <v>59161</v>
      </c>
      <c r="AL14" s="149">
        <v>57815</v>
      </c>
      <c r="AM14" s="19">
        <v>54902</v>
      </c>
      <c r="AN14" s="149"/>
      <c r="AO14" s="149"/>
    </row>
    <row r="15" spans="2:43" customFormat="1" x14ac:dyDescent="0.25">
      <c r="B15" s="143" t="s">
        <v>187</v>
      </c>
      <c r="C15" s="144" t="s">
        <v>173</v>
      </c>
      <c r="D15" s="145">
        <v>4.4000000000000004</v>
      </c>
      <c r="E15" s="146">
        <v>10</v>
      </c>
      <c r="F15" s="144" t="s">
        <v>174</v>
      </c>
      <c r="G15" s="146">
        <v>10</v>
      </c>
      <c r="H15" s="144" t="s">
        <v>174</v>
      </c>
      <c r="I15" s="146">
        <v>11</v>
      </c>
      <c r="J15" s="144" t="s">
        <v>174</v>
      </c>
      <c r="K15" s="146">
        <v>11</v>
      </c>
      <c r="L15" s="144" t="s">
        <v>174</v>
      </c>
      <c r="M15" s="146">
        <v>11</v>
      </c>
      <c r="N15" s="144" t="s">
        <v>174</v>
      </c>
      <c r="O15" s="147">
        <v>11</v>
      </c>
      <c r="P15" s="144" t="s">
        <v>174</v>
      </c>
      <c r="Q15" s="147">
        <v>11</v>
      </c>
      <c r="R15" s="144" t="s">
        <v>174</v>
      </c>
      <c r="S15" s="147">
        <v>11</v>
      </c>
      <c r="T15" s="144" t="s">
        <v>174</v>
      </c>
      <c r="U15" s="147">
        <v>11</v>
      </c>
      <c r="V15" s="144" t="s">
        <v>174</v>
      </c>
      <c r="W15" s="147">
        <v>11</v>
      </c>
      <c r="X15" s="144" t="s">
        <v>174</v>
      </c>
      <c r="Y15" s="18">
        <v>11</v>
      </c>
      <c r="Z15" s="17" t="s">
        <v>174</v>
      </c>
      <c r="AA15" s="146"/>
      <c r="AB15" s="144"/>
      <c r="AC15" s="148"/>
      <c r="AD15" s="149">
        <v>1723646</v>
      </c>
      <c r="AE15" s="149">
        <v>1679831</v>
      </c>
      <c r="AF15" s="149">
        <v>1730481.02</v>
      </c>
      <c r="AG15" s="149">
        <v>1675018.52</v>
      </c>
      <c r="AH15" s="149">
        <v>1620235.9</v>
      </c>
      <c r="AI15" s="149">
        <v>1582701.13</v>
      </c>
      <c r="AJ15" s="149">
        <v>1562980</v>
      </c>
      <c r="AK15" s="150">
        <v>1533778</v>
      </c>
      <c r="AL15" s="149">
        <v>1513212.38</v>
      </c>
      <c r="AM15" s="19">
        <v>1454482.33</v>
      </c>
      <c r="AN15" s="149"/>
      <c r="AO15" s="149"/>
    </row>
    <row r="16" spans="2:43" customFormat="1" x14ac:dyDescent="0.25">
      <c r="B16" s="143" t="s">
        <v>188</v>
      </c>
      <c r="C16" s="144" t="s">
        <v>173</v>
      </c>
      <c r="D16" s="145">
        <v>2.2000000000000002</v>
      </c>
      <c r="E16" s="146">
        <v>2</v>
      </c>
      <c r="F16" s="144" t="s">
        <v>174</v>
      </c>
      <c r="G16" s="146">
        <v>2</v>
      </c>
      <c r="H16" s="144" t="s">
        <v>174</v>
      </c>
      <c r="I16" s="146">
        <v>2</v>
      </c>
      <c r="J16" s="144" t="s">
        <v>174</v>
      </c>
      <c r="K16" s="146">
        <v>2</v>
      </c>
      <c r="L16" s="144" t="s">
        <v>174</v>
      </c>
      <c r="M16" s="146">
        <v>2</v>
      </c>
      <c r="N16" s="144" t="s">
        <v>174</v>
      </c>
      <c r="O16" s="147">
        <v>2</v>
      </c>
      <c r="P16" s="144" t="s">
        <v>174</v>
      </c>
      <c r="Q16" s="147">
        <v>2</v>
      </c>
      <c r="R16" s="144" t="s">
        <v>174</v>
      </c>
      <c r="S16" s="147">
        <v>3</v>
      </c>
      <c r="T16" s="144" t="s">
        <v>174</v>
      </c>
      <c r="U16" s="147">
        <v>3</v>
      </c>
      <c r="V16" s="144" t="s">
        <v>174</v>
      </c>
      <c r="W16" s="147">
        <v>3</v>
      </c>
      <c r="X16" s="144" t="s">
        <v>174</v>
      </c>
      <c r="Y16" s="18">
        <v>3</v>
      </c>
      <c r="Z16" s="17" t="s">
        <v>174</v>
      </c>
      <c r="AA16" s="146"/>
      <c r="AB16" s="144"/>
      <c r="AC16" s="148"/>
      <c r="AD16" s="149">
        <v>293345</v>
      </c>
      <c r="AE16" s="149">
        <v>284564</v>
      </c>
      <c r="AF16" s="149">
        <v>268990</v>
      </c>
      <c r="AG16" s="149">
        <v>259867.25</v>
      </c>
      <c r="AH16" s="149">
        <v>248274.25</v>
      </c>
      <c r="AI16" s="149">
        <v>240928</v>
      </c>
      <c r="AJ16" s="149">
        <v>235350</v>
      </c>
      <c r="AK16" s="150">
        <v>343646</v>
      </c>
      <c r="AL16" s="149">
        <v>341741.38</v>
      </c>
      <c r="AM16" s="19">
        <v>330559.14</v>
      </c>
      <c r="AN16" s="149"/>
      <c r="AO16" s="149"/>
    </row>
    <row r="17" spans="2:44" customFormat="1" x14ac:dyDescent="0.25">
      <c r="B17" s="143" t="s">
        <v>189</v>
      </c>
      <c r="C17" s="144" t="s">
        <v>173</v>
      </c>
      <c r="D17" s="145">
        <v>7.2</v>
      </c>
      <c r="E17" s="146">
        <v>50</v>
      </c>
      <c r="F17" s="144" t="s">
        <v>177</v>
      </c>
      <c r="G17" s="146">
        <v>50</v>
      </c>
      <c r="H17" s="144" t="s">
        <v>177</v>
      </c>
      <c r="I17" s="146">
        <v>50</v>
      </c>
      <c r="J17" s="144" t="s">
        <v>177</v>
      </c>
      <c r="K17" s="146">
        <v>50</v>
      </c>
      <c r="L17" s="144" t="s">
        <v>177</v>
      </c>
      <c r="M17" s="146">
        <v>50</v>
      </c>
      <c r="N17" s="144" t="s">
        <v>177</v>
      </c>
      <c r="O17" s="147">
        <v>50</v>
      </c>
      <c r="P17" s="144" t="s">
        <v>177</v>
      </c>
      <c r="Q17" s="147">
        <v>50</v>
      </c>
      <c r="R17" s="144" t="s">
        <v>177</v>
      </c>
      <c r="S17" s="147">
        <v>50</v>
      </c>
      <c r="T17" s="144" t="s">
        <v>177</v>
      </c>
      <c r="U17" s="147">
        <v>50</v>
      </c>
      <c r="V17" s="144" t="s">
        <v>177</v>
      </c>
      <c r="W17" s="147">
        <v>50</v>
      </c>
      <c r="X17" s="144" t="s">
        <v>177</v>
      </c>
      <c r="Y17" s="18">
        <v>55</v>
      </c>
      <c r="Z17" s="17" t="s">
        <v>177</v>
      </c>
      <c r="AA17" s="146"/>
      <c r="AB17" s="144"/>
      <c r="AC17" s="148"/>
      <c r="AD17" s="149">
        <v>505982</v>
      </c>
      <c r="AE17" s="149">
        <v>480421</v>
      </c>
      <c r="AF17" s="149">
        <v>452610.85</v>
      </c>
      <c r="AG17" s="149">
        <v>423933.04</v>
      </c>
      <c r="AH17" s="149">
        <v>400859.19</v>
      </c>
      <c r="AI17" s="149">
        <v>378193.24</v>
      </c>
      <c r="AJ17" s="149">
        <v>351030</v>
      </c>
      <c r="AK17" s="150">
        <v>333901</v>
      </c>
      <c r="AL17" s="149">
        <v>332189</v>
      </c>
      <c r="AM17" s="19">
        <v>336183</v>
      </c>
      <c r="AN17" s="149"/>
      <c r="AO17" s="149"/>
    </row>
    <row r="18" spans="2:44" customFormat="1" x14ac:dyDescent="0.25">
      <c r="B18" s="143" t="s">
        <v>190</v>
      </c>
      <c r="C18" s="144" t="s">
        <v>173</v>
      </c>
      <c r="D18" s="145">
        <v>7.2</v>
      </c>
      <c r="E18" s="146">
        <v>45</v>
      </c>
      <c r="F18" s="144" t="s">
        <v>177</v>
      </c>
      <c r="G18" s="146">
        <v>57</v>
      </c>
      <c r="H18" s="144" t="s">
        <v>177</v>
      </c>
      <c r="I18" s="146">
        <v>57</v>
      </c>
      <c r="J18" s="144" t="s">
        <v>177</v>
      </c>
      <c r="K18" s="146">
        <v>57</v>
      </c>
      <c r="L18" s="144" t="s">
        <v>177</v>
      </c>
      <c r="M18" s="146">
        <v>57</v>
      </c>
      <c r="N18" s="144" t="s">
        <v>177</v>
      </c>
      <c r="O18" s="147">
        <v>57</v>
      </c>
      <c r="P18" s="144" t="s">
        <v>177</v>
      </c>
      <c r="Q18" s="147">
        <v>63</v>
      </c>
      <c r="R18" s="144" t="s">
        <v>177</v>
      </c>
      <c r="S18" s="147">
        <v>63</v>
      </c>
      <c r="T18" s="144" t="s">
        <v>177</v>
      </c>
      <c r="U18" s="147">
        <v>63</v>
      </c>
      <c r="V18" s="144" t="s">
        <v>177</v>
      </c>
      <c r="W18" s="147">
        <v>63</v>
      </c>
      <c r="X18" s="144" t="s">
        <v>177</v>
      </c>
      <c r="Y18" s="18">
        <v>63</v>
      </c>
      <c r="Z18" s="17" t="s">
        <v>177</v>
      </c>
      <c r="AA18" s="146"/>
      <c r="AB18" s="144"/>
      <c r="AC18" s="148"/>
      <c r="AD18" s="149">
        <v>456613</v>
      </c>
      <c r="AE18" s="149">
        <f>434042+453</f>
        <v>434495</v>
      </c>
      <c r="AF18" s="149">
        <f>408704.94+106409</f>
        <v>515113.94</v>
      </c>
      <c r="AG18" s="149">
        <f>399029.26+102213</f>
        <v>501242.26</v>
      </c>
      <c r="AH18" s="149">
        <f>383619.97+96999</f>
        <v>480618.97</v>
      </c>
      <c r="AI18" s="149">
        <f>366933.79+91502</f>
        <v>458435.79</v>
      </c>
      <c r="AJ18" s="149">
        <f>379042+93722</f>
        <v>472764</v>
      </c>
      <c r="AK18" s="150">
        <f>364270+89555</f>
        <v>453825</v>
      </c>
      <c r="AL18" s="149">
        <v>460764.31</v>
      </c>
      <c r="AM18" s="19">
        <v>464274.5</v>
      </c>
      <c r="AN18" s="149"/>
      <c r="AO18" s="149"/>
    </row>
    <row r="19" spans="2:44" customFormat="1" x14ac:dyDescent="0.25">
      <c r="B19" s="20"/>
      <c r="C19" s="144"/>
      <c r="D19" s="145"/>
      <c r="E19" s="146"/>
      <c r="F19" s="144"/>
      <c r="G19" s="146"/>
      <c r="H19" s="144"/>
      <c r="I19" s="146"/>
      <c r="J19" s="144"/>
      <c r="K19" s="146"/>
      <c r="L19" s="144"/>
      <c r="M19" s="146"/>
      <c r="N19" s="144"/>
      <c r="O19" s="147"/>
      <c r="P19" s="144"/>
      <c r="Q19" s="147"/>
      <c r="R19" s="144"/>
      <c r="S19" s="147"/>
      <c r="T19" s="144"/>
      <c r="U19" s="147"/>
      <c r="V19" s="144"/>
      <c r="W19" s="147"/>
      <c r="X19" s="144"/>
      <c r="Y19" s="18"/>
      <c r="Z19" s="17"/>
      <c r="AA19" s="146"/>
      <c r="AB19" s="144"/>
      <c r="AC19" s="148"/>
      <c r="AD19" s="149"/>
      <c r="AE19" s="149"/>
      <c r="AF19" s="149"/>
      <c r="AG19" s="149"/>
      <c r="AH19" s="149"/>
      <c r="AI19" s="149"/>
      <c r="AJ19" s="149"/>
      <c r="AK19" s="150"/>
      <c r="AL19" s="149"/>
      <c r="AM19" s="19"/>
      <c r="AN19" s="149"/>
      <c r="AO19" s="149"/>
    </row>
    <row r="20" spans="2:44" customFormat="1" x14ac:dyDescent="0.25">
      <c r="B20" s="20"/>
      <c r="C20" s="144"/>
      <c r="D20" s="145"/>
      <c r="E20" s="146"/>
      <c r="F20" s="144"/>
      <c r="G20" s="146"/>
      <c r="H20" s="144"/>
      <c r="I20" s="146"/>
      <c r="J20" s="144"/>
      <c r="K20" s="146"/>
      <c r="L20" s="144"/>
      <c r="M20" s="146"/>
      <c r="N20" s="144"/>
      <c r="O20" s="147"/>
      <c r="P20" s="144"/>
      <c r="Q20" s="147"/>
      <c r="R20" s="144"/>
      <c r="S20" s="147"/>
      <c r="T20" s="144"/>
      <c r="U20" s="147"/>
      <c r="V20" s="144"/>
      <c r="W20" s="147"/>
      <c r="X20" s="144"/>
      <c r="Y20" s="18"/>
      <c r="Z20" s="17"/>
      <c r="AA20" s="146"/>
      <c r="AB20" s="144"/>
      <c r="AC20" s="148"/>
      <c r="AD20" s="149"/>
      <c r="AE20" s="149"/>
      <c r="AF20" s="149"/>
      <c r="AG20" s="149"/>
      <c r="AH20" s="149"/>
      <c r="AI20" s="149"/>
      <c r="AJ20" s="149"/>
      <c r="AK20" s="150"/>
      <c r="AL20" s="149"/>
      <c r="AM20" s="19"/>
      <c r="AN20" s="149"/>
      <c r="AO20" s="149"/>
    </row>
    <row r="21" spans="2:44" customFormat="1" x14ac:dyDescent="0.25">
      <c r="B21" s="20"/>
      <c r="C21" s="144"/>
      <c r="D21" s="145"/>
      <c r="E21" s="146"/>
      <c r="F21" s="144"/>
      <c r="G21" s="146"/>
      <c r="H21" s="144"/>
      <c r="I21" s="146"/>
      <c r="J21" s="144"/>
      <c r="K21" s="146"/>
      <c r="L21" s="144"/>
      <c r="M21" s="146"/>
      <c r="N21" s="144"/>
      <c r="O21" s="147"/>
      <c r="P21" s="144"/>
      <c r="Q21" s="147"/>
      <c r="R21" s="144"/>
      <c r="S21" s="147"/>
      <c r="T21" s="144"/>
      <c r="U21" s="147"/>
      <c r="V21" s="144"/>
      <c r="W21" s="147"/>
      <c r="X21" s="144"/>
      <c r="Y21" s="18"/>
      <c r="Z21" s="17"/>
      <c r="AA21" s="146"/>
      <c r="AB21" s="144"/>
      <c r="AC21" s="148"/>
      <c r="AD21" s="149"/>
      <c r="AE21" s="149"/>
      <c r="AF21" s="149"/>
      <c r="AG21" s="149"/>
      <c r="AH21" s="149"/>
      <c r="AI21" s="149"/>
      <c r="AJ21" s="149"/>
      <c r="AK21" s="150"/>
      <c r="AL21" s="149"/>
      <c r="AM21" s="19"/>
      <c r="AN21" s="149"/>
      <c r="AO21" s="149"/>
    </row>
    <row r="22" spans="2:44" customFormat="1" x14ac:dyDescent="0.25">
      <c r="B22" s="20"/>
      <c r="C22" s="144"/>
      <c r="D22" s="145"/>
      <c r="E22" s="146"/>
      <c r="F22" s="144"/>
      <c r="G22" s="146"/>
      <c r="H22" s="144"/>
      <c r="I22" s="146"/>
      <c r="J22" s="144"/>
      <c r="K22" s="146"/>
      <c r="L22" s="144"/>
      <c r="M22" s="146"/>
      <c r="N22" s="144"/>
      <c r="O22" s="147"/>
      <c r="P22" s="144"/>
      <c r="Q22" s="147"/>
      <c r="R22" s="144"/>
      <c r="S22" s="147"/>
      <c r="T22" s="144"/>
      <c r="U22" s="147"/>
      <c r="V22" s="144"/>
      <c r="W22" s="147"/>
      <c r="X22" s="144"/>
      <c r="Y22" s="18"/>
      <c r="Z22" s="17"/>
      <c r="AA22" s="146"/>
      <c r="AB22" s="144"/>
      <c r="AC22" s="148"/>
      <c r="AD22" s="149"/>
      <c r="AE22" s="149"/>
      <c r="AF22" s="149"/>
      <c r="AG22" s="149"/>
      <c r="AH22" s="149"/>
      <c r="AI22" s="149"/>
      <c r="AJ22" s="149"/>
      <c r="AK22" s="150"/>
      <c r="AL22" s="149"/>
      <c r="AM22" s="19"/>
      <c r="AN22" s="149"/>
      <c r="AO22" s="149"/>
    </row>
    <row r="23" spans="2:44" customFormat="1" x14ac:dyDescent="0.25">
      <c r="B23" s="20"/>
      <c r="C23" s="144"/>
      <c r="D23" s="145"/>
      <c r="E23" s="146"/>
      <c r="F23" s="144"/>
      <c r="G23" s="146"/>
      <c r="H23" s="144"/>
      <c r="I23" s="146"/>
      <c r="J23" s="144"/>
      <c r="K23" s="146"/>
      <c r="L23" s="144"/>
      <c r="M23" s="146"/>
      <c r="N23" s="144"/>
      <c r="O23" s="147"/>
      <c r="P23" s="144"/>
      <c r="Q23" s="147"/>
      <c r="R23" s="144"/>
      <c r="S23" s="147"/>
      <c r="T23" s="144"/>
      <c r="U23" s="147"/>
      <c r="V23" s="144"/>
      <c r="W23" s="147"/>
      <c r="X23" s="144"/>
      <c r="Y23" s="18"/>
      <c r="Z23" s="17"/>
      <c r="AA23" s="146"/>
      <c r="AB23" s="144"/>
      <c r="AC23" s="148"/>
      <c r="AD23" s="149"/>
      <c r="AE23" s="149"/>
      <c r="AF23" s="149"/>
      <c r="AG23" s="149"/>
      <c r="AH23" s="149"/>
      <c r="AI23" s="149"/>
      <c r="AJ23" s="149"/>
      <c r="AK23" s="150"/>
      <c r="AL23" s="149"/>
      <c r="AM23" s="19"/>
      <c r="AN23" s="149"/>
      <c r="AO23" s="149"/>
    </row>
    <row r="24" spans="2:44" customFormat="1" x14ac:dyDescent="0.25">
      <c r="B24" s="20"/>
      <c r="C24" s="144"/>
      <c r="D24" s="145"/>
      <c r="E24" s="146"/>
      <c r="F24" s="144"/>
      <c r="G24" s="146"/>
      <c r="H24" s="144"/>
      <c r="I24" s="146"/>
      <c r="J24" s="144"/>
      <c r="K24" s="146"/>
      <c r="L24" s="144"/>
      <c r="M24" s="146"/>
      <c r="N24" s="144"/>
      <c r="O24" s="147"/>
      <c r="P24" s="144"/>
      <c r="Q24" s="147"/>
      <c r="R24" s="144"/>
      <c r="S24" s="147"/>
      <c r="T24" s="144"/>
      <c r="U24" s="147"/>
      <c r="V24" s="144"/>
      <c r="W24" s="147"/>
      <c r="X24" s="144"/>
      <c r="Y24" s="18"/>
      <c r="Z24" s="17"/>
      <c r="AA24" s="146"/>
      <c r="AB24" s="144"/>
      <c r="AC24" s="148"/>
      <c r="AD24" s="149"/>
      <c r="AE24" s="149"/>
      <c r="AF24" s="149"/>
      <c r="AG24" s="149"/>
      <c r="AH24" s="149"/>
      <c r="AI24" s="149"/>
      <c r="AJ24" s="149"/>
      <c r="AK24" s="150"/>
      <c r="AL24" s="149"/>
      <c r="AM24" s="19"/>
      <c r="AN24" s="149"/>
      <c r="AO24" s="149"/>
    </row>
    <row r="25" spans="2:44" customFormat="1" x14ac:dyDescent="0.25">
      <c r="B25" s="151" t="s">
        <v>191</v>
      </c>
      <c r="C25" s="144"/>
      <c r="D25" s="145"/>
      <c r="E25" s="146"/>
      <c r="F25" s="144"/>
      <c r="G25" s="146"/>
      <c r="H25" s="144"/>
      <c r="I25" s="146"/>
      <c r="J25" s="144"/>
      <c r="K25" s="146"/>
      <c r="L25" s="144"/>
      <c r="M25" s="146"/>
      <c r="N25" s="144"/>
      <c r="O25" s="147"/>
      <c r="P25" s="144"/>
      <c r="Q25" s="147"/>
      <c r="R25" s="144"/>
      <c r="S25" s="147"/>
      <c r="T25" s="144"/>
      <c r="U25" s="147"/>
      <c r="V25" s="144"/>
      <c r="W25" s="146"/>
      <c r="X25" s="144"/>
      <c r="Y25" s="146"/>
      <c r="Z25" s="144"/>
      <c r="AA25" s="146"/>
      <c r="AB25" s="144"/>
      <c r="AC25" s="148"/>
      <c r="AD25" s="149"/>
      <c r="AE25" s="149"/>
      <c r="AF25" s="149"/>
      <c r="AG25" s="149"/>
      <c r="AH25" s="149"/>
      <c r="AI25" s="149"/>
      <c r="AJ25" s="149"/>
      <c r="AK25" s="149"/>
      <c r="AL25" s="149"/>
      <c r="AM25" s="149"/>
      <c r="AN25" s="149"/>
      <c r="AO25" s="149"/>
    </row>
    <row r="26" spans="2:44" customFormat="1" x14ac:dyDescent="0.25">
      <c r="B26" s="82"/>
      <c r="C26" s="82"/>
      <c r="D26" s="141"/>
      <c r="E26" s="152"/>
      <c r="F26" s="82"/>
      <c r="G26" s="152"/>
      <c r="H26" s="82"/>
      <c r="I26" s="152"/>
      <c r="J26" s="82"/>
      <c r="K26" s="152"/>
      <c r="L26" s="82"/>
      <c r="M26" s="153"/>
      <c r="N26" s="82"/>
      <c r="O26" s="154"/>
      <c r="P26" s="82"/>
      <c r="Q26" s="154"/>
      <c r="R26" s="82"/>
      <c r="S26" s="154"/>
      <c r="T26" s="82"/>
      <c r="U26" s="154"/>
      <c r="V26" s="82"/>
      <c r="W26" s="153"/>
      <c r="X26" s="82"/>
      <c r="Y26" s="153"/>
      <c r="Z26" s="82"/>
      <c r="AA26" s="153"/>
      <c r="AB26" s="82"/>
      <c r="AC26" s="82"/>
      <c r="AD26" s="155"/>
      <c r="AE26" s="155"/>
      <c r="AF26" s="155"/>
      <c r="AG26" s="155"/>
      <c r="AH26" s="155"/>
      <c r="AI26" s="155"/>
      <c r="AJ26" s="155"/>
      <c r="AK26" s="155"/>
      <c r="AL26" s="155"/>
      <c r="AM26" s="155"/>
      <c r="AN26" s="155"/>
      <c r="AO26" s="155"/>
    </row>
    <row r="27" spans="2:44" s="162" customFormat="1" ht="17.25" customHeight="1" x14ac:dyDescent="0.25">
      <c r="B27" s="156" t="s">
        <v>229</v>
      </c>
      <c r="C27" s="157"/>
      <c r="D27" s="158"/>
      <c r="E27" s="159"/>
      <c r="F27" s="159"/>
      <c r="G27" s="159"/>
      <c r="H27" s="159"/>
      <c r="I27" s="159"/>
      <c r="J27" s="159"/>
      <c r="K27" s="159"/>
      <c r="L27" s="159"/>
      <c r="M27" s="159"/>
      <c r="N27" s="160"/>
      <c r="O27" s="161"/>
      <c r="Q27" s="163"/>
      <c r="S27" s="163"/>
      <c r="U27" s="163"/>
      <c r="W27" s="164"/>
      <c r="Y27" s="164"/>
      <c r="AA27" s="164"/>
      <c r="AD27" s="165">
        <f>SUM(AD$4:AD26)</f>
        <v>6475993</v>
      </c>
      <c r="AE27" s="165">
        <f>SUM(AE$4:AE26)</f>
        <v>6499222</v>
      </c>
      <c r="AF27" s="165">
        <f>SUM(AF$4:AF26)</f>
        <v>6527509.79</v>
      </c>
      <c r="AG27" s="165">
        <f>SUM(AG$4:AG26)</f>
        <v>6777984.1900000004</v>
      </c>
      <c r="AH27" s="165">
        <f>SUM(AH$4:AH26)</f>
        <v>6607803.4499999993</v>
      </c>
      <c r="AI27" s="165">
        <f>SUM(AI$4:AI26)</f>
        <v>6361694.0800000001</v>
      </c>
      <c r="AJ27" s="165">
        <f>SUM(AJ$4:AJ26)</f>
        <v>6227774</v>
      </c>
      <c r="AK27" s="165">
        <f>SUM(AK$4:AK26)</f>
        <v>6251618</v>
      </c>
      <c r="AL27" s="165">
        <f>SUM(AL$4:AL26)</f>
        <v>6362991.7899999991</v>
      </c>
      <c r="AM27" s="165">
        <f>SUM(AM$4:AM26)</f>
        <v>6341408.4099999992</v>
      </c>
      <c r="AN27" s="165">
        <f>SUM(AN$4:AN26)</f>
        <v>0</v>
      </c>
      <c r="AO27" s="165">
        <f>SUM(AO$4:AO26)</f>
        <v>0</v>
      </c>
    </row>
    <row r="28" spans="2:44" s="162" customFormat="1" ht="17.25" customHeight="1" x14ac:dyDescent="0.25">
      <c r="B28" s="166"/>
      <c r="C28" s="157"/>
      <c r="D28" s="158"/>
      <c r="E28" s="159"/>
      <c r="F28" s="159"/>
      <c r="G28" s="159"/>
      <c r="H28" s="159"/>
      <c r="I28" s="159"/>
      <c r="J28" s="159"/>
      <c r="K28" s="159"/>
      <c r="L28" s="159"/>
      <c r="M28" s="159"/>
      <c r="N28" s="160"/>
      <c r="O28" s="161"/>
      <c r="Q28" s="163"/>
      <c r="S28" s="163"/>
      <c r="U28" s="163"/>
      <c r="W28" s="164"/>
      <c r="Y28" s="164"/>
      <c r="AA28" s="164"/>
      <c r="AC28"/>
      <c r="AD28" s="155"/>
      <c r="AE28" s="155"/>
      <c r="AF28" s="155"/>
      <c r="AG28" s="155"/>
      <c r="AH28" s="155"/>
      <c r="AI28" s="155"/>
      <c r="AJ28" s="155"/>
      <c r="AK28" s="155"/>
      <c r="AL28" s="155"/>
      <c r="AM28" s="155"/>
      <c r="AN28" s="155"/>
      <c r="AO28" s="155"/>
      <c r="AP28"/>
      <c r="AQ28"/>
      <c r="AR28"/>
    </row>
    <row r="29" spans="2:44" s="162" customFormat="1" x14ac:dyDescent="0.25">
      <c r="B29" s="156" t="s">
        <v>230</v>
      </c>
      <c r="C29" s="157"/>
      <c r="D29" s="158"/>
      <c r="E29" s="159"/>
      <c r="F29" s="159"/>
      <c r="G29" s="159"/>
      <c r="H29" s="159"/>
      <c r="I29" s="159"/>
      <c r="J29" s="159"/>
      <c r="K29" s="159"/>
      <c r="L29" s="159"/>
      <c r="M29" s="159"/>
      <c r="N29" s="160"/>
      <c r="O29" s="161"/>
      <c r="Q29" s="163"/>
      <c r="S29" s="163"/>
      <c r="U29" s="163"/>
      <c r="W29" s="164"/>
      <c r="Y29" s="164"/>
      <c r="AA29" s="164"/>
      <c r="AD29" s="149">
        <v>5307515</v>
      </c>
      <c r="AE29" s="149">
        <v>5391476</v>
      </c>
      <c r="AF29" s="149">
        <v>5483248</v>
      </c>
      <c r="AG29" s="149">
        <v>5734462</v>
      </c>
      <c r="AH29" s="149">
        <v>5570367</v>
      </c>
      <c r="AI29" s="149">
        <v>5389206</v>
      </c>
      <c r="AJ29" s="149">
        <v>5203485</v>
      </c>
      <c r="AK29" s="149">
        <v>5377672</v>
      </c>
      <c r="AL29" s="149">
        <v>5370490.4500000002</v>
      </c>
      <c r="AM29" s="19">
        <v>5315991</v>
      </c>
      <c r="AN29" s="149"/>
      <c r="AO29" s="149"/>
    </row>
    <row r="30" spans="2:44" s="162" customFormat="1" x14ac:dyDescent="0.25">
      <c r="B30" s="156" t="s">
        <v>231</v>
      </c>
      <c r="C30" s="157"/>
      <c r="D30" s="158"/>
      <c r="E30" s="159"/>
      <c r="F30" s="159"/>
      <c r="G30" s="159"/>
      <c r="H30" s="159"/>
      <c r="I30" s="159"/>
      <c r="J30" s="159"/>
      <c r="K30" s="159"/>
      <c r="L30" s="159"/>
      <c r="M30" s="159"/>
      <c r="N30" s="160"/>
      <c r="O30" s="161"/>
      <c r="Q30" s="163"/>
      <c r="S30" s="163"/>
      <c r="U30" s="163"/>
      <c r="W30" s="164"/>
      <c r="Y30" s="164"/>
      <c r="AA30" s="164"/>
      <c r="AD30" s="149">
        <v>1168478</v>
      </c>
      <c r="AE30" s="149">
        <v>1107746</v>
      </c>
      <c r="AF30" s="149">
        <v>1044262</v>
      </c>
      <c r="AG30" s="149">
        <v>1043522</v>
      </c>
      <c r="AH30" s="149">
        <v>1037436</v>
      </c>
      <c r="AI30" s="149">
        <v>972488</v>
      </c>
      <c r="AJ30" s="149">
        <v>1024289</v>
      </c>
      <c r="AK30" s="149">
        <v>873946</v>
      </c>
      <c r="AL30" s="149">
        <v>992501.34</v>
      </c>
      <c r="AM30" s="19">
        <v>1025417</v>
      </c>
      <c r="AN30" s="149"/>
      <c r="AO30" s="149"/>
    </row>
    <row r="31" spans="2:44" s="162" customFormat="1" x14ac:dyDescent="0.25">
      <c r="B31" s="156" t="s">
        <v>229</v>
      </c>
      <c r="C31" s="157"/>
      <c r="D31" s="158"/>
      <c r="E31" s="159"/>
      <c r="F31" s="159"/>
      <c r="G31" s="159"/>
      <c r="H31" s="159"/>
      <c r="I31" s="159"/>
      <c r="J31" s="159"/>
      <c r="K31" s="159"/>
      <c r="L31" s="159"/>
      <c r="M31" s="159"/>
      <c r="N31" s="160"/>
      <c r="O31" s="161"/>
      <c r="Q31" s="163"/>
      <c r="S31" s="163"/>
      <c r="U31" s="163"/>
      <c r="W31" s="164"/>
      <c r="Y31" s="164"/>
      <c r="AA31" s="164"/>
      <c r="AD31" s="165">
        <f>SUM(AD29:AD30)</f>
        <v>6475993</v>
      </c>
      <c r="AE31" s="165">
        <f t="shared" ref="AE31:AO31" si="0">SUM(AE29:AE30)</f>
        <v>6499222</v>
      </c>
      <c r="AF31" s="165">
        <f t="shared" si="0"/>
        <v>6527510</v>
      </c>
      <c r="AG31" s="165">
        <f t="shared" si="0"/>
        <v>6777984</v>
      </c>
      <c r="AH31" s="165">
        <f t="shared" si="0"/>
        <v>6607803</v>
      </c>
      <c r="AI31" s="165">
        <f t="shared" si="0"/>
        <v>6361694</v>
      </c>
      <c r="AJ31" s="165">
        <f t="shared" si="0"/>
        <v>6227774</v>
      </c>
      <c r="AK31" s="165">
        <f t="shared" si="0"/>
        <v>6251618</v>
      </c>
      <c r="AL31" s="165">
        <f t="shared" si="0"/>
        <v>6362991.79</v>
      </c>
      <c r="AM31" s="165">
        <f t="shared" si="0"/>
        <v>6341408</v>
      </c>
      <c r="AN31" s="165">
        <f t="shared" si="0"/>
        <v>0</v>
      </c>
      <c r="AO31" s="165">
        <f t="shared" si="0"/>
        <v>0</v>
      </c>
    </row>
    <row r="32" spans="2:44" ht="23.25" customHeight="1" thickBot="1" x14ac:dyDescent="0.3">
      <c r="B32" s="167" t="s">
        <v>192</v>
      </c>
      <c r="C32" s="167"/>
      <c r="D32" s="168" t="s">
        <v>192</v>
      </c>
      <c r="E32" s="169" t="s">
        <v>192</v>
      </c>
      <c r="F32" s="170" t="s">
        <v>192</v>
      </c>
      <c r="G32" s="169" t="s">
        <v>192</v>
      </c>
      <c r="H32" s="170" t="s">
        <v>192</v>
      </c>
      <c r="I32" s="169" t="s">
        <v>192</v>
      </c>
      <c r="J32" s="170" t="s">
        <v>192</v>
      </c>
      <c r="K32" s="169" t="s">
        <v>192</v>
      </c>
      <c r="L32" s="170" t="s">
        <v>192</v>
      </c>
      <c r="M32" s="169"/>
      <c r="N32" s="170"/>
      <c r="O32" s="171"/>
      <c r="P32" s="170"/>
      <c r="Q32" s="171"/>
      <c r="R32" s="170"/>
      <c r="S32" s="171"/>
      <c r="T32" s="170"/>
      <c r="U32" s="171"/>
      <c r="V32" s="170"/>
      <c r="W32" s="169"/>
      <c r="X32" s="170"/>
      <c r="Y32" s="169"/>
      <c r="Z32" s="170"/>
      <c r="AA32" s="169"/>
      <c r="AB32" s="170"/>
      <c r="AC32" s="170"/>
      <c r="AD32" s="172" t="s">
        <v>192</v>
      </c>
      <c r="AE32" s="172" t="s">
        <v>192</v>
      </c>
      <c r="AF32" s="172" t="s">
        <v>192</v>
      </c>
      <c r="AG32" s="172" t="s">
        <v>192</v>
      </c>
      <c r="AH32" s="172" t="s">
        <v>192</v>
      </c>
      <c r="AI32" s="172" t="s">
        <v>192</v>
      </c>
      <c r="AJ32" s="172" t="s">
        <v>192</v>
      </c>
      <c r="AK32" s="172" t="s">
        <v>192</v>
      </c>
      <c r="AL32" s="172" t="s">
        <v>192</v>
      </c>
      <c r="AM32" s="172" t="s">
        <v>192</v>
      </c>
      <c r="AN32" s="172" t="s">
        <v>192</v>
      </c>
      <c r="AO32" s="172" t="s">
        <v>192</v>
      </c>
    </row>
    <row r="33" spans="2:41" customFormat="1" ht="21.75" customHeight="1" x14ac:dyDescent="0.25">
      <c r="B33" s="140" t="s">
        <v>193</v>
      </c>
      <c r="C33" s="174"/>
      <c r="D33" s="175"/>
      <c r="E33" s="176"/>
      <c r="F33" s="174"/>
      <c r="G33" s="176"/>
      <c r="H33" s="174"/>
      <c r="I33" s="176"/>
      <c r="J33" s="174"/>
      <c r="K33" s="176"/>
      <c r="L33" s="174"/>
      <c r="M33" s="177"/>
      <c r="N33" s="174"/>
      <c r="O33" s="178"/>
      <c r="P33" s="174"/>
      <c r="Q33" s="178"/>
      <c r="R33" s="174"/>
      <c r="S33" s="178"/>
      <c r="T33" s="174"/>
      <c r="U33" s="178"/>
      <c r="V33" s="174"/>
      <c r="W33" s="177"/>
      <c r="X33" s="174"/>
      <c r="Y33" s="177"/>
      <c r="Z33" s="174"/>
      <c r="AA33" s="177"/>
      <c r="AB33" s="174"/>
      <c r="AC33" s="179"/>
      <c r="AD33" s="180"/>
      <c r="AE33" s="180"/>
      <c r="AF33" s="181"/>
      <c r="AG33" s="181"/>
      <c r="AH33" s="181"/>
      <c r="AI33" s="181"/>
      <c r="AJ33" s="181"/>
      <c r="AK33" s="181"/>
      <c r="AL33" s="181"/>
      <c r="AM33" s="181"/>
      <c r="AN33" s="181"/>
      <c r="AO33" s="181"/>
    </row>
    <row r="34" spans="2:41" customFormat="1" x14ac:dyDescent="0.25">
      <c r="B34" s="143" t="s">
        <v>194</v>
      </c>
      <c r="C34" s="144" t="s">
        <v>195</v>
      </c>
      <c r="D34" s="145">
        <v>6</v>
      </c>
      <c r="E34" s="146">
        <v>45</v>
      </c>
      <c r="F34" s="144" t="s">
        <v>196</v>
      </c>
      <c r="G34" s="146">
        <v>45</v>
      </c>
      <c r="H34" s="144" t="s">
        <v>196</v>
      </c>
      <c r="I34" s="146">
        <v>45</v>
      </c>
      <c r="J34" s="144" t="s">
        <v>196</v>
      </c>
      <c r="K34" s="146">
        <v>45</v>
      </c>
      <c r="L34" s="144" t="s">
        <v>196</v>
      </c>
      <c r="M34" s="21">
        <v>45</v>
      </c>
      <c r="N34" s="144" t="s">
        <v>196</v>
      </c>
      <c r="O34" s="30">
        <v>45</v>
      </c>
      <c r="P34" s="144" t="s">
        <v>196</v>
      </c>
      <c r="Q34" s="30">
        <v>45</v>
      </c>
      <c r="R34" s="144" t="s">
        <v>196</v>
      </c>
      <c r="S34" s="30">
        <v>45</v>
      </c>
      <c r="T34" s="144" t="s">
        <v>196</v>
      </c>
      <c r="U34" s="30">
        <v>45</v>
      </c>
      <c r="V34" s="144" t="s">
        <v>196</v>
      </c>
      <c r="W34" s="182">
        <v>45</v>
      </c>
      <c r="X34" s="144" t="s">
        <v>196</v>
      </c>
      <c r="Y34" s="356">
        <v>45</v>
      </c>
      <c r="Z34" s="17" t="s">
        <v>196</v>
      </c>
      <c r="AA34" s="183"/>
      <c r="AB34" s="144"/>
      <c r="AC34" s="148"/>
      <c r="AD34" s="149">
        <v>102655</v>
      </c>
      <c r="AE34" s="149">
        <v>93113</v>
      </c>
      <c r="AF34" s="149">
        <v>98149</v>
      </c>
      <c r="AG34" s="149">
        <v>83690</v>
      </c>
      <c r="AH34" s="149">
        <v>84340</v>
      </c>
      <c r="AI34" s="149">
        <v>80325</v>
      </c>
      <c r="AJ34" s="149">
        <v>81360</v>
      </c>
      <c r="AK34" s="184">
        <v>71010</v>
      </c>
      <c r="AL34" s="149">
        <v>80145</v>
      </c>
      <c r="AM34" s="19">
        <v>55665</v>
      </c>
      <c r="AN34" s="149"/>
      <c r="AO34" s="149"/>
    </row>
    <row r="35" spans="2:41" customFormat="1" x14ac:dyDescent="0.25">
      <c r="B35" s="143" t="s">
        <v>197</v>
      </c>
      <c r="C35" s="144" t="s">
        <v>173</v>
      </c>
      <c r="D35" s="145">
        <v>9.1</v>
      </c>
      <c r="E35" s="146">
        <v>100</v>
      </c>
      <c r="F35" s="144" t="s">
        <v>198</v>
      </c>
      <c r="G35" s="146">
        <v>110</v>
      </c>
      <c r="H35" s="144" t="s">
        <v>198</v>
      </c>
      <c r="I35" s="146">
        <v>115</v>
      </c>
      <c r="J35" s="144" t="s">
        <v>198</v>
      </c>
      <c r="K35" s="146">
        <v>125</v>
      </c>
      <c r="L35" s="144" t="s">
        <v>198</v>
      </c>
      <c r="M35" s="21">
        <v>125</v>
      </c>
      <c r="N35" s="144" t="s">
        <v>198</v>
      </c>
      <c r="O35" s="30">
        <v>130</v>
      </c>
      <c r="P35" s="144" t="s">
        <v>198</v>
      </c>
      <c r="Q35" s="30">
        <v>130</v>
      </c>
      <c r="R35" s="144" t="s">
        <v>198</v>
      </c>
      <c r="S35" s="30">
        <v>135</v>
      </c>
      <c r="T35" s="144" t="s">
        <v>198</v>
      </c>
      <c r="U35" s="30">
        <v>135</v>
      </c>
      <c r="V35" s="144" t="s">
        <v>198</v>
      </c>
      <c r="W35" s="182">
        <v>135</v>
      </c>
      <c r="X35" s="144" t="s">
        <v>198</v>
      </c>
      <c r="Y35" s="356">
        <v>139</v>
      </c>
      <c r="Z35" s="17" t="s">
        <v>198</v>
      </c>
      <c r="AA35" s="183"/>
      <c r="AB35" s="144"/>
      <c r="AC35" s="148"/>
      <c r="AD35" s="149">
        <v>275198</v>
      </c>
      <c r="AE35" s="149">
        <v>290363</v>
      </c>
      <c r="AF35" s="149">
        <v>293717.5</v>
      </c>
      <c r="AG35" s="149">
        <v>322300.5</v>
      </c>
      <c r="AH35" s="149">
        <v>312003</v>
      </c>
      <c r="AI35" s="149">
        <v>324649.5</v>
      </c>
      <c r="AJ35" s="149">
        <v>325222</v>
      </c>
      <c r="AK35" s="184">
        <v>302676</v>
      </c>
      <c r="AL35" s="149">
        <v>316408</v>
      </c>
      <c r="AM35" s="19">
        <v>315810</v>
      </c>
      <c r="AN35" s="149"/>
      <c r="AO35" s="149"/>
    </row>
    <row r="36" spans="2:41" customFormat="1" x14ac:dyDescent="0.25">
      <c r="B36" s="143" t="s">
        <v>199</v>
      </c>
      <c r="C36" s="144" t="s">
        <v>173</v>
      </c>
      <c r="D36" s="145">
        <v>9.1</v>
      </c>
      <c r="E36" s="146">
        <v>2060</v>
      </c>
      <c r="F36" s="144" t="s">
        <v>177</v>
      </c>
      <c r="G36" s="146">
        <v>2163</v>
      </c>
      <c r="H36" s="144" t="s">
        <v>177</v>
      </c>
      <c r="I36" s="146">
        <v>2250</v>
      </c>
      <c r="J36" s="144" t="s">
        <v>177</v>
      </c>
      <c r="K36" s="146">
        <v>2340</v>
      </c>
      <c r="L36" s="144" t="s">
        <v>177</v>
      </c>
      <c r="M36" s="21">
        <v>2363</v>
      </c>
      <c r="N36" s="144" t="s">
        <v>177</v>
      </c>
      <c r="O36" s="30">
        <v>2410</v>
      </c>
      <c r="P36" s="144" t="s">
        <v>177</v>
      </c>
      <c r="Q36" s="30">
        <v>2458</v>
      </c>
      <c r="R36" s="144" t="s">
        <v>177</v>
      </c>
      <c r="S36" s="30">
        <v>2520</v>
      </c>
      <c r="T36" s="144" t="s">
        <v>177</v>
      </c>
      <c r="U36" s="30">
        <v>2596</v>
      </c>
      <c r="V36" s="144" t="s">
        <v>177</v>
      </c>
      <c r="W36" s="182">
        <v>2674</v>
      </c>
      <c r="X36" s="144" t="s">
        <v>177</v>
      </c>
      <c r="Y36" s="356">
        <v>2754</v>
      </c>
      <c r="Z36" s="17" t="s">
        <v>177</v>
      </c>
      <c r="AA36" s="183"/>
      <c r="AB36" s="144"/>
      <c r="AC36" s="148"/>
      <c r="AD36" s="149">
        <v>7147205</v>
      </c>
      <c r="AE36" s="149">
        <v>7209679</v>
      </c>
      <c r="AF36" s="149">
        <v>7301175.4900000002</v>
      </c>
      <c r="AG36" s="149">
        <v>7460086.9400000004</v>
      </c>
      <c r="AH36" s="149">
        <v>7447303.2999999998</v>
      </c>
      <c r="AI36" s="149">
        <v>7433762.0499999998</v>
      </c>
      <c r="AJ36" s="149">
        <v>7025371</v>
      </c>
      <c r="AK36" s="184">
        <v>6351771</v>
      </c>
      <c r="AL36" s="149">
        <v>7405977.7000000002</v>
      </c>
      <c r="AM36" s="19">
        <v>7272847</v>
      </c>
      <c r="AN36" s="149"/>
      <c r="AO36" s="149"/>
    </row>
    <row r="37" spans="2:41" customFormat="1" x14ac:dyDescent="0.25">
      <c r="B37" s="143" t="s">
        <v>200</v>
      </c>
      <c r="C37" s="144" t="s">
        <v>195</v>
      </c>
      <c r="D37" s="145">
        <v>6.3</v>
      </c>
      <c r="E37" s="146">
        <v>45</v>
      </c>
      <c r="F37" s="144" t="s">
        <v>196</v>
      </c>
      <c r="G37" s="146">
        <v>45</v>
      </c>
      <c r="H37" s="144" t="s">
        <v>196</v>
      </c>
      <c r="I37" s="146">
        <v>45</v>
      </c>
      <c r="J37" s="144" t="s">
        <v>196</v>
      </c>
      <c r="K37" s="146">
        <v>45</v>
      </c>
      <c r="L37" s="144" t="s">
        <v>196</v>
      </c>
      <c r="M37" s="21">
        <v>45</v>
      </c>
      <c r="N37" s="144" t="s">
        <v>196</v>
      </c>
      <c r="O37" s="30">
        <v>45</v>
      </c>
      <c r="P37" s="144" t="s">
        <v>196</v>
      </c>
      <c r="Q37" s="30">
        <v>45</v>
      </c>
      <c r="R37" s="144" t="s">
        <v>196</v>
      </c>
      <c r="S37" s="30">
        <v>45</v>
      </c>
      <c r="T37" s="144" t="s">
        <v>196</v>
      </c>
      <c r="U37" s="30">
        <v>45</v>
      </c>
      <c r="V37" s="144" t="s">
        <v>196</v>
      </c>
      <c r="W37" s="182">
        <v>45</v>
      </c>
      <c r="X37" s="144" t="s">
        <v>196</v>
      </c>
      <c r="Y37" s="356">
        <v>45</v>
      </c>
      <c r="Z37" s="17" t="s">
        <v>196</v>
      </c>
      <c r="AA37" s="183"/>
      <c r="AB37" s="144"/>
      <c r="AC37" s="148"/>
      <c r="AD37" s="149">
        <v>60840</v>
      </c>
      <c r="AE37" s="149">
        <v>58680</v>
      </c>
      <c r="AF37" s="149">
        <v>54945</v>
      </c>
      <c r="AG37" s="149">
        <v>55350</v>
      </c>
      <c r="AH37" s="149">
        <v>56385</v>
      </c>
      <c r="AI37" s="149">
        <v>60345</v>
      </c>
      <c r="AJ37" s="149">
        <v>44870</v>
      </c>
      <c r="AK37" s="184">
        <v>44949</v>
      </c>
      <c r="AL37" s="149">
        <v>43245.5</v>
      </c>
      <c r="AM37" s="19">
        <v>42728</v>
      </c>
      <c r="AN37" s="149"/>
      <c r="AO37" s="149"/>
    </row>
    <row r="38" spans="2:41" customFormat="1" x14ac:dyDescent="0.25">
      <c r="B38" s="143" t="s">
        <v>201</v>
      </c>
      <c r="C38" s="144" t="s">
        <v>195</v>
      </c>
      <c r="D38" s="145">
        <v>6.8</v>
      </c>
      <c r="E38" s="146">
        <v>25</v>
      </c>
      <c r="F38" s="144" t="s">
        <v>196</v>
      </c>
      <c r="G38" s="146">
        <v>25</v>
      </c>
      <c r="H38" s="144" t="s">
        <v>196</v>
      </c>
      <c r="I38" s="146">
        <v>25</v>
      </c>
      <c r="J38" s="144" t="s">
        <v>196</v>
      </c>
      <c r="K38" s="146">
        <v>25</v>
      </c>
      <c r="L38" s="144" t="s">
        <v>196</v>
      </c>
      <c r="M38" s="21">
        <v>25</v>
      </c>
      <c r="N38" s="144" t="s">
        <v>196</v>
      </c>
      <c r="O38" s="30">
        <v>25</v>
      </c>
      <c r="P38" s="144" t="s">
        <v>196</v>
      </c>
      <c r="Q38" s="30">
        <v>25</v>
      </c>
      <c r="R38" s="144" t="s">
        <v>196</v>
      </c>
      <c r="S38" s="30">
        <v>25</v>
      </c>
      <c r="T38" s="144" t="s">
        <v>196</v>
      </c>
      <c r="U38" s="30">
        <v>25</v>
      </c>
      <c r="V38" s="144" t="s">
        <v>196</v>
      </c>
      <c r="W38" s="182">
        <v>25</v>
      </c>
      <c r="X38" s="144" t="s">
        <v>196</v>
      </c>
      <c r="Y38" s="356">
        <v>25</v>
      </c>
      <c r="Z38" s="17" t="s">
        <v>196</v>
      </c>
      <c r="AA38" s="183"/>
      <c r="AB38" s="144"/>
      <c r="AC38" s="148"/>
      <c r="AD38" s="149">
        <v>34765</v>
      </c>
      <c r="AE38" s="149">
        <v>36135</v>
      </c>
      <c r="AF38" s="149">
        <v>38225</v>
      </c>
      <c r="AG38" s="149">
        <v>37435</v>
      </c>
      <c r="AH38" s="149">
        <v>37680</v>
      </c>
      <c r="AI38" s="149">
        <v>35355</v>
      </c>
      <c r="AJ38" s="149">
        <v>36725</v>
      </c>
      <c r="AK38" s="184">
        <v>38395</v>
      </c>
      <c r="AL38" s="149">
        <v>38140</v>
      </c>
      <c r="AM38" s="19">
        <v>37685</v>
      </c>
      <c r="AN38" s="149"/>
      <c r="AO38" s="149"/>
    </row>
    <row r="39" spans="2:41" customFormat="1" x14ac:dyDescent="0.25">
      <c r="B39" s="143" t="s">
        <v>33</v>
      </c>
      <c r="C39" s="144" t="s">
        <v>195</v>
      </c>
      <c r="D39" s="145">
        <v>6.8</v>
      </c>
      <c r="E39" s="146">
        <v>15</v>
      </c>
      <c r="F39" s="144" t="s">
        <v>196</v>
      </c>
      <c r="G39" s="146">
        <v>15</v>
      </c>
      <c r="H39" s="144" t="s">
        <v>196</v>
      </c>
      <c r="I39" s="146">
        <v>15</v>
      </c>
      <c r="J39" s="144" t="s">
        <v>196</v>
      </c>
      <c r="K39" s="146">
        <v>15</v>
      </c>
      <c r="L39" s="144" t="s">
        <v>196</v>
      </c>
      <c r="M39" s="21">
        <v>15</v>
      </c>
      <c r="N39" s="144" t="s">
        <v>196</v>
      </c>
      <c r="O39" s="30">
        <v>15</v>
      </c>
      <c r="P39" s="144" t="s">
        <v>196</v>
      </c>
      <c r="Q39" s="30">
        <v>15</v>
      </c>
      <c r="R39" s="144" t="s">
        <v>196</v>
      </c>
      <c r="S39" s="30">
        <v>15</v>
      </c>
      <c r="T39" s="144" t="s">
        <v>196</v>
      </c>
      <c r="U39" s="30">
        <v>15</v>
      </c>
      <c r="V39" s="144" t="s">
        <v>196</v>
      </c>
      <c r="W39" s="182">
        <v>15</v>
      </c>
      <c r="X39" s="144" t="s">
        <v>196</v>
      </c>
      <c r="Y39" s="356">
        <v>15</v>
      </c>
      <c r="Z39" s="17" t="s">
        <v>196</v>
      </c>
      <c r="AA39" s="183"/>
      <c r="AB39" s="144"/>
      <c r="AC39" s="148"/>
      <c r="AD39" s="149">
        <v>1290</v>
      </c>
      <c r="AE39" s="149">
        <v>1020</v>
      </c>
      <c r="AF39" s="149">
        <v>1750</v>
      </c>
      <c r="AG39" s="149">
        <v>585</v>
      </c>
      <c r="AH39" s="149">
        <v>1095</v>
      </c>
      <c r="AI39" s="149">
        <v>630</v>
      </c>
      <c r="AJ39" s="149">
        <v>405</v>
      </c>
      <c r="AK39" s="184">
        <v>945</v>
      </c>
      <c r="AL39" s="149">
        <v>1185</v>
      </c>
      <c r="AM39" s="19">
        <v>375</v>
      </c>
      <c r="AN39" s="149"/>
      <c r="AO39" s="149"/>
    </row>
    <row r="40" spans="2:41" customFormat="1" x14ac:dyDescent="0.25">
      <c r="B40" s="143" t="s">
        <v>202</v>
      </c>
      <c r="C40" s="144" t="s">
        <v>173</v>
      </c>
      <c r="D40" s="145">
        <v>5.3</v>
      </c>
      <c r="E40" s="146">
        <v>25</v>
      </c>
      <c r="F40" s="144" t="s">
        <v>198</v>
      </c>
      <c r="G40" s="146">
        <v>25</v>
      </c>
      <c r="H40" s="144" t="s">
        <v>198</v>
      </c>
      <c r="I40" s="146">
        <v>35</v>
      </c>
      <c r="J40" s="144" t="s">
        <v>198</v>
      </c>
      <c r="K40" s="146">
        <v>35</v>
      </c>
      <c r="L40" s="144" t="s">
        <v>198</v>
      </c>
      <c r="M40" s="21">
        <v>35</v>
      </c>
      <c r="N40" s="144" t="s">
        <v>198</v>
      </c>
      <c r="O40" s="30">
        <v>35</v>
      </c>
      <c r="P40" s="144" t="s">
        <v>198</v>
      </c>
      <c r="Q40" s="30">
        <v>35</v>
      </c>
      <c r="R40" s="144" t="s">
        <v>198</v>
      </c>
      <c r="S40" s="30">
        <v>35</v>
      </c>
      <c r="T40" s="144" t="s">
        <v>198</v>
      </c>
      <c r="U40" s="30">
        <v>35</v>
      </c>
      <c r="V40" s="144" t="s">
        <v>198</v>
      </c>
      <c r="W40" s="182">
        <v>35</v>
      </c>
      <c r="X40" s="144" t="s">
        <v>198</v>
      </c>
      <c r="Y40" s="356">
        <v>0</v>
      </c>
      <c r="Z40" s="17" t="s">
        <v>198</v>
      </c>
      <c r="AA40" s="183"/>
      <c r="AB40" s="144"/>
      <c r="AC40" s="148"/>
      <c r="AD40" s="149">
        <v>33153</v>
      </c>
      <c r="AE40" s="149">
        <v>26374</v>
      </c>
      <c r="AF40" s="149">
        <v>22756</v>
      </c>
      <c r="AG40" s="149">
        <v>35872</v>
      </c>
      <c r="AH40" s="149">
        <v>4136</v>
      </c>
      <c r="AI40" s="149">
        <v>3060</v>
      </c>
      <c r="AJ40" s="149">
        <v>2415</v>
      </c>
      <c r="AK40" s="184">
        <v>2305</v>
      </c>
      <c r="AL40" s="149">
        <v>590</v>
      </c>
      <c r="AM40" s="19">
        <v>330</v>
      </c>
      <c r="AN40" s="149"/>
      <c r="AO40" s="149"/>
    </row>
    <row r="41" spans="2:41" customFormat="1" x14ac:dyDescent="0.25">
      <c r="B41" s="143" t="s">
        <v>203</v>
      </c>
      <c r="C41" s="144" t="s">
        <v>173</v>
      </c>
      <c r="D41" s="145">
        <v>9.1</v>
      </c>
      <c r="E41" s="146">
        <v>2107</v>
      </c>
      <c r="F41" s="144" t="s">
        <v>177</v>
      </c>
      <c r="G41" s="146">
        <v>2212</v>
      </c>
      <c r="H41" s="144" t="s">
        <v>177</v>
      </c>
      <c r="I41" s="146">
        <v>2300</v>
      </c>
      <c r="J41" s="144" t="s">
        <v>177</v>
      </c>
      <c r="K41" s="146">
        <v>2392</v>
      </c>
      <c r="L41" s="144" t="s">
        <v>177</v>
      </c>
      <c r="M41" s="21">
        <v>2416</v>
      </c>
      <c r="N41" s="144" t="s">
        <v>177</v>
      </c>
      <c r="O41" s="30">
        <v>2464</v>
      </c>
      <c r="P41" s="144" t="s">
        <v>177</v>
      </c>
      <c r="Q41" s="30">
        <v>2513</v>
      </c>
      <c r="R41" s="144" t="s">
        <v>177</v>
      </c>
      <c r="S41" s="30">
        <v>2576</v>
      </c>
      <c r="T41" s="144" t="s">
        <v>177</v>
      </c>
      <c r="U41" s="30">
        <v>2653</v>
      </c>
      <c r="V41" s="144" t="s">
        <v>177</v>
      </c>
      <c r="W41" s="182">
        <v>2733</v>
      </c>
      <c r="X41" s="144" t="s">
        <v>177</v>
      </c>
      <c r="Y41" s="356">
        <v>2964</v>
      </c>
      <c r="Z41" s="17" t="s">
        <v>177</v>
      </c>
      <c r="AA41" s="183"/>
      <c r="AB41" s="144"/>
      <c r="AC41" s="148"/>
      <c r="AD41" s="149">
        <v>8574698</v>
      </c>
      <c r="AE41" s="149">
        <v>8739984</v>
      </c>
      <c r="AF41" s="149">
        <v>8822672.7200000007</v>
      </c>
      <c r="AG41" s="149">
        <v>9046815.5299999993</v>
      </c>
      <c r="AH41" s="149">
        <v>8768315.9299999997</v>
      </c>
      <c r="AI41" s="149">
        <f>11805+9428424.12</f>
        <v>9440229.1199999992</v>
      </c>
      <c r="AJ41" s="149">
        <v>8962456</v>
      </c>
      <c r="AK41" s="184">
        <v>8373191</v>
      </c>
      <c r="AL41" s="149">
        <v>9513579.4299999997</v>
      </c>
      <c r="AM41" s="19">
        <v>9747768</v>
      </c>
      <c r="AN41" s="149"/>
      <c r="AO41" s="149"/>
    </row>
    <row r="42" spans="2:41" customFormat="1" x14ac:dyDescent="0.25">
      <c r="B42" s="20"/>
      <c r="C42" s="144"/>
      <c r="D42" s="145"/>
      <c r="E42" s="146"/>
      <c r="F42" s="144"/>
      <c r="G42" s="146"/>
      <c r="H42" s="144"/>
      <c r="I42" s="146"/>
      <c r="J42" s="144"/>
      <c r="K42" s="146"/>
      <c r="L42" s="144"/>
      <c r="M42" s="146"/>
      <c r="N42" s="144"/>
      <c r="O42" s="147"/>
      <c r="P42" s="144"/>
      <c r="Q42" s="147"/>
      <c r="R42" s="144"/>
      <c r="S42" s="147"/>
      <c r="T42" s="144"/>
      <c r="U42" s="147"/>
      <c r="V42" s="144"/>
      <c r="W42" s="147"/>
      <c r="X42" s="144"/>
      <c r="Y42" s="18"/>
      <c r="Z42" s="17"/>
      <c r="AA42" s="146"/>
      <c r="AB42" s="144"/>
      <c r="AC42" s="148"/>
      <c r="AD42" s="149"/>
      <c r="AE42" s="149"/>
      <c r="AF42" s="149"/>
      <c r="AG42" s="149"/>
      <c r="AH42" s="149"/>
      <c r="AI42" s="149"/>
      <c r="AJ42" s="149"/>
      <c r="AK42" s="150"/>
      <c r="AL42" s="149"/>
      <c r="AM42" s="19"/>
      <c r="AN42" s="149"/>
      <c r="AO42" s="149"/>
    </row>
    <row r="43" spans="2:41" customFormat="1" x14ac:dyDescent="0.25">
      <c r="B43" s="20"/>
      <c r="C43" s="144"/>
      <c r="D43" s="145"/>
      <c r="E43" s="146"/>
      <c r="F43" s="144"/>
      <c r="G43" s="146"/>
      <c r="H43" s="144"/>
      <c r="I43" s="146"/>
      <c r="J43" s="144"/>
      <c r="K43" s="146"/>
      <c r="L43" s="144"/>
      <c r="M43" s="146"/>
      <c r="N43" s="144"/>
      <c r="O43" s="147"/>
      <c r="P43" s="144"/>
      <c r="Q43" s="147"/>
      <c r="R43" s="144"/>
      <c r="S43" s="147"/>
      <c r="T43" s="144"/>
      <c r="U43" s="147"/>
      <c r="V43" s="144"/>
      <c r="W43" s="147"/>
      <c r="X43" s="144"/>
      <c r="Y43" s="18"/>
      <c r="Z43" s="17"/>
      <c r="AA43" s="146"/>
      <c r="AB43" s="144"/>
      <c r="AC43" s="148"/>
      <c r="AD43" s="149"/>
      <c r="AE43" s="149"/>
      <c r="AF43" s="149"/>
      <c r="AG43" s="149"/>
      <c r="AH43" s="149"/>
      <c r="AI43" s="149"/>
      <c r="AJ43" s="149"/>
      <c r="AK43" s="147"/>
      <c r="AL43" s="149"/>
      <c r="AM43" s="19"/>
      <c r="AN43" s="149"/>
      <c r="AO43" s="149"/>
    </row>
    <row r="44" spans="2:41" customFormat="1" x14ac:dyDescent="0.25">
      <c r="B44" s="20"/>
      <c r="C44" s="144"/>
      <c r="D44" s="145"/>
      <c r="E44" s="146"/>
      <c r="F44" s="144"/>
      <c r="G44" s="146"/>
      <c r="H44" s="144"/>
      <c r="I44" s="146"/>
      <c r="J44" s="144"/>
      <c r="K44" s="146"/>
      <c r="L44" s="144"/>
      <c r="M44" s="21"/>
      <c r="N44" s="144"/>
      <c r="O44" s="30"/>
      <c r="P44" s="144"/>
      <c r="Q44" s="30"/>
      <c r="R44" s="144"/>
      <c r="S44" s="30"/>
      <c r="T44" s="144"/>
      <c r="U44" s="185"/>
      <c r="V44" s="144"/>
      <c r="W44" s="182"/>
      <c r="X44" s="144"/>
      <c r="Y44" s="22"/>
      <c r="Z44" s="17"/>
      <c r="AA44" s="183"/>
      <c r="AB44" s="144"/>
      <c r="AC44" s="148"/>
      <c r="AD44" s="149"/>
      <c r="AE44" s="149"/>
      <c r="AF44" s="149"/>
      <c r="AG44" s="149"/>
      <c r="AH44" s="149"/>
      <c r="AI44" s="149"/>
      <c r="AJ44" s="149"/>
      <c r="AK44" s="185"/>
      <c r="AL44" s="149"/>
      <c r="AM44" s="19"/>
      <c r="AN44" s="149"/>
      <c r="AO44" s="149"/>
    </row>
    <row r="45" spans="2:41" customFormat="1" x14ac:dyDescent="0.25">
      <c r="B45" s="20"/>
      <c r="C45" s="144"/>
      <c r="D45" s="145"/>
      <c r="E45" s="146"/>
      <c r="F45" s="144"/>
      <c r="G45" s="146"/>
      <c r="H45" s="144"/>
      <c r="I45" s="146"/>
      <c r="J45" s="144"/>
      <c r="K45" s="146"/>
      <c r="L45" s="144"/>
      <c r="M45" s="21"/>
      <c r="N45" s="144"/>
      <c r="O45" s="30"/>
      <c r="P45" s="144"/>
      <c r="Q45" s="30"/>
      <c r="R45" s="144"/>
      <c r="S45" s="30"/>
      <c r="T45" s="144"/>
      <c r="U45" s="185"/>
      <c r="V45" s="144"/>
      <c r="W45" s="182"/>
      <c r="X45" s="144"/>
      <c r="Y45" s="22"/>
      <c r="Z45" s="17"/>
      <c r="AA45" s="183"/>
      <c r="AB45" s="144"/>
      <c r="AC45" s="148"/>
      <c r="AD45" s="149"/>
      <c r="AE45" s="149"/>
      <c r="AF45" s="149"/>
      <c r="AG45" s="149"/>
      <c r="AH45" s="149"/>
      <c r="AI45" s="149"/>
      <c r="AJ45" s="149"/>
      <c r="AK45" s="185"/>
      <c r="AL45" s="149"/>
      <c r="AM45" s="19"/>
      <c r="AN45" s="149"/>
      <c r="AO45" s="149"/>
    </row>
    <row r="46" spans="2:41" customFormat="1" x14ac:dyDescent="0.25">
      <c r="B46" s="20"/>
      <c r="C46" s="144"/>
      <c r="D46" s="145"/>
      <c r="E46" s="146"/>
      <c r="F46" s="144"/>
      <c r="G46" s="146"/>
      <c r="H46" s="144"/>
      <c r="I46" s="146"/>
      <c r="J46" s="144"/>
      <c r="K46" s="146"/>
      <c r="L46" s="144"/>
      <c r="M46" s="186"/>
      <c r="N46" s="144"/>
      <c r="O46" s="185"/>
      <c r="P46" s="144"/>
      <c r="Q46" s="31"/>
      <c r="R46" s="144"/>
      <c r="S46" s="182"/>
      <c r="T46" s="144"/>
      <c r="U46" s="185"/>
      <c r="V46" s="144"/>
      <c r="W46" s="182"/>
      <c r="X46" s="144"/>
      <c r="Y46" s="22"/>
      <c r="Z46" s="17"/>
      <c r="AA46" s="183"/>
      <c r="AB46" s="144"/>
      <c r="AC46" s="148"/>
      <c r="AD46" s="149"/>
      <c r="AE46" s="149"/>
      <c r="AF46" s="149"/>
      <c r="AG46" s="149"/>
      <c r="AH46" s="149"/>
      <c r="AI46" s="149"/>
      <c r="AJ46" s="149"/>
      <c r="AK46" s="185"/>
      <c r="AL46" s="149"/>
      <c r="AM46" s="19"/>
      <c r="AN46" s="149"/>
      <c r="AO46" s="149"/>
    </row>
    <row r="47" spans="2:41" customFormat="1" x14ac:dyDescent="0.25">
      <c r="B47" s="20"/>
      <c r="C47" s="144"/>
      <c r="D47" s="145"/>
      <c r="E47" s="146"/>
      <c r="F47" s="144"/>
      <c r="G47" s="146"/>
      <c r="H47" s="144"/>
      <c r="I47" s="146"/>
      <c r="J47" s="144"/>
      <c r="K47" s="146"/>
      <c r="L47" s="144"/>
      <c r="M47" s="186"/>
      <c r="N47" s="144"/>
      <c r="O47" s="182"/>
      <c r="P47" s="144"/>
      <c r="Q47" s="31"/>
      <c r="R47" s="144"/>
      <c r="S47" s="182"/>
      <c r="T47" s="144"/>
      <c r="U47" s="185"/>
      <c r="V47" s="144"/>
      <c r="W47" s="183"/>
      <c r="X47" s="144"/>
      <c r="Y47" s="22"/>
      <c r="Z47" s="17"/>
      <c r="AA47" s="183"/>
      <c r="AB47" s="144"/>
      <c r="AC47" s="148"/>
      <c r="AD47" s="149"/>
      <c r="AE47" s="149"/>
      <c r="AF47" s="149"/>
      <c r="AG47" s="149"/>
      <c r="AH47" s="149"/>
      <c r="AI47" s="149"/>
      <c r="AJ47" s="149"/>
      <c r="AK47" s="185"/>
      <c r="AL47" s="149"/>
      <c r="AM47" s="19"/>
      <c r="AN47" s="149"/>
      <c r="AO47" s="149"/>
    </row>
    <row r="48" spans="2:41" x14ac:dyDescent="0.25">
      <c r="B48" s="151" t="s">
        <v>191</v>
      </c>
      <c r="C48" s="187"/>
      <c r="D48" s="188"/>
      <c r="E48" s="183"/>
      <c r="F48" s="187"/>
      <c r="G48" s="183"/>
      <c r="H48" s="187"/>
      <c r="I48" s="183"/>
      <c r="J48" s="187"/>
      <c r="K48" s="183"/>
      <c r="L48" s="187"/>
      <c r="M48" s="186"/>
      <c r="N48" s="187"/>
      <c r="O48" s="182"/>
      <c r="P48" s="187"/>
      <c r="Q48" s="31"/>
      <c r="R48" s="187"/>
      <c r="S48" s="182"/>
      <c r="T48" s="187"/>
      <c r="U48" s="182"/>
      <c r="V48" s="187"/>
      <c r="W48" s="183"/>
      <c r="X48" s="187"/>
      <c r="Y48" s="183"/>
      <c r="Z48" s="187"/>
      <c r="AA48" s="183"/>
      <c r="AB48" s="187"/>
      <c r="AC48" s="189"/>
      <c r="AD48" s="149"/>
      <c r="AE48" s="149"/>
      <c r="AF48" s="149"/>
      <c r="AG48" s="149"/>
      <c r="AH48" s="149"/>
      <c r="AI48" s="149"/>
      <c r="AJ48" s="149"/>
      <c r="AK48" s="149"/>
      <c r="AL48" s="149"/>
      <c r="AM48" s="149"/>
      <c r="AN48" s="149"/>
      <c r="AO48" s="149"/>
    </row>
    <row r="49" spans="2:44" ht="30.75" customHeight="1" x14ac:dyDescent="0.25">
      <c r="B49" s="190"/>
      <c r="AD49" s="192"/>
      <c r="AE49" s="192"/>
      <c r="AF49" s="192"/>
      <c r="AG49" s="192"/>
      <c r="AH49" s="192"/>
      <c r="AI49" s="192"/>
      <c r="AJ49" s="192"/>
      <c r="AK49" s="192"/>
      <c r="AL49" s="192"/>
      <c r="AM49" s="192"/>
      <c r="AN49" s="192"/>
      <c r="AO49" s="192"/>
    </row>
    <row r="50" spans="2:44" s="194" customFormat="1" ht="30.75" customHeight="1" x14ac:dyDescent="0.25">
      <c r="B50" s="193"/>
      <c r="D50" s="195"/>
      <c r="E50" s="433" t="str">
        <f>E2&amp;" Comments"</f>
        <v>2013-14 Comments</v>
      </c>
      <c r="F50" s="434"/>
      <c r="G50" s="433" t="str">
        <f>G2&amp;" Comments"</f>
        <v>2014-15 Comments</v>
      </c>
      <c r="H50" s="434"/>
      <c r="I50" s="433" t="str">
        <f>I2&amp;" Comments"</f>
        <v>2015-16 Comments</v>
      </c>
      <c r="J50" s="434"/>
      <c r="K50" s="433" t="str">
        <f>K2&amp;" Comments"</f>
        <v>2016-17 Comments</v>
      </c>
      <c r="L50" s="434"/>
      <c r="M50" s="433" t="str">
        <f>M2&amp;" Comments"</f>
        <v>2017-18 Comments</v>
      </c>
      <c r="N50" s="434"/>
      <c r="O50" s="433" t="str">
        <f>O2&amp;" Comments"</f>
        <v>2018-19 Comments</v>
      </c>
      <c r="P50" s="434"/>
      <c r="Q50" s="433" t="str">
        <f>Q2&amp;" Comments"</f>
        <v>2019-20 Comments</v>
      </c>
      <c r="R50" s="434"/>
      <c r="S50" s="433" t="str">
        <f>S2&amp;" Comments"</f>
        <v>2020-21 Comments</v>
      </c>
      <c r="T50" s="434"/>
      <c r="U50" s="433" t="str">
        <f>U2&amp;" Comments"</f>
        <v>2021-22 Comments</v>
      </c>
      <c r="V50" s="434"/>
      <c r="W50" s="433" t="str">
        <f>W2&amp;" Comments"</f>
        <v>2022-23 Comments</v>
      </c>
      <c r="X50" s="434"/>
      <c r="Y50" s="433" t="str">
        <f>Y2&amp;" Comments"</f>
        <v>2023-24 Comments</v>
      </c>
      <c r="Z50" s="434"/>
      <c r="AA50" s="433" t="str">
        <f>AA2&amp;" Comments"</f>
        <v>2024-25 Comments</v>
      </c>
      <c r="AB50" s="434"/>
      <c r="AC50" s="431"/>
      <c r="AD50" s="432"/>
      <c r="AF50" s="196"/>
      <c r="AG50" s="196"/>
      <c r="AH50" s="196"/>
      <c r="AI50" s="196"/>
      <c r="AJ50" s="196"/>
      <c r="AK50" s="196"/>
      <c r="AL50" s="196"/>
      <c r="AM50" s="196"/>
      <c r="AN50" s="196"/>
      <c r="AO50" s="196"/>
      <c r="AP50" s="196"/>
      <c r="AQ50" s="196"/>
      <c r="AR50" s="196"/>
    </row>
    <row r="51" spans="2:44" s="198" customFormat="1" ht="154.5" customHeight="1" x14ac:dyDescent="0.25">
      <c r="B51" s="197"/>
      <c r="C51" s="197"/>
      <c r="D51" s="197"/>
      <c r="E51" s="427"/>
      <c r="F51" s="428"/>
      <c r="G51" s="427"/>
      <c r="H51" s="428"/>
      <c r="I51" s="427"/>
      <c r="J51" s="428"/>
      <c r="K51" s="427"/>
      <c r="L51" s="428"/>
      <c r="M51" s="427"/>
      <c r="N51" s="428"/>
      <c r="O51" s="427"/>
      <c r="P51" s="428"/>
      <c r="Q51" s="427"/>
      <c r="R51" s="428"/>
      <c r="S51" s="423" t="s">
        <v>204</v>
      </c>
      <c r="T51" s="424"/>
      <c r="U51" s="423" t="s">
        <v>254</v>
      </c>
      <c r="V51" s="424"/>
      <c r="W51" s="423"/>
      <c r="X51" s="424"/>
      <c r="Y51" s="425"/>
      <c r="Z51" s="426"/>
      <c r="AA51" s="427"/>
      <c r="AB51" s="428"/>
      <c r="AC51" s="429"/>
      <c r="AD51" s="430"/>
      <c r="AE51" s="197"/>
      <c r="AF51" s="197"/>
      <c r="AG51" s="197"/>
      <c r="AH51" s="197"/>
      <c r="AI51" s="197"/>
      <c r="AJ51" s="197"/>
      <c r="AK51" s="197"/>
      <c r="AL51" s="197"/>
      <c r="AM51" s="197"/>
      <c r="AN51" s="197"/>
      <c r="AO51" s="197"/>
      <c r="AP51" s="197"/>
      <c r="AQ51" s="197"/>
      <c r="AR51" s="197"/>
    </row>
    <row r="52" spans="2:44" x14ac:dyDescent="0.25">
      <c r="B52" s="199"/>
    </row>
  </sheetData>
  <sheetProtection formatColumns="0" insertRows="0"/>
  <mergeCells count="40">
    <mergeCell ref="E1:AB1"/>
    <mergeCell ref="AD1:AO1"/>
    <mergeCell ref="E2:F2"/>
    <mergeCell ref="G2:H2"/>
    <mergeCell ref="I2:J2"/>
    <mergeCell ref="K2:L2"/>
    <mergeCell ref="M2:N2"/>
    <mergeCell ref="O2:P2"/>
    <mergeCell ref="Q2:R2"/>
    <mergeCell ref="S2:T2"/>
    <mergeCell ref="U2:V2"/>
    <mergeCell ref="W2:X2"/>
    <mergeCell ref="Y2:Z2"/>
    <mergeCell ref="AA2:AB2"/>
    <mergeCell ref="E50:F50"/>
    <mergeCell ref="G50:H50"/>
    <mergeCell ref="I50:J50"/>
    <mergeCell ref="K50:L50"/>
    <mergeCell ref="M50:N50"/>
    <mergeCell ref="O50:P50"/>
    <mergeCell ref="O51:P51"/>
    <mergeCell ref="Q51:R51"/>
    <mergeCell ref="S51:T51"/>
    <mergeCell ref="U51:V51"/>
    <mergeCell ref="Q50:R50"/>
    <mergeCell ref="S50:T50"/>
    <mergeCell ref="U50:V50"/>
    <mergeCell ref="E51:F51"/>
    <mergeCell ref="G51:H51"/>
    <mergeCell ref="I51:J51"/>
    <mergeCell ref="K51:L51"/>
    <mergeCell ref="M51:N51"/>
    <mergeCell ref="W51:X51"/>
    <mergeCell ref="Y51:Z51"/>
    <mergeCell ref="AA51:AB51"/>
    <mergeCell ref="AC51:AD51"/>
    <mergeCell ref="AC50:AD50"/>
    <mergeCell ref="W50:X50"/>
    <mergeCell ref="Y50:Z50"/>
    <mergeCell ref="AA50:AB50"/>
  </mergeCells>
  <dataValidations count="6">
    <dataValidation type="list" allowBlank="1" showInputMessage="1" showErrorMessage="1" sqref="J25 H25 F25 L25 N25 P25 R25 T25 V25 X25 Z25 AB25:AC25" xr:uid="{9CA386A6-0B70-4F5C-8928-4A061F5CC77D}">
      <formula1>fee_unit</formula1>
    </dataValidation>
    <dataValidation type="decimal" operator="greaterThanOrEqual" allowBlank="1" showInputMessage="1" showErrorMessage="1" errorTitle="data type error" error="value must be number greater or equal to 0" sqref="D33:E47 G33:G47 I33:I47 W4:W24 AD26:AO31 S4:S24 Q4:Q24 O4:O24 U4:U24 M4:M24 D4:E24 G4:G24 I4:I24 K4:K24 AD33:AO48 AA4:AA24 Y4:Y24 AD4:AO24" xr:uid="{1132A724-CF78-4FBB-A39A-1C8D63929B10}">
      <formula1>0</formula1>
    </dataValidation>
    <dataValidation type="list" allowBlank="1" showInputMessage="1" showErrorMessage="1" sqref="C25" xr:uid="{A1205998-1130-4886-ABDC-D20CD7068F9B}">
      <formula1>rev_class</formula1>
    </dataValidation>
    <dataValidation type="decimal" operator="greaterThanOrEqual" allowBlank="1" showInputMessage="1" showErrorMessage="1" errorTitle="Data Type Error" error="Value must be a number greater than or equal to 0." sqref="AD25:AO25" xr:uid="{D342C1EA-7CD5-4D08-8CA8-1082D1B9BAAC}">
      <formula1>0</formula1>
    </dataValidation>
    <dataValidation type="list" allowBlank="1" showInputMessage="1" showErrorMessage="1" sqref="F33:F47 J33:J47 H33:H47 L33:L47 M33 N33:N47 O33 P33:P47 Q33 R33:R47 S33 T33:T47 U33 V33:V47 AB33:AC47 W33 V4:V24 T4:T24 R4:R24 P4:P24 N4:N24 L4:L24 F4:F24 J4:J24 H4:H24 X4:X24 X33:X47 Y33 Z33:Z47 Z4:Z24 AB4:AC24 AA33" xr:uid="{F646F55D-61C8-453C-93E4-7A98F6E76781}">
      <formula1>"SCH, QCH, SEM, SES, APP, DAY, EACH, MO, ONCE, SUM, VAR, YEAR,DSC"</formula1>
    </dataValidation>
    <dataValidation type="list" allowBlank="1" showInputMessage="1" showErrorMessage="1" sqref="C33:C47 C4:C24" xr:uid="{06B99E4F-4104-4464-A72D-21F1CD67B21B}">
      <formula1>"UnresGen, UnresAuxOprt, Restrct"</formula1>
    </dataValidation>
  </dataValidations>
  <pageMargins left="0.3" right="0.3" top="0.75" bottom="0.3" header="0.3" footer="0.25"/>
  <pageSetup scale="57" orientation="landscape" r:id="rId1"/>
  <headerFooter>
    <oddHeader>&amp;C&amp;"-,Bold"&amp;16UNIVERSITY OF NEBRASKA AT KEARNEY
STUDENT FEE SCHEDULE</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46BDC-CE04-4BEF-B6F4-5694236660B6}">
  <sheetPr>
    <pageSetUpPr fitToPage="1"/>
  </sheetPr>
  <dimension ref="A2:CC170"/>
  <sheetViews>
    <sheetView zoomScale="85" zoomScaleNormal="85" zoomScaleSheetLayoutView="90" workbookViewId="0">
      <pane xSplit="1" ySplit="6" topLeftCell="BM7" activePane="bottomRight" state="frozen"/>
      <selection pane="topRight" activeCell="B1" sqref="B1"/>
      <selection pane="bottomLeft" activeCell="A6" sqref="A6"/>
      <selection pane="bottomRight" activeCell="BW8" sqref="BW8"/>
    </sheetView>
  </sheetViews>
  <sheetFormatPr defaultColWidth="11.42578125" defaultRowHeight="14.25" x14ac:dyDescent="0.2"/>
  <cols>
    <col min="1" max="1" width="41.85546875" style="110" customWidth="1"/>
    <col min="2" max="61" width="15" style="110" hidden="1" customWidth="1"/>
    <col min="62" max="66" width="15" style="110" customWidth="1"/>
    <col min="67" max="67" width="13" style="110" customWidth="1"/>
    <col min="68" max="76" width="15" style="110" customWidth="1"/>
    <col min="77" max="77" width="13" style="110" customWidth="1"/>
    <col min="78" max="81" width="15" style="110" customWidth="1"/>
    <col min="82" max="701" width="11.42578125" style="110"/>
    <col min="702" max="702" width="0" style="110" hidden="1" customWidth="1"/>
    <col min="703" max="16384" width="11.42578125" style="110"/>
  </cols>
  <sheetData>
    <row r="2" spans="1:81" s="201" customFormat="1" ht="23.25" customHeight="1" x14ac:dyDescent="0.3">
      <c r="A2" s="200"/>
      <c r="B2" s="487" t="s">
        <v>72</v>
      </c>
      <c r="C2" s="488"/>
      <c r="D2" s="488"/>
      <c r="E2" s="488"/>
      <c r="F2" s="488"/>
      <c r="G2" s="488"/>
      <c r="H2" s="488"/>
      <c r="I2" s="488"/>
      <c r="J2" s="488"/>
      <c r="K2" s="489"/>
      <c r="L2" s="490" t="s">
        <v>73</v>
      </c>
      <c r="M2" s="491"/>
      <c r="N2" s="491"/>
      <c r="O2" s="491"/>
      <c r="P2" s="491"/>
      <c r="Q2" s="491"/>
      <c r="R2" s="491"/>
      <c r="S2" s="491"/>
      <c r="T2" s="491"/>
      <c r="U2" s="492"/>
      <c r="V2" s="493" t="s">
        <v>74</v>
      </c>
      <c r="W2" s="494"/>
      <c r="X2" s="494"/>
      <c r="Y2" s="494"/>
      <c r="Z2" s="494"/>
      <c r="AA2" s="494"/>
      <c r="AB2" s="494"/>
      <c r="AC2" s="494"/>
      <c r="AD2" s="494"/>
      <c r="AE2" s="495"/>
      <c r="AF2" s="496" t="s">
        <v>75</v>
      </c>
      <c r="AG2" s="497"/>
      <c r="AH2" s="497"/>
      <c r="AI2" s="497"/>
      <c r="AJ2" s="497"/>
      <c r="AK2" s="497"/>
      <c r="AL2" s="497"/>
      <c r="AM2" s="497"/>
      <c r="AN2" s="497"/>
      <c r="AO2" s="498"/>
      <c r="AP2" s="499" t="s">
        <v>76</v>
      </c>
      <c r="AQ2" s="499"/>
      <c r="AR2" s="499"/>
      <c r="AS2" s="499"/>
      <c r="AT2" s="499"/>
      <c r="AU2" s="499"/>
      <c r="AV2" s="499"/>
      <c r="AW2" s="499"/>
      <c r="AX2" s="499"/>
      <c r="AY2" s="500"/>
      <c r="AZ2" s="501" t="s">
        <v>163</v>
      </c>
      <c r="BA2" s="501"/>
      <c r="BB2" s="501"/>
      <c r="BC2" s="501"/>
      <c r="BD2" s="501"/>
      <c r="BE2" s="501"/>
      <c r="BF2" s="501"/>
      <c r="BG2" s="501"/>
      <c r="BH2" s="501"/>
      <c r="BI2" s="502"/>
      <c r="BJ2" s="475" t="s">
        <v>164</v>
      </c>
      <c r="BK2" s="475"/>
      <c r="BL2" s="475"/>
      <c r="BM2" s="475"/>
      <c r="BN2" s="475"/>
      <c r="BO2" s="475"/>
      <c r="BP2" s="475"/>
      <c r="BQ2" s="475"/>
      <c r="BR2" s="475"/>
      <c r="BS2" s="476"/>
      <c r="BT2" s="477" t="s">
        <v>165</v>
      </c>
      <c r="BU2" s="477"/>
      <c r="BV2" s="477"/>
      <c r="BW2" s="477"/>
      <c r="BX2" s="477"/>
      <c r="BY2" s="477"/>
      <c r="BZ2" s="477"/>
      <c r="CA2" s="477"/>
      <c r="CB2" s="477"/>
      <c r="CC2" s="478"/>
    </row>
    <row r="3" spans="1:81" s="219" customFormat="1" x14ac:dyDescent="0.2">
      <c r="A3" s="202"/>
      <c r="B3" s="203"/>
      <c r="C3" s="203"/>
      <c r="D3" s="203"/>
      <c r="E3" s="203"/>
      <c r="F3" s="203"/>
      <c r="G3" s="203"/>
      <c r="H3" s="203"/>
      <c r="I3" s="203"/>
      <c r="J3" s="203"/>
      <c r="K3" s="203"/>
      <c r="L3" s="204"/>
      <c r="M3" s="205"/>
      <c r="N3" s="205"/>
      <c r="O3" s="205"/>
      <c r="P3" s="205"/>
      <c r="Q3" s="205"/>
      <c r="R3" s="205"/>
      <c r="S3" s="205"/>
      <c r="T3" s="205"/>
      <c r="U3" s="206"/>
      <c r="V3" s="207"/>
      <c r="W3" s="207"/>
      <c r="X3" s="207"/>
      <c r="Y3" s="207"/>
      <c r="Z3" s="207"/>
      <c r="AA3" s="207"/>
      <c r="AB3" s="207"/>
      <c r="AC3" s="207"/>
      <c r="AD3" s="207"/>
      <c r="AE3" s="207"/>
      <c r="AF3" s="208"/>
      <c r="AG3" s="209"/>
      <c r="AH3" s="209"/>
      <c r="AI3" s="209"/>
      <c r="AJ3" s="209"/>
      <c r="AK3" s="209"/>
      <c r="AL3" s="209"/>
      <c r="AM3" s="209"/>
      <c r="AN3" s="209"/>
      <c r="AO3" s="210"/>
      <c r="AP3" s="211"/>
      <c r="AQ3" s="211"/>
      <c r="AR3" s="211"/>
      <c r="AS3" s="211"/>
      <c r="AT3" s="211"/>
      <c r="AU3" s="211"/>
      <c r="AV3" s="211"/>
      <c r="AW3" s="211"/>
      <c r="AX3" s="211"/>
      <c r="AY3" s="212"/>
      <c r="AZ3" s="213"/>
      <c r="BA3" s="213"/>
      <c r="BB3" s="213"/>
      <c r="BC3" s="213"/>
      <c r="BD3" s="213"/>
      <c r="BE3" s="213"/>
      <c r="BF3" s="213"/>
      <c r="BG3" s="213"/>
      <c r="BH3" s="213"/>
      <c r="BI3" s="214"/>
      <c r="BJ3" s="215"/>
      <c r="BK3" s="215"/>
      <c r="BL3" s="215"/>
      <c r="BM3" s="215"/>
      <c r="BN3" s="215"/>
      <c r="BO3" s="215"/>
      <c r="BP3" s="215"/>
      <c r="BQ3" s="215"/>
      <c r="BR3" s="215"/>
      <c r="BS3" s="216"/>
      <c r="BT3" s="217"/>
      <c r="BU3" s="217"/>
      <c r="BV3" s="217"/>
      <c r="BW3" s="217"/>
      <c r="BX3" s="217"/>
      <c r="BY3" s="217"/>
      <c r="BZ3" s="217"/>
      <c r="CA3" s="217"/>
      <c r="CB3" s="217"/>
      <c r="CC3" s="218"/>
    </row>
    <row r="4" spans="1:81" s="219" customFormat="1" x14ac:dyDescent="0.2">
      <c r="A4" s="202"/>
      <c r="B4" s="203"/>
      <c r="C4" s="203"/>
      <c r="D4" s="203"/>
      <c r="E4" s="203"/>
      <c r="F4" s="203"/>
      <c r="G4" s="203"/>
      <c r="H4" s="203"/>
      <c r="I4" s="203"/>
      <c r="J4" s="203"/>
      <c r="K4" s="203"/>
      <c r="L4" s="204"/>
      <c r="M4" s="205"/>
      <c r="N4" s="205"/>
      <c r="O4" s="205"/>
      <c r="P4" s="205"/>
      <c r="Q4" s="205"/>
      <c r="R4" s="205"/>
      <c r="S4" s="205"/>
      <c r="T4" s="205"/>
      <c r="U4" s="220"/>
      <c r="V4" s="207"/>
      <c r="W4" s="207"/>
      <c r="X4" s="207"/>
      <c r="Y4" s="207"/>
      <c r="Z4" s="207"/>
      <c r="AA4" s="207"/>
      <c r="AB4" s="207"/>
      <c r="AC4" s="207"/>
      <c r="AD4" s="207"/>
      <c r="AE4" s="207"/>
      <c r="AF4" s="208"/>
      <c r="AG4" s="209"/>
      <c r="AH4" s="209"/>
      <c r="AI4" s="209"/>
      <c r="AJ4" s="209"/>
      <c r="AK4" s="209"/>
      <c r="AL4" s="209"/>
      <c r="AM4" s="209"/>
      <c r="AN4" s="209"/>
      <c r="AO4" s="210"/>
      <c r="AP4" s="211"/>
      <c r="AQ4" s="211"/>
      <c r="AR4" s="211"/>
      <c r="AS4" s="211"/>
      <c r="AT4" s="211"/>
      <c r="AU4" s="211"/>
      <c r="AV4" s="211"/>
      <c r="AW4" s="211"/>
      <c r="AX4" s="211"/>
      <c r="AY4" s="212"/>
      <c r="AZ4" s="213"/>
      <c r="BA4" s="213"/>
      <c r="BB4" s="213"/>
      <c r="BC4" s="213"/>
      <c r="BD4" s="213"/>
      <c r="BE4" s="213"/>
      <c r="BF4" s="213"/>
      <c r="BG4" s="213"/>
      <c r="BH4" s="213"/>
      <c r="BI4" s="214"/>
      <c r="BJ4" s="215"/>
      <c r="BK4" s="215"/>
      <c r="BL4" s="215"/>
      <c r="BM4" s="215"/>
      <c r="BN4" s="215"/>
      <c r="BO4" s="215"/>
      <c r="BP4" s="215"/>
      <c r="BQ4" s="215"/>
      <c r="BR4" s="215"/>
      <c r="BS4" s="216"/>
      <c r="BT4" s="217"/>
      <c r="BU4" s="217"/>
      <c r="BV4" s="217"/>
      <c r="BW4" s="217"/>
      <c r="BX4" s="217"/>
      <c r="BY4" s="217"/>
      <c r="BZ4" s="217"/>
      <c r="CA4" s="217"/>
      <c r="CB4" s="217"/>
      <c r="CC4" s="218"/>
    </row>
    <row r="5" spans="1:81" s="219" customFormat="1" ht="14.25" customHeight="1" x14ac:dyDescent="0.2">
      <c r="A5" s="202"/>
      <c r="B5" s="221"/>
      <c r="C5" s="221"/>
      <c r="D5" s="221"/>
      <c r="E5" s="479" t="s">
        <v>77</v>
      </c>
      <c r="F5" s="479"/>
      <c r="G5" s="479"/>
      <c r="H5" s="479"/>
      <c r="I5" s="479"/>
      <c r="J5" s="357"/>
      <c r="K5" s="222"/>
      <c r="L5" s="223"/>
      <c r="M5" s="224"/>
      <c r="N5" s="224"/>
      <c r="O5" s="480" t="s">
        <v>77</v>
      </c>
      <c r="P5" s="480"/>
      <c r="Q5" s="480"/>
      <c r="R5" s="480"/>
      <c r="S5" s="480"/>
      <c r="T5" s="358"/>
      <c r="U5" s="225"/>
      <c r="V5" s="226"/>
      <c r="W5" s="226"/>
      <c r="X5" s="226"/>
      <c r="Y5" s="481" t="s">
        <v>77</v>
      </c>
      <c r="Z5" s="481"/>
      <c r="AA5" s="481"/>
      <c r="AB5" s="481"/>
      <c r="AC5" s="481"/>
      <c r="AD5" s="359"/>
      <c r="AE5" s="227"/>
      <c r="AF5" s="228"/>
      <c r="AG5" s="229"/>
      <c r="AH5" s="229"/>
      <c r="AI5" s="482" t="s">
        <v>77</v>
      </c>
      <c r="AJ5" s="482"/>
      <c r="AK5" s="482"/>
      <c r="AL5" s="482"/>
      <c r="AM5" s="482"/>
      <c r="AN5" s="360"/>
      <c r="AO5" s="230"/>
      <c r="AP5" s="231"/>
      <c r="AQ5" s="231"/>
      <c r="AR5" s="231"/>
      <c r="AS5" s="483" t="s">
        <v>77</v>
      </c>
      <c r="AT5" s="483"/>
      <c r="AU5" s="483"/>
      <c r="AV5" s="483"/>
      <c r="AW5" s="483"/>
      <c r="AX5" s="361"/>
      <c r="AY5" s="232"/>
      <c r="AZ5" s="233"/>
      <c r="BA5" s="233"/>
      <c r="BB5" s="233"/>
      <c r="BC5" s="484" t="s">
        <v>77</v>
      </c>
      <c r="BD5" s="484"/>
      <c r="BE5" s="484"/>
      <c r="BF5" s="484"/>
      <c r="BG5" s="484"/>
      <c r="BH5" s="362"/>
      <c r="BI5" s="234"/>
      <c r="BJ5" s="235"/>
      <c r="BK5" s="235"/>
      <c r="BL5" s="235"/>
      <c r="BM5" s="485" t="s">
        <v>77</v>
      </c>
      <c r="BN5" s="485"/>
      <c r="BO5" s="485"/>
      <c r="BP5" s="485"/>
      <c r="BQ5" s="485"/>
      <c r="BR5" s="363"/>
      <c r="BS5" s="236"/>
      <c r="BT5" s="237"/>
      <c r="BU5" s="237"/>
      <c r="BV5" s="237"/>
      <c r="BW5" s="486" t="s">
        <v>77</v>
      </c>
      <c r="BX5" s="486"/>
      <c r="BY5" s="486"/>
      <c r="BZ5" s="486"/>
      <c r="CA5" s="486"/>
      <c r="CB5" s="364"/>
      <c r="CC5" s="238"/>
    </row>
    <row r="6" spans="1:81" s="287" customFormat="1" ht="51" customHeight="1" x14ac:dyDescent="0.2">
      <c r="A6" s="239" t="s">
        <v>78</v>
      </c>
      <c r="B6" s="240" t="s">
        <v>79</v>
      </c>
      <c r="C6" s="241" t="s">
        <v>80</v>
      </c>
      <c r="D6" s="242" t="s">
        <v>81</v>
      </c>
      <c r="E6" s="243" t="s">
        <v>82</v>
      </c>
      <c r="F6" s="241" t="s">
        <v>83</v>
      </c>
      <c r="G6" s="241" t="s">
        <v>84</v>
      </c>
      <c r="H6" s="241" t="s">
        <v>85</v>
      </c>
      <c r="I6" s="241" t="s">
        <v>53</v>
      </c>
      <c r="J6" s="244" t="s">
        <v>86</v>
      </c>
      <c r="K6" s="240" t="s">
        <v>233</v>
      </c>
      <c r="L6" s="245" t="s">
        <v>79</v>
      </c>
      <c r="M6" s="246" t="s">
        <v>80</v>
      </c>
      <c r="N6" s="247" t="s">
        <v>81</v>
      </c>
      <c r="O6" s="248" t="s">
        <v>82</v>
      </c>
      <c r="P6" s="246" t="s">
        <v>83</v>
      </c>
      <c r="Q6" s="246" t="s">
        <v>84</v>
      </c>
      <c r="R6" s="246" t="s">
        <v>85</v>
      </c>
      <c r="S6" s="246" t="s">
        <v>53</v>
      </c>
      <c r="T6" s="249" t="s">
        <v>86</v>
      </c>
      <c r="U6" s="250" t="s">
        <v>233</v>
      </c>
      <c r="V6" s="251" t="s">
        <v>79</v>
      </c>
      <c r="W6" s="252" t="s">
        <v>80</v>
      </c>
      <c r="X6" s="253" t="s">
        <v>81</v>
      </c>
      <c r="Y6" s="254" t="s">
        <v>82</v>
      </c>
      <c r="Z6" s="252" t="s">
        <v>83</v>
      </c>
      <c r="AA6" s="252" t="s">
        <v>84</v>
      </c>
      <c r="AB6" s="252" t="s">
        <v>85</v>
      </c>
      <c r="AC6" s="252" t="s">
        <v>53</v>
      </c>
      <c r="AD6" s="255" t="s">
        <v>86</v>
      </c>
      <c r="AE6" s="256" t="s">
        <v>233</v>
      </c>
      <c r="AF6" s="257" t="s">
        <v>79</v>
      </c>
      <c r="AG6" s="258" t="s">
        <v>80</v>
      </c>
      <c r="AH6" s="259" t="s">
        <v>81</v>
      </c>
      <c r="AI6" s="260" t="s">
        <v>82</v>
      </c>
      <c r="AJ6" s="258" t="s">
        <v>83</v>
      </c>
      <c r="AK6" s="258" t="s">
        <v>84</v>
      </c>
      <c r="AL6" s="258" t="s">
        <v>85</v>
      </c>
      <c r="AM6" s="258" t="s">
        <v>53</v>
      </c>
      <c r="AN6" s="261" t="s">
        <v>86</v>
      </c>
      <c r="AO6" s="262" t="s">
        <v>233</v>
      </c>
      <c r="AP6" s="263" t="s">
        <v>79</v>
      </c>
      <c r="AQ6" s="264" t="s">
        <v>80</v>
      </c>
      <c r="AR6" s="265" t="s">
        <v>81</v>
      </c>
      <c r="AS6" s="266" t="s">
        <v>82</v>
      </c>
      <c r="AT6" s="264" t="s">
        <v>83</v>
      </c>
      <c r="AU6" s="264" t="s">
        <v>84</v>
      </c>
      <c r="AV6" s="264" t="s">
        <v>85</v>
      </c>
      <c r="AW6" s="264" t="s">
        <v>53</v>
      </c>
      <c r="AX6" s="267" t="s">
        <v>86</v>
      </c>
      <c r="AY6" s="268" t="s">
        <v>233</v>
      </c>
      <c r="AZ6" s="269" t="s">
        <v>79</v>
      </c>
      <c r="BA6" s="270" t="s">
        <v>80</v>
      </c>
      <c r="BB6" s="271" t="s">
        <v>81</v>
      </c>
      <c r="BC6" s="272" t="s">
        <v>82</v>
      </c>
      <c r="BD6" s="270" t="s">
        <v>83</v>
      </c>
      <c r="BE6" s="270" t="s">
        <v>84</v>
      </c>
      <c r="BF6" s="270" t="s">
        <v>85</v>
      </c>
      <c r="BG6" s="270" t="s">
        <v>53</v>
      </c>
      <c r="BH6" s="273" t="s">
        <v>86</v>
      </c>
      <c r="BI6" s="274" t="s">
        <v>233</v>
      </c>
      <c r="BJ6" s="275" t="s">
        <v>79</v>
      </c>
      <c r="BK6" s="276" t="s">
        <v>80</v>
      </c>
      <c r="BL6" s="277" t="s">
        <v>81</v>
      </c>
      <c r="BM6" s="278" t="s">
        <v>82</v>
      </c>
      <c r="BN6" s="276" t="s">
        <v>83</v>
      </c>
      <c r="BO6" s="276" t="s">
        <v>84</v>
      </c>
      <c r="BP6" s="276" t="s">
        <v>85</v>
      </c>
      <c r="BQ6" s="276" t="s">
        <v>53</v>
      </c>
      <c r="BR6" s="279" t="s">
        <v>86</v>
      </c>
      <c r="BS6" s="280" t="s">
        <v>233</v>
      </c>
      <c r="BT6" s="281" t="s">
        <v>79</v>
      </c>
      <c r="BU6" s="282" t="s">
        <v>80</v>
      </c>
      <c r="BV6" s="283" t="s">
        <v>81</v>
      </c>
      <c r="BW6" s="284" t="s">
        <v>82</v>
      </c>
      <c r="BX6" s="282" t="s">
        <v>83</v>
      </c>
      <c r="BY6" s="282" t="s">
        <v>84</v>
      </c>
      <c r="BZ6" s="282" t="s">
        <v>85</v>
      </c>
      <c r="CA6" s="282" t="s">
        <v>53</v>
      </c>
      <c r="CB6" s="285" t="s">
        <v>86</v>
      </c>
      <c r="CC6" s="286" t="s">
        <v>233</v>
      </c>
    </row>
    <row r="7" spans="1:81" ht="15.95" customHeight="1" x14ac:dyDescent="0.2">
      <c r="A7" s="288"/>
      <c r="B7" s="289"/>
      <c r="C7" s="290"/>
      <c r="D7" s="291"/>
      <c r="E7" s="292"/>
      <c r="F7" s="292"/>
      <c r="G7" s="292"/>
      <c r="H7" s="292"/>
      <c r="I7" s="292"/>
      <c r="J7" s="292"/>
      <c r="K7" s="293"/>
      <c r="L7" s="294"/>
      <c r="M7" s="295"/>
      <c r="N7" s="296"/>
      <c r="O7" s="297"/>
      <c r="P7" s="297"/>
      <c r="Q7" s="297"/>
      <c r="R7" s="297"/>
      <c r="S7" s="297"/>
      <c r="T7" s="297"/>
      <c r="U7" s="293"/>
      <c r="V7" s="298"/>
      <c r="W7" s="295"/>
      <c r="X7" s="296"/>
      <c r="Y7" s="297"/>
      <c r="Z7" s="297"/>
      <c r="AA7" s="297"/>
      <c r="AB7" s="297"/>
      <c r="AC7" s="297"/>
      <c r="AD7" s="297"/>
      <c r="AE7" s="293"/>
      <c r="AF7" s="294"/>
      <c r="AG7" s="295"/>
      <c r="AH7" s="296"/>
      <c r="AI7" s="297"/>
      <c r="AJ7" s="297"/>
      <c r="AK7" s="297"/>
      <c r="AL7" s="297"/>
      <c r="AM7" s="297"/>
      <c r="AN7" s="297"/>
      <c r="AO7" s="293"/>
      <c r="AP7" s="298"/>
      <c r="AQ7" s="295"/>
      <c r="AR7" s="296"/>
      <c r="AS7" s="297"/>
      <c r="AT7" s="297"/>
      <c r="AU7" s="297"/>
      <c r="AV7" s="297"/>
      <c r="AW7" s="297"/>
      <c r="AX7" s="297"/>
      <c r="AY7" s="293"/>
      <c r="AZ7" s="298"/>
      <c r="BA7" s="295"/>
      <c r="BB7" s="296"/>
      <c r="BC7" s="297"/>
      <c r="BD7" s="297"/>
      <c r="BE7" s="297"/>
      <c r="BF7" s="297"/>
      <c r="BG7" s="297"/>
      <c r="BH7" s="297"/>
      <c r="BI7" s="293"/>
      <c r="BJ7" s="298"/>
      <c r="BK7" s="295"/>
      <c r="BL7" s="296"/>
      <c r="BM7" s="297"/>
      <c r="BN7" s="297"/>
      <c r="BO7" s="297"/>
      <c r="BP7" s="297"/>
      <c r="BQ7" s="297"/>
      <c r="BR7" s="297"/>
      <c r="BS7" s="293"/>
      <c r="BT7" s="298"/>
      <c r="BU7" s="295"/>
      <c r="BV7" s="296"/>
      <c r="BW7" s="297"/>
      <c r="BX7" s="297"/>
      <c r="BY7" s="297"/>
      <c r="BZ7" s="297"/>
      <c r="CA7" s="297"/>
      <c r="CB7" s="297"/>
      <c r="CC7" s="293"/>
    </row>
    <row r="8" spans="1:81" s="303" customFormat="1" ht="15.95" customHeight="1" x14ac:dyDescent="0.25">
      <c r="A8" s="299" t="s">
        <v>87</v>
      </c>
      <c r="B8" s="300"/>
      <c r="C8" s="301"/>
      <c r="D8" s="301"/>
      <c r="E8" s="302"/>
      <c r="F8" s="302"/>
      <c r="G8" s="302"/>
      <c r="H8" s="302"/>
      <c r="I8" s="302"/>
      <c r="J8" s="302"/>
      <c r="K8" s="293"/>
      <c r="L8" s="294"/>
      <c r="M8" s="295"/>
      <c r="N8" s="295"/>
      <c r="O8" s="297"/>
      <c r="P8" s="297"/>
      <c r="Q8" s="297"/>
      <c r="R8" s="297"/>
      <c r="S8" s="297"/>
      <c r="T8" s="297"/>
      <c r="U8" s="293"/>
      <c r="V8" s="298"/>
      <c r="W8" s="295"/>
      <c r="X8" s="295"/>
      <c r="Y8" s="297"/>
      <c r="Z8" s="297"/>
      <c r="AA8" s="297"/>
      <c r="AB8" s="297"/>
      <c r="AC8" s="297"/>
      <c r="AD8" s="297"/>
      <c r="AE8" s="293"/>
      <c r="AF8" s="294"/>
      <c r="AG8" s="295"/>
      <c r="AH8" s="295"/>
      <c r="AI8" s="297"/>
      <c r="AJ8" s="297"/>
      <c r="AK8" s="297"/>
      <c r="AL8" s="297"/>
      <c r="AM8" s="297"/>
      <c r="AN8" s="297"/>
      <c r="AO8" s="293"/>
      <c r="AP8" s="298"/>
      <c r="AQ8" s="295"/>
      <c r="AR8" s="295"/>
      <c r="AS8" s="297"/>
      <c r="AT8" s="297"/>
      <c r="AU8" s="297"/>
      <c r="AV8" s="297"/>
      <c r="AW8" s="297"/>
      <c r="AX8" s="297"/>
      <c r="AY8" s="293"/>
      <c r="AZ8" s="298"/>
      <c r="BA8" s="295"/>
      <c r="BB8" s="295"/>
      <c r="BC8" s="297"/>
      <c r="BD8" s="297"/>
      <c r="BE8" s="297"/>
      <c r="BF8" s="297"/>
      <c r="BG8" s="297"/>
      <c r="BH8" s="297"/>
      <c r="BI8" s="293"/>
      <c r="BJ8" s="298"/>
      <c r="BK8" s="295"/>
      <c r="BL8" s="295"/>
      <c r="BM8" s="297"/>
      <c r="BN8" s="297"/>
      <c r="BO8" s="297"/>
      <c r="BP8" s="297"/>
      <c r="BQ8" s="297"/>
      <c r="BR8" s="297"/>
      <c r="BS8" s="293"/>
      <c r="BT8" s="298"/>
      <c r="BU8" s="295"/>
      <c r="BV8" s="295"/>
      <c r="BW8" s="297"/>
      <c r="BX8" s="297"/>
      <c r="BY8" s="297"/>
      <c r="BZ8" s="297"/>
      <c r="CA8" s="297"/>
      <c r="CB8" s="297"/>
      <c r="CC8" s="293"/>
    </row>
    <row r="9" spans="1:81" ht="15.95" customHeight="1" x14ac:dyDescent="0.2">
      <c r="A9" s="304"/>
      <c r="B9" s="289"/>
      <c r="C9" s="290"/>
      <c r="D9" s="290"/>
      <c r="E9" s="292"/>
      <c r="F9" s="292"/>
      <c r="G9" s="292"/>
      <c r="H9" s="292"/>
      <c r="I9" s="292"/>
      <c r="J9" s="292"/>
      <c r="K9" s="293"/>
      <c r="L9" s="294"/>
      <c r="M9" s="295"/>
      <c r="N9" s="295"/>
      <c r="O9" s="297"/>
      <c r="P9" s="297"/>
      <c r="Q9" s="297"/>
      <c r="R9" s="297"/>
      <c r="S9" s="297"/>
      <c r="T9" s="297"/>
      <c r="U9" s="293"/>
      <c r="V9" s="298"/>
      <c r="W9" s="295"/>
      <c r="X9" s="295"/>
      <c r="Y9" s="297"/>
      <c r="Z9" s="297"/>
      <c r="AA9" s="297"/>
      <c r="AB9" s="297"/>
      <c r="AC9" s="297"/>
      <c r="AD9" s="297"/>
      <c r="AE9" s="293"/>
      <c r="AF9" s="294"/>
      <c r="AG9" s="295"/>
      <c r="AH9" s="295"/>
      <c r="AI9" s="297"/>
      <c r="AJ9" s="297"/>
      <c r="AK9" s="297"/>
      <c r="AL9" s="297"/>
      <c r="AM9" s="297"/>
      <c r="AN9" s="297"/>
      <c r="AO9" s="293"/>
      <c r="AP9" s="298"/>
      <c r="AQ9" s="295"/>
      <c r="AR9" s="295"/>
      <c r="AS9" s="297"/>
      <c r="AT9" s="297"/>
      <c r="AU9" s="297"/>
      <c r="AV9" s="297"/>
      <c r="AW9" s="297"/>
      <c r="AX9" s="297"/>
      <c r="AY9" s="293"/>
      <c r="AZ9" s="298"/>
      <c r="BA9" s="295"/>
      <c r="BB9" s="295"/>
      <c r="BC9" s="297"/>
      <c r="BD9" s="297"/>
      <c r="BE9" s="297"/>
      <c r="BF9" s="297"/>
      <c r="BG9" s="297"/>
      <c r="BH9" s="297"/>
      <c r="BI9" s="293"/>
      <c r="BJ9" s="298"/>
      <c r="BK9" s="295"/>
      <c r="BL9" s="295"/>
      <c r="BM9" s="297"/>
      <c r="BN9" s="297"/>
      <c r="BO9" s="297"/>
      <c r="BP9" s="297"/>
      <c r="BQ9" s="297"/>
      <c r="BR9" s="297"/>
      <c r="BS9" s="293"/>
      <c r="BT9" s="298"/>
      <c r="BU9" s="295"/>
      <c r="BV9" s="295"/>
      <c r="BW9" s="297"/>
      <c r="BX9" s="297"/>
      <c r="BY9" s="297"/>
      <c r="BZ9" s="297"/>
      <c r="CA9" s="297"/>
      <c r="CB9" s="297"/>
      <c r="CC9" s="293"/>
    </row>
    <row r="10" spans="1:81" ht="15.95" customHeight="1" x14ac:dyDescent="0.2">
      <c r="A10" s="305" t="s">
        <v>88</v>
      </c>
      <c r="B10" s="306"/>
      <c r="C10" s="290"/>
      <c r="D10" s="290"/>
      <c r="E10" s="292"/>
      <c r="F10" s="292"/>
      <c r="G10" s="292"/>
      <c r="H10" s="292"/>
      <c r="I10" s="292"/>
      <c r="J10" s="292"/>
      <c r="K10" s="293"/>
      <c r="L10" s="294"/>
      <c r="M10" s="295"/>
      <c r="N10" s="295"/>
      <c r="O10" s="297"/>
      <c r="P10" s="297"/>
      <c r="Q10" s="297"/>
      <c r="R10" s="297"/>
      <c r="S10" s="297"/>
      <c r="T10" s="297"/>
      <c r="U10" s="293"/>
      <c r="V10" s="298"/>
      <c r="W10" s="295"/>
      <c r="X10" s="295"/>
      <c r="Y10" s="297"/>
      <c r="Z10" s="297"/>
      <c r="AA10" s="297"/>
      <c r="AB10" s="297"/>
      <c r="AC10" s="297"/>
      <c r="AD10" s="297"/>
      <c r="AE10" s="293"/>
      <c r="AF10" s="294"/>
      <c r="AG10" s="295"/>
      <c r="AH10" s="295"/>
      <c r="AI10" s="297"/>
      <c r="AJ10" s="297"/>
      <c r="AK10" s="297"/>
      <c r="AL10" s="297"/>
      <c r="AM10" s="297"/>
      <c r="AN10" s="297"/>
      <c r="AO10" s="293"/>
      <c r="AP10" s="298"/>
      <c r="AQ10" s="295"/>
      <c r="AR10" s="295"/>
      <c r="AS10" s="297"/>
      <c r="AT10" s="297"/>
      <c r="AU10" s="297"/>
      <c r="AV10" s="297"/>
      <c r="AW10" s="297"/>
      <c r="AX10" s="297"/>
      <c r="AY10" s="293"/>
      <c r="AZ10" s="298"/>
      <c r="BA10" s="295"/>
      <c r="BB10" s="295"/>
      <c r="BC10" s="297"/>
      <c r="BD10" s="297"/>
      <c r="BE10" s="297"/>
      <c r="BF10" s="297"/>
      <c r="BG10" s="297"/>
      <c r="BH10" s="297"/>
      <c r="BI10" s="293"/>
      <c r="BJ10" s="298"/>
      <c r="BK10" s="295"/>
      <c r="BL10" s="295"/>
      <c r="BM10" s="297"/>
      <c r="BN10" s="297"/>
      <c r="BO10" s="297"/>
      <c r="BP10" s="297"/>
      <c r="BQ10" s="297"/>
      <c r="BR10" s="297"/>
      <c r="BS10" s="293"/>
      <c r="BT10" s="298"/>
      <c r="BU10" s="295"/>
      <c r="BV10" s="295"/>
      <c r="BW10" s="297"/>
      <c r="BX10" s="297"/>
      <c r="BY10" s="297"/>
      <c r="BZ10" s="297"/>
      <c r="CA10" s="297"/>
      <c r="CB10" s="297"/>
      <c r="CC10" s="293"/>
    </row>
    <row r="11" spans="1:81" s="308" customFormat="1" ht="15.95" customHeight="1" x14ac:dyDescent="0.2">
      <c r="A11" s="307" t="s">
        <v>89</v>
      </c>
      <c r="B11" s="298">
        <v>24</v>
      </c>
      <c r="C11" s="295">
        <f t="shared" ref="C11:C30" si="0">SUM(E11:I11)</f>
        <v>6169</v>
      </c>
      <c r="D11" s="295">
        <f t="shared" ref="D11:D30" si="1">IFERROR(C11/B11,0)</f>
        <v>257.04166666666669</v>
      </c>
      <c r="E11" s="297">
        <v>0</v>
      </c>
      <c r="F11" s="297">
        <v>0</v>
      </c>
      <c r="G11" s="297">
        <v>6169</v>
      </c>
      <c r="H11" s="297">
        <v>0</v>
      </c>
      <c r="I11" s="297">
        <v>0</v>
      </c>
      <c r="J11" s="297">
        <v>6169</v>
      </c>
      <c r="K11" s="293">
        <f t="shared" ref="K11:K30" si="2">IF(J11=0,0,(IF(E11&lt;=J11,E11,J11)))</f>
        <v>0</v>
      </c>
      <c r="L11" s="294">
        <v>29</v>
      </c>
      <c r="M11" s="295">
        <f t="shared" ref="M11:M30" si="3">SUM(O11:S11)</f>
        <v>7500</v>
      </c>
      <c r="N11" s="295">
        <f t="shared" ref="N11:N30" si="4">IFERROR(M11/L11,0)</f>
        <v>258.62068965517244</v>
      </c>
      <c r="O11" s="297">
        <v>0</v>
      </c>
      <c r="P11" s="297">
        <v>0</v>
      </c>
      <c r="Q11" s="297">
        <v>7500</v>
      </c>
      <c r="R11" s="297">
        <v>0</v>
      </c>
      <c r="S11" s="297">
        <v>0</v>
      </c>
      <c r="T11" s="297">
        <v>7500</v>
      </c>
      <c r="U11" s="293">
        <f t="shared" ref="U11:U30" si="5">IF(T11=0,0,(IF(O11&lt;=T11,O11,T11)))</f>
        <v>0</v>
      </c>
      <c r="V11" s="298">
        <v>22</v>
      </c>
      <c r="W11" s="295">
        <f t="shared" ref="W11:W30" si="6">SUM(Y11:AC11)</f>
        <v>5325</v>
      </c>
      <c r="X11" s="295">
        <f t="shared" ref="X11:X30" si="7">IFERROR(W11/V11,0)</f>
        <v>242.04545454545453</v>
      </c>
      <c r="Y11" s="297">
        <v>0</v>
      </c>
      <c r="Z11" s="297">
        <v>0</v>
      </c>
      <c r="AA11" s="297">
        <v>5325</v>
      </c>
      <c r="AB11" s="297">
        <v>0</v>
      </c>
      <c r="AC11" s="297">
        <v>0</v>
      </c>
      <c r="AD11" s="297">
        <v>5325</v>
      </c>
      <c r="AE11" s="293">
        <f t="shared" ref="AE11:AE30" si="8">IF(AD11=0,0,(IF(Y11&lt;=AD11,Y11,AD11)))</f>
        <v>0</v>
      </c>
      <c r="AF11" s="294">
        <v>22</v>
      </c>
      <c r="AG11" s="295">
        <f t="shared" ref="AG11:AG30" si="9">SUM(AI11:AM11)</f>
        <v>6075</v>
      </c>
      <c r="AH11" s="295">
        <f t="shared" ref="AH11:AH30" si="10">IFERROR(AG11/AF11,0)</f>
        <v>276.13636363636363</v>
      </c>
      <c r="AI11" s="297">
        <v>0</v>
      </c>
      <c r="AJ11" s="297">
        <v>0</v>
      </c>
      <c r="AK11" s="297">
        <v>6075</v>
      </c>
      <c r="AL11" s="297">
        <v>0</v>
      </c>
      <c r="AM11" s="297">
        <v>0</v>
      </c>
      <c r="AN11" s="297">
        <v>6075</v>
      </c>
      <c r="AO11" s="293">
        <f t="shared" ref="AO11:AO30" si="11">IF(AN11=0,0,(IF(AI11&lt;=AN11,AI11,AN11)))</f>
        <v>0</v>
      </c>
      <c r="AP11" s="298">
        <v>29</v>
      </c>
      <c r="AQ11" s="295">
        <f t="shared" ref="AQ11:AQ30" si="12">SUM(AS11:AW11)</f>
        <v>7950</v>
      </c>
      <c r="AR11" s="295">
        <f t="shared" ref="AR11:AR30" si="13">IFERROR(AQ11/AP11,0)</f>
        <v>274.13793103448273</v>
      </c>
      <c r="AS11" s="297">
        <v>0</v>
      </c>
      <c r="AT11" s="297">
        <v>0</v>
      </c>
      <c r="AU11" s="297">
        <v>7950</v>
      </c>
      <c r="AV11" s="297">
        <v>0</v>
      </c>
      <c r="AW11" s="297">
        <v>0</v>
      </c>
      <c r="AX11" s="297">
        <v>7950</v>
      </c>
      <c r="AY11" s="293">
        <f t="shared" ref="AY11:AY30" si="14">IF(AX11=0,0,(IF(AS11&lt;=AX11,AS11,AX11)))</f>
        <v>0</v>
      </c>
      <c r="AZ11" s="298">
        <v>34</v>
      </c>
      <c r="BA11" s="295">
        <f t="shared" ref="BA11:BA30" si="15">SUM(BC11:BG11)</f>
        <v>14550</v>
      </c>
      <c r="BB11" s="295">
        <f t="shared" ref="BB11:BB30" si="16">IFERROR(BA11/AZ11,0)</f>
        <v>427.94117647058823</v>
      </c>
      <c r="BC11" s="297">
        <v>0</v>
      </c>
      <c r="BD11" s="297">
        <v>0</v>
      </c>
      <c r="BE11" s="297">
        <v>14550</v>
      </c>
      <c r="BF11" s="297">
        <v>0</v>
      </c>
      <c r="BG11" s="297">
        <v>0</v>
      </c>
      <c r="BH11" s="297">
        <v>14550</v>
      </c>
      <c r="BI11" s="293">
        <f t="shared" ref="BI11:BI30" si="17">IF(BH11=0,0,(IF(BC11&lt;=BH11,BC11,BH11)))</f>
        <v>0</v>
      </c>
      <c r="BJ11" s="298">
        <v>61</v>
      </c>
      <c r="BK11" s="295">
        <f t="shared" ref="BK11:BK30" si="18">SUM(BM11:BQ11)</f>
        <v>16200</v>
      </c>
      <c r="BL11" s="295">
        <f t="shared" ref="BL11:BL30" si="19">IFERROR(BK11/BJ11,0)</f>
        <v>265.57377049180326</v>
      </c>
      <c r="BM11" s="297"/>
      <c r="BN11" s="297"/>
      <c r="BO11" s="297">
        <v>16200</v>
      </c>
      <c r="BP11" s="297"/>
      <c r="BQ11" s="297"/>
      <c r="BR11" s="297">
        <v>16200</v>
      </c>
      <c r="BS11" s="293">
        <f t="shared" ref="BS11:BS30" si="20">IF(BR11=0,0,(IF(BM11&lt;=BR11,BM11,BR11)))</f>
        <v>0</v>
      </c>
      <c r="BT11" s="12">
        <v>56</v>
      </c>
      <c r="BU11" s="295">
        <f t="shared" ref="BU11:BU30" si="21">SUM(BW11:CA11)</f>
        <v>15600</v>
      </c>
      <c r="BV11" s="295">
        <f t="shared" ref="BV11:BV30" si="22">IFERROR(BU11/BT11,0)</f>
        <v>278.57142857142856</v>
      </c>
      <c r="BW11" s="11"/>
      <c r="BX11" s="11"/>
      <c r="BY11" s="11">
        <v>15600</v>
      </c>
      <c r="BZ11" s="11"/>
      <c r="CA11" s="11"/>
      <c r="CB11" s="11">
        <v>15600</v>
      </c>
      <c r="CC11" s="293">
        <f t="shared" ref="CC11:CC30" si="23">IF(CB11=0,0,(IF(BW11&lt;=CB11,BW11,CB11)))</f>
        <v>0</v>
      </c>
    </row>
    <row r="12" spans="1:81" s="308" customFormat="1" ht="15.95" customHeight="1" x14ac:dyDescent="0.2">
      <c r="A12" s="307" t="s">
        <v>90</v>
      </c>
      <c r="B12" s="298">
        <v>30</v>
      </c>
      <c r="C12" s="295">
        <f t="shared" si="0"/>
        <v>23000</v>
      </c>
      <c r="D12" s="295">
        <f t="shared" si="1"/>
        <v>766.66666666666663</v>
      </c>
      <c r="E12" s="297">
        <v>0</v>
      </c>
      <c r="F12" s="297">
        <v>0</v>
      </c>
      <c r="G12" s="297">
        <v>23000</v>
      </c>
      <c r="H12" s="297">
        <v>0</v>
      </c>
      <c r="I12" s="297">
        <v>0</v>
      </c>
      <c r="J12" s="297">
        <v>23000</v>
      </c>
      <c r="K12" s="293">
        <f t="shared" si="2"/>
        <v>0</v>
      </c>
      <c r="L12" s="294">
        <v>0</v>
      </c>
      <c r="M12" s="295">
        <f t="shared" si="3"/>
        <v>0</v>
      </c>
      <c r="N12" s="295">
        <f t="shared" si="4"/>
        <v>0</v>
      </c>
      <c r="O12" s="297">
        <v>0</v>
      </c>
      <c r="P12" s="297">
        <v>0</v>
      </c>
      <c r="Q12" s="297">
        <v>0</v>
      </c>
      <c r="R12" s="297">
        <v>0</v>
      </c>
      <c r="S12" s="297">
        <v>0</v>
      </c>
      <c r="T12" s="297">
        <v>0</v>
      </c>
      <c r="U12" s="293">
        <f t="shared" si="5"/>
        <v>0</v>
      </c>
      <c r="V12" s="298">
        <v>0</v>
      </c>
      <c r="W12" s="295">
        <f t="shared" si="6"/>
        <v>0</v>
      </c>
      <c r="X12" s="295">
        <f t="shared" si="7"/>
        <v>0</v>
      </c>
      <c r="Y12" s="297">
        <v>0</v>
      </c>
      <c r="Z12" s="297">
        <v>0</v>
      </c>
      <c r="AA12" s="297">
        <v>0</v>
      </c>
      <c r="AB12" s="297">
        <v>0</v>
      </c>
      <c r="AC12" s="297">
        <v>0</v>
      </c>
      <c r="AD12" s="297">
        <v>0</v>
      </c>
      <c r="AE12" s="293">
        <f t="shared" si="8"/>
        <v>0</v>
      </c>
      <c r="AF12" s="294">
        <v>0</v>
      </c>
      <c r="AG12" s="295">
        <f t="shared" si="9"/>
        <v>0</v>
      </c>
      <c r="AH12" s="295">
        <f t="shared" si="10"/>
        <v>0</v>
      </c>
      <c r="AI12" s="297">
        <v>0</v>
      </c>
      <c r="AJ12" s="297">
        <v>0</v>
      </c>
      <c r="AK12" s="297">
        <v>0</v>
      </c>
      <c r="AL12" s="297">
        <v>0</v>
      </c>
      <c r="AM12" s="297">
        <v>0</v>
      </c>
      <c r="AN12" s="297">
        <v>0</v>
      </c>
      <c r="AO12" s="293">
        <f t="shared" si="11"/>
        <v>0</v>
      </c>
      <c r="AP12" s="298">
        <v>0</v>
      </c>
      <c r="AQ12" s="295">
        <f t="shared" si="12"/>
        <v>0</v>
      </c>
      <c r="AR12" s="295">
        <f t="shared" si="13"/>
        <v>0</v>
      </c>
      <c r="AS12" s="297">
        <v>0</v>
      </c>
      <c r="AT12" s="297">
        <v>0</v>
      </c>
      <c r="AU12" s="297">
        <v>0</v>
      </c>
      <c r="AV12" s="297">
        <v>0</v>
      </c>
      <c r="AW12" s="297">
        <v>0</v>
      </c>
      <c r="AX12" s="297">
        <v>0</v>
      </c>
      <c r="AY12" s="293">
        <f t="shared" si="14"/>
        <v>0</v>
      </c>
      <c r="AZ12" s="298">
        <v>0</v>
      </c>
      <c r="BA12" s="295">
        <f t="shared" si="15"/>
        <v>0</v>
      </c>
      <c r="BB12" s="295">
        <f t="shared" si="16"/>
        <v>0</v>
      </c>
      <c r="BC12" s="297">
        <v>0</v>
      </c>
      <c r="BD12" s="297">
        <v>0</v>
      </c>
      <c r="BE12" s="297">
        <v>0</v>
      </c>
      <c r="BF12" s="297">
        <v>0</v>
      </c>
      <c r="BG12" s="297">
        <v>0</v>
      </c>
      <c r="BH12" s="297">
        <v>0</v>
      </c>
      <c r="BI12" s="293">
        <f t="shared" si="17"/>
        <v>0</v>
      </c>
      <c r="BJ12" s="298"/>
      <c r="BK12" s="295">
        <f t="shared" si="18"/>
        <v>0</v>
      </c>
      <c r="BL12" s="295">
        <f t="shared" si="19"/>
        <v>0</v>
      </c>
      <c r="BM12" s="297"/>
      <c r="BN12" s="297"/>
      <c r="BO12" s="297">
        <v>0</v>
      </c>
      <c r="BP12" s="297"/>
      <c r="BQ12" s="297"/>
      <c r="BR12" s="297">
        <v>0</v>
      </c>
      <c r="BS12" s="293">
        <f t="shared" si="20"/>
        <v>0</v>
      </c>
      <c r="BT12" s="12"/>
      <c r="BU12" s="295">
        <f t="shared" si="21"/>
        <v>0</v>
      </c>
      <c r="BV12" s="295">
        <f t="shared" si="22"/>
        <v>0</v>
      </c>
      <c r="BW12" s="11"/>
      <c r="BX12" s="11"/>
      <c r="BY12" s="11">
        <v>0</v>
      </c>
      <c r="BZ12" s="11"/>
      <c r="CA12" s="11"/>
      <c r="CB12" s="11">
        <v>0</v>
      </c>
      <c r="CC12" s="293">
        <f t="shared" si="23"/>
        <v>0</v>
      </c>
    </row>
    <row r="13" spans="1:81" s="308" customFormat="1" ht="15.95" customHeight="1" x14ac:dyDescent="0.2">
      <c r="A13" s="307" t="s">
        <v>91</v>
      </c>
      <c r="B13" s="298">
        <v>238</v>
      </c>
      <c r="C13" s="295">
        <f t="shared" si="0"/>
        <v>567085</v>
      </c>
      <c r="D13" s="295">
        <f t="shared" si="1"/>
        <v>2382.7100840336134</v>
      </c>
      <c r="E13" s="297">
        <v>0</v>
      </c>
      <c r="F13" s="297">
        <v>567085</v>
      </c>
      <c r="G13" s="297">
        <v>0</v>
      </c>
      <c r="H13" s="297">
        <v>0</v>
      </c>
      <c r="I13" s="297">
        <v>0</v>
      </c>
      <c r="J13" s="297">
        <v>567085</v>
      </c>
      <c r="K13" s="293">
        <f t="shared" si="2"/>
        <v>0</v>
      </c>
      <c r="L13" s="294">
        <v>295</v>
      </c>
      <c r="M13" s="295">
        <f t="shared" si="3"/>
        <v>581371</v>
      </c>
      <c r="N13" s="295">
        <f t="shared" si="4"/>
        <v>1970.7491525423729</v>
      </c>
      <c r="O13" s="297">
        <v>0</v>
      </c>
      <c r="P13" s="297">
        <v>581371</v>
      </c>
      <c r="Q13" s="297">
        <v>0</v>
      </c>
      <c r="R13" s="297">
        <v>0</v>
      </c>
      <c r="S13" s="297">
        <v>0</v>
      </c>
      <c r="T13" s="297">
        <v>577681</v>
      </c>
      <c r="U13" s="293">
        <f t="shared" si="5"/>
        <v>0</v>
      </c>
      <c r="V13" s="298">
        <v>307</v>
      </c>
      <c r="W13" s="295">
        <f t="shared" si="6"/>
        <v>566103</v>
      </c>
      <c r="X13" s="295">
        <f t="shared" si="7"/>
        <v>1843.9837133550488</v>
      </c>
      <c r="Y13" s="297">
        <v>0</v>
      </c>
      <c r="Z13" s="297">
        <v>566103</v>
      </c>
      <c r="AA13" s="297">
        <v>0</v>
      </c>
      <c r="AB13" s="297">
        <v>0</v>
      </c>
      <c r="AC13" s="297">
        <v>0</v>
      </c>
      <c r="AD13" s="297">
        <v>561234</v>
      </c>
      <c r="AE13" s="293">
        <f t="shared" si="8"/>
        <v>0</v>
      </c>
      <c r="AF13" s="294">
        <v>437</v>
      </c>
      <c r="AG13" s="295">
        <f t="shared" si="9"/>
        <v>993902</v>
      </c>
      <c r="AH13" s="295">
        <f t="shared" si="10"/>
        <v>2274.3752860411901</v>
      </c>
      <c r="AI13" s="297">
        <v>0</v>
      </c>
      <c r="AJ13" s="297">
        <v>993902</v>
      </c>
      <c r="AK13" s="297">
        <v>0</v>
      </c>
      <c r="AL13" s="297">
        <v>0</v>
      </c>
      <c r="AM13" s="297">
        <v>0</v>
      </c>
      <c r="AN13" s="297">
        <v>993902</v>
      </c>
      <c r="AO13" s="293">
        <f t="shared" si="11"/>
        <v>0</v>
      </c>
      <c r="AP13" s="298">
        <v>469</v>
      </c>
      <c r="AQ13" s="295">
        <f t="shared" si="12"/>
        <v>847283</v>
      </c>
      <c r="AR13" s="295">
        <f t="shared" si="13"/>
        <v>1806.5735607675906</v>
      </c>
      <c r="AS13" s="297">
        <v>0</v>
      </c>
      <c r="AT13" s="297">
        <v>847283</v>
      </c>
      <c r="AU13" s="297">
        <v>0</v>
      </c>
      <c r="AV13" s="297">
        <v>0</v>
      </c>
      <c r="AW13" s="297">
        <v>0</v>
      </c>
      <c r="AX13" s="297">
        <v>845735</v>
      </c>
      <c r="AY13" s="293">
        <f t="shared" si="14"/>
        <v>0</v>
      </c>
      <c r="AZ13" s="298">
        <v>0</v>
      </c>
      <c r="BA13" s="295">
        <f t="shared" si="15"/>
        <v>0</v>
      </c>
      <c r="BB13" s="295">
        <f t="shared" si="16"/>
        <v>0</v>
      </c>
      <c r="BC13" s="297">
        <v>0</v>
      </c>
      <c r="BD13" s="297">
        <v>0</v>
      </c>
      <c r="BE13" s="297">
        <v>0</v>
      </c>
      <c r="BF13" s="297">
        <v>0</v>
      </c>
      <c r="BG13" s="297">
        <v>0</v>
      </c>
      <c r="BH13" s="297">
        <v>0</v>
      </c>
      <c r="BI13" s="293">
        <f t="shared" si="17"/>
        <v>0</v>
      </c>
      <c r="BJ13" s="298"/>
      <c r="BK13" s="295">
        <f t="shared" si="18"/>
        <v>0</v>
      </c>
      <c r="BL13" s="295">
        <f t="shared" si="19"/>
        <v>0</v>
      </c>
      <c r="BM13" s="297"/>
      <c r="BN13" s="297"/>
      <c r="BO13" s="297">
        <v>0</v>
      </c>
      <c r="BP13" s="297"/>
      <c r="BQ13" s="297"/>
      <c r="BR13" s="297">
        <v>0</v>
      </c>
      <c r="BS13" s="293">
        <f t="shared" si="20"/>
        <v>0</v>
      </c>
      <c r="BT13" s="12"/>
      <c r="BU13" s="295">
        <f t="shared" si="21"/>
        <v>0</v>
      </c>
      <c r="BV13" s="295">
        <f t="shared" si="22"/>
        <v>0</v>
      </c>
      <c r="BW13" s="11"/>
      <c r="BX13" s="11"/>
      <c r="BY13" s="11">
        <v>0</v>
      </c>
      <c r="BZ13" s="11"/>
      <c r="CA13" s="11"/>
      <c r="CB13" s="11">
        <v>0</v>
      </c>
      <c r="CC13" s="293">
        <f t="shared" si="23"/>
        <v>0</v>
      </c>
    </row>
    <row r="14" spans="1:81" s="308" customFormat="1" ht="15.95" customHeight="1" x14ac:dyDescent="0.2">
      <c r="A14" s="307" t="s">
        <v>92</v>
      </c>
      <c r="B14" s="298">
        <v>2088</v>
      </c>
      <c r="C14" s="295">
        <f t="shared" si="0"/>
        <v>7726498</v>
      </c>
      <c r="D14" s="295">
        <f t="shared" si="1"/>
        <v>3700.4300766283527</v>
      </c>
      <c r="E14" s="297">
        <v>0</v>
      </c>
      <c r="F14" s="297">
        <v>0</v>
      </c>
      <c r="G14" s="297">
        <v>0</v>
      </c>
      <c r="H14" s="297">
        <v>7726498</v>
      </c>
      <c r="I14" s="297">
        <v>0</v>
      </c>
      <c r="J14" s="297">
        <v>7078692</v>
      </c>
      <c r="K14" s="293">
        <f t="shared" si="2"/>
        <v>0</v>
      </c>
      <c r="L14" s="294">
        <v>2042</v>
      </c>
      <c r="M14" s="295">
        <f t="shared" si="3"/>
        <v>7636346</v>
      </c>
      <c r="N14" s="295">
        <f t="shared" si="4"/>
        <v>3739.6405484818806</v>
      </c>
      <c r="O14" s="297">
        <v>0</v>
      </c>
      <c r="P14" s="297">
        <v>0</v>
      </c>
      <c r="Q14" s="297">
        <v>0</v>
      </c>
      <c r="R14" s="297">
        <v>7636346</v>
      </c>
      <c r="S14" s="297">
        <v>0</v>
      </c>
      <c r="T14" s="297">
        <v>7010201</v>
      </c>
      <c r="U14" s="293">
        <f t="shared" si="5"/>
        <v>0</v>
      </c>
      <c r="V14" s="298">
        <v>1923</v>
      </c>
      <c r="W14" s="295">
        <f t="shared" si="6"/>
        <v>7389160</v>
      </c>
      <c r="X14" s="295">
        <f t="shared" si="7"/>
        <v>3842.516900676027</v>
      </c>
      <c r="Y14" s="297">
        <v>0</v>
      </c>
      <c r="Z14" s="297">
        <v>0</v>
      </c>
      <c r="AA14" s="297">
        <v>0</v>
      </c>
      <c r="AB14" s="297">
        <v>7389160</v>
      </c>
      <c r="AC14" s="297">
        <v>0</v>
      </c>
      <c r="AD14" s="297">
        <v>6778243</v>
      </c>
      <c r="AE14" s="293">
        <f t="shared" si="8"/>
        <v>0</v>
      </c>
      <c r="AF14" s="294">
        <v>1842</v>
      </c>
      <c r="AG14" s="295">
        <f t="shared" si="9"/>
        <v>6603004</v>
      </c>
      <c r="AH14" s="295">
        <f t="shared" si="10"/>
        <v>3584.6927252985884</v>
      </c>
      <c r="AI14" s="297">
        <v>0</v>
      </c>
      <c r="AJ14" s="297">
        <v>0</v>
      </c>
      <c r="AK14" s="297">
        <v>0</v>
      </c>
      <c r="AL14" s="297">
        <v>6603004</v>
      </c>
      <c r="AM14" s="297">
        <v>0</v>
      </c>
      <c r="AN14" s="297">
        <v>6094053</v>
      </c>
      <c r="AO14" s="293">
        <f t="shared" si="11"/>
        <v>0</v>
      </c>
      <c r="AP14" s="298">
        <v>1656</v>
      </c>
      <c r="AQ14" s="295">
        <f t="shared" si="12"/>
        <v>6329783</v>
      </c>
      <c r="AR14" s="295">
        <f t="shared" si="13"/>
        <v>3822.3327294685992</v>
      </c>
      <c r="AS14" s="297">
        <v>0</v>
      </c>
      <c r="AT14" s="297">
        <v>0</v>
      </c>
      <c r="AU14" s="297">
        <v>0</v>
      </c>
      <c r="AV14" s="297">
        <v>6329783</v>
      </c>
      <c r="AW14" s="297">
        <v>0</v>
      </c>
      <c r="AX14" s="297">
        <v>5793538</v>
      </c>
      <c r="AY14" s="293">
        <f t="shared" si="14"/>
        <v>0</v>
      </c>
      <c r="AZ14" s="298">
        <v>1607</v>
      </c>
      <c r="BA14" s="295">
        <f t="shared" si="15"/>
        <v>5954726</v>
      </c>
      <c r="BB14" s="295">
        <f t="shared" si="16"/>
        <v>3705.4922215308029</v>
      </c>
      <c r="BC14" s="297">
        <v>0</v>
      </c>
      <c r="BD14" s="297">
        <v>0</v>
      </c>
      <c r="BE14" s="297">
        <v>0</v>
      </c>
      <c r="BF14" s="297">
        <v>5954726</v>
      </c>
      <c r="BG14" s="297">
        <v>0</v>
      </c>
      <c r="BH14" s="297">
        <v>5303799</v>
      </c>
      <c r="BI14" s="293">
        <f t="shared" si="17"/>
        <v>0</v>
      </c>
      <c r="BJ14" s="298">
        <v>1491</v>
      </c>
      <c r="BK14" s="295">
        <f t="shared" si="18"/>
        <v>5579710</v>
      </c>
      <c r="BL14" s="295">
        <f t="shared" si="19"/>
        <v>3742.260228034876</v>
      </c>
      <c r="BM14" s="297"/>
      <c r="BN14" s="297"/>
      <c r="BO14" s="297"/>
      <c r="BP14" s="297">
        <v>5579710</v>
      </c>
      <c r="BQ14" s="297"/>
      <c r="BR14" s="297">
        <v>4940401</v>
      </c>
      <c r="BS14" s="293">
        <f t="shared" si="20"/>
        <v>0</v>
      </c>
      <c r="BT14" s="12">
        <v>1343</v>
      </c>
      <c r="BU14" s="295">
        <f t="shared" si="21"/>
        <v>4984531</v>
      </c>
      <c r="BV14" s="295">
        <f t="shared" si="22"/>
        <v>3711.4899478778852</v>
      </c>
      <c r="BW14" s="11"/>
      <c r="BX14" s="11"/>
      <c r="BY14" s="11"/>
      <c r="BZ14" s="11">
        <v>4984531</v>
      </c>
      <c r="CA14" s="11"/>
      <c r="CB14" s="11">
        <v>4383380</v>
      </c>
      <c r="CC14" s="293">
        <f t="shared" si="23"/>
        <v>0</v>
      </c>
    </row>
    <row r="15" spans="1:81" s="308" customFormat="1" ht="15.95" customHeight="1" x14ac:dyDescent="0.2">
      <c r="A15" s="307" t="s">
        <v>93</v>
      </c>
      <c r="B15" s="298">
        <v>1805</v>
      </c>
      <c r="C15" s="295">
        <f t="shared" si="0"/>
        <v>6969208</v>
      </c>
      <c r="D15" s="295">
        <f t="shared" si="1"/>
        <v>3861.0570637119113</v>
      </c>
      <c r="E15" s="297">
        <v>0</v>
      </c>
      <c r="F15" s="297">
        <v>0</v>
      </c>
      <c r="G15" s="297">
        <v>0</v>
      </c>
      <c r="H15" s="297">
        <v>6969208</v>
      </c>
      <c r="I15" s="297">
        <v>0</v>
      </c>
      <c r="J15" s="297">
        <v>6453449</v>
      </c>
      <c r="K15" s="293">
        <f t="shared" si="2"/>
        <v>0</v>
      </c>
      <c r="L15" s="294">
        <v>1708</v>
      </c>
      <c r="M15" s="295">
        <f t="shared" si="3"/>
        <v>6592053</v>
      </c>
      <c r="N15" s="295">
        <f t="shared" si="4"/>
        <v>3859.5158079625294</v>
      </c>
      <c r="O15" s="297">
        <v>0</v>
      </c>
      <c r="P15" s="297">
        <v>0</v>
      </c>
      <c r="Q15" s="297">
        <v>0</v>
      </c>
      <c r="R15" s="297">
        <v>6592053</v>
      </c>
      <c r="S15" s="297">
        <v>0</v>
      </c>
      <c r="T15" s="297">
        <v>6088343</v>
      </c>
      <c r="U15" s="293">
        <f t="shared" si="5"/>
        <v>0</v>
      </c>
      <c r="V15" s="298">
        <v>1790</v>
      </c>
      <c r="W15" s="295">
        <f t="shared" si="6"/>
        <v>7374396</v>
      </c>
      <c r="X15" s="295">
        <f t="shared" si="7"/>
        <v>4119.7743016759778</v>
      </c>
      <c r="Y15" s="297">
        <v>0</v>
      </c>
      <c r="Z15" s="297">
        <v>0</v>
      </c>
      <c r="AA15" s="297">
        <v>0</v>
      </c>
      <c r="AB15" s="297">
        <v>7374396</v>
      </c>
      <c r="AC15" s="297">
        <v>0</v>
      </c>
      <c r="AD15" s="297">
        <v>6812787</v>
      </c>
      <c r="AE15" s="293">
        <f t="shared" si="8"/>
        <v>0</v>
      </c>
      <c r="AF15" s="294">
        <v>1747</v>
      </c>
      <c r="AG15" s="295">
        <f t="shared" si="9"/>
        <v>7401100</v>
      </c>
      <c r="AH15" s="295">
        <f t="shared" si="10"/>
        <v>4236.4625071551227</v>
      </c>
      <c r="AI15" s="297">
        <v>0</v>
      </c>
      <c r="AJ15" s="297">
        <v>0</v>
      </c>
      <c r="AK15" s="297">
        <v>0</v>
      </c>
      <c r="AL15" s="297">
        <v>7401100</v>
      </c>
      <c r="AM15" s="297">
        <v>0</v>
      </c>
      <c r="AN15" s="297">
        <v>6911619</v>
      </c>
      <c r="AO15" s="293">
        <f t="shared" si="11"/>
        <v>0</v>
      </c>
      <c r="AP15" s="298">
        <v>1703</v>
      </c>
      <c r="AQ15" s="295">
        <f t="shared" si="12"/>
        <v>7296840</v>
      </c>
      <c r="AR15" s="295">
        <f t="shared" si="13"/>
        <v>4284.6975924838516</v>
      </c>
      <c r="AS15" s="297">
        <v>0</v>
      </c>
      <c r="AT15" s="297">
        <v>0</v>
      </c>
      <c r="AU15" s="297">
        <v>0</v>
      </c>
      <c r="AV15" s="297">
        <v>7296840</v>
      </c>
      <c r="AW15" s="297">
        <v>0</v>
      </c>
      <c r="AX15" s="297">
        <v>6722048</v>
      </c>
      <c r="AY15" s="293">
        <f t="shared" si="14"/>
        <v>0</v>
      </c>
      <c r="AZ15" s="298">
        <v>1679</v>
      </c>
      <c r="BA15" s="295">
        <f t="shared" si="15"/>
        <v>7341273</v>
      </c>
      <c r="BB15" s="295">
        <f t="shared" si="16"/>
        <v>4372.4079809410359</v>
      </c>
      <c r="BC15" s="297">
        <v>0</v>
      </c>
      <c r="BD15" s="297">
        <v>0</v>
      </c>
      <c r="BE15" s="297">
        <v>0</v>
      </c>
      <c r="BF15" s="297">
        <v>7341273</v>
      </c>
      <c r="BG15" s="297">
        <v>0</v>
      </c>
      <c r="BH15" s="297">
        <v>6663339</v>
      </c>
      <c r="BI15" s="293">
        <f t="shared" si="17"/>
        <v>0</v>
      </c>
      <c r="BJ15" s="298">
        <v>1640</v>
      </c>
      <c r="BK15" s="295">
        <f t="shared" si="18"/>
        <v>7403253</v>
      </c>
      <c r="BL15" s="295">
        <f t="shared" si="19"/>
        <v>4514.1786585365853</v>
      </c>
      <c r="BM15" s="297"/>
      <c r="BN15" s="297"/>
      <c r="BO15" s="297"/>
      <c r="BP15" s="297">
        <v>7403253</v>
      </c>
      <c r="BQ15" s="297"/>
      <c r="BR15" s="297">
        <v>6668174</v>
      </c>
      <c r="BS15" s="293">
        <f t="shared" si="20"/>
        <v>0</v>
      </c>
      <c r="BT15" s="12">
        <v>1562</v>
      </c>
      <c r="BU15" s="295">
        <f t="shared" si="21"/>
        <v>7365163</v>
      </c>
      <c r="BV15" s="295">
        <f t="shared" si="22"/>
        <v>4715.2131882202302</v>
      </c>
      <c r="BW15" s="11"/>
      <c r="BX15" s="11"/>
      <c r="BY15" s="11"/>
      <c r="BZ15" s="11">
        <v>7365163</v>
      </c>
      <c r="CA15" s="11"/>
      <c r="CB15" s="11">
        <v>6574285</v>
      </c>
      <c r="CC15" s="293">
        <f t="shared" si="23"/>
        <v>0</v>
      </c>
    </row>
    <row r="16" spans="1:81" s="308" customFormat="1" ht="15.95" customHeight="1" x14ac:dyDescent="0.2">
      <c r="A16" s="307" t="s">
        <v>94</v>
      </c>
      <c r="B16" s="298">
        <v>245</v>
      </c>
      <c r="C16" s="295">
        <f t="shared" si="0"/>
        <v>494242</v>
      </c>
      <c r="D16" s="295">
        <f t="shared" si="1"/>
        <v>2017.3142857142857</v>
      </c>
      <c r="E16" s="297">
        <v>0</v>
      </c>
      <c r="F16" s="297">
        <v>0</v>
      </c>
      <c r="G16" s="297">
        <v>0</v>
      </c>
      <c r="H16" s="297">
        <v>494242</v>
      </c>
      <c r="I16" s="297">
        <v>0</v>
      </c>
      <c r="J16" s="297">
        <v>446624</v>
      </c>
      <c r="K16" s="293">
        <f t="shared" si="2"/>
        <v>0</v>
      </c>
      <c r="L16" s="294">
        <v>195</v>
      </c>
      <c r="M16" s="295">
        <f t="shared" si="3"/>
        <v>299530</v>
      </c>
      <c r="N16" s="295">
        <f t="shared" si="4"/>
        <v>1536.051282051282</v>
      </c>
      <c r="O16" s="297">
        <v>0</v>
      </c>
      <c r="P16" s="297">
        <v>0</v>
      </c>
      <c r="Q16" s="297">
        <v>0</v>
      </c>
      <c r="R16" s="297">
        <v>299530</v>
      </c>
      <c r="S16" s="297">
        <v>0</v>
      </c>
      <c r="T16" s="297">
        <v>271679</v>
      </c>
      <c r="U16" s="293">
        <f t="shared" si="5"/>
        <v>0</v>
      </c>
      <c r="V16" s="298">
        <v>113</v>
      </c>
      <c r="W16" s="295">
        <f t="shared" si="6"/>
        <v>224647</v>
      </c>
      <c r="X16" s="295">
        <f t="shared" si="7"/>
        <v>1988.0265486725664</v>
      </c>
      <c r="Y16" s="297">
        <v>0</v>
      </c>
      <c r="Z16" s="297">
        <v>0</v>
      </c>
      <c r="AA16" s="297">
        <v>0</v>
      </c>
      <c r="AB16" s="297">
        <v>224647</v>
      </c>
      <c r="AC16" s="297">
        <v>0</v>
      </c>
      <c r="AD16" s="297">
        <v>207719</v>
      </c>
      <c r="AE16" s="293">
        <f t="shared" si="8"/>
        <v>0</v>
      </c>
      <c r="AF16" s="294">
        <v>0</v>
      </c>
      <c r="AG16" s="295">
        <f t="shared" si="9"/>
        <v>0</v>
      </c>
      <c r="AH16" s="295">
        <f t="shared" si="10"/>
        <v>0</v>
      </c>
      <c r="AI16" s="297">
        <v>0</v>
      </c>
      <c r="AJ16" s="297">
        <v>0</v>
      </c>
      <c r="AK16" s="297">
        <v>0</v>
      </c>
      <c r="AL16" s="297">
        <v>0</v>
      </c>
      <c r="AM16" s="297">
        <v>0</v>
      </c>
      <c r="AN16" s="297">
        <v>0</v>
      </c>
      <c r="AO16" s="293">
        <f t="shared" si="11"/>
        <v>0</v>
      </c>
      <c r="AP16" s="298">
        <v>0</v>
      </c>
      <c r="AQ16" s="295">
        <f t="shared" si="12"/>
        <v>0</v>
      </c>
      <c r="AR16" s="295">
        <f t="shared" si="13"/>
        <v>0</v>
      </c>
      <c r="AS16" s="297">
        <v>0</v>
      </c>
      <c r="AT16" s="297">
        <v>0</v>
      </c>
      <c r="AU16" s="297">
        <v>0</v>
      </c>
      <c r="AV16" s="297">
        <v>0</v>
      </c>
      <c r="AW16" s="297">
        <v>0</v>
      </c>
      <c r="AX16" s="297">
        <v>0</v>
      </c>
      <c r="AY16" s="293">
        <f t="shared" si="14"/>
        <v>0</v>
      </c>
      <c r="AZ16" s="298">
        <v>0</v>
      </c>
      <c r="BA16" s="295">
        <f t="shared" si="15"/>
        <v>0</v>
      </c>
      <c r="BB16" s="295">
        <f t="shared" si="16"/>
        <v>0</v>
      </c>
      <c r="BC16" s="297">
        <v>0</v>
      </c>
      <c r="BD16" s="297">
        <v>0</v>
      </c>
      <c r="BE16" s="297">
        <v>0</v>
      </c>
      <c r="BF16" s="297">
        <v>0</v>
      </c>
      <c r="BG16" s="297">
        <v>0</v>
      </c>
      <c r="BH16" s="297">
        <v>0</v>
      </c>
      <c r="BI16" s="293">
        <f t="shared" si="17"/>
        <v>0</v>
      </c>
      <c r="BJ16" s="298"/>
      <c r="BK16" s="295">
        <f t="shared" si="18"/>
        <v>0</v>
      </c>
      <c r="BL16" s="295">
        <f t="shared" si="19"/>
        <v>0</v>
      </c>
      <c r="BM16" s="297"/>
      <c r="BN16" s="297"/>
      <c r="BO16" s="297"/>
      <c r="BP16" s="297">
        <v>0</v>
      </c>
      <c r="BQ16" s="297"/>
      <c r="BR16" s="297"/>
      <c r="BS16" s="293">
        <f t="shared" si="20"/>
        <v>0</v>
      </c>
      <c r="BT16" s="12"/>
      <c r="BU16" s="295">
        <f t="shared" si="21"/>
        <v>0</v>
      </c>
      <c r="BV16" s="295">
        <f t="shared" si="22"/>
        <v>0</v>
      </c>
      <c r="BW16" s="11"/>
      <c r="BX16" s="11"/>
      <c r="BY16" s="11"/>
      <c r="BZ16" s="11">
        <v>0</v>
      </c>
      <c r="CA16" s="11"/>
      <c r="CB16" s="11"/>
      <c r="CC16" s="293">
        <f t="shared" si="23"/>
        <v>0</v>
      </c>
    </row>
    <row r="17" spans="1:81" s="308" customFormat="1" ht="15.95" customHeight="1" x14ac:dyDescent="0.2">
      <c r="A17" s="307" t="s">
        <v>95</v>
      </c>
      <c r="B17" s="298">
        <v>103</v>
      </c>
      <c r="C17" s="295">
        <f t="shared" si="0"/>
        <v>117885</v>
      </c>
      <c r="D17" s="295">
        <f t="shared" si="1"/>
        <v>1144.514563106796</v>
      </c>
      <c r="E17" s="297">
        <v>0</v>
      </c>
      <c r="F17" s="297">
        <v>0</v>
      </c>
      <c r="G17" s="297">
        <v>0</v>
      </c>
      <c r="H17" s="297">
        <v>117885</v>
      </c>
      <c r="I17" s="297">
        <v>0</v>
      </c>
      <c r="J17" s="297">
        <v>113664</v>
      </c>
      <c r="K17" s="293">
        <f t="shared" si="2"/>
        <v>0</v>
      </c>
      <c r="L17" s="294">
        <v>84</v>
      </c>
      <c r="M17" s="295">
        <f t="shared" si="3"/>
        <v>125343</v>
      </c>
      <c r="N17" s="295">
        <f t="shared" si="4"/>
        <v>1492.1785714285713</v>
      </c>
      <c r="O17" s="297">
        <v>0</v>
      </c>
      <c r="P17" s="297">
        <v>0</v>
      </c>
      <c r="Q17" s="297">
        <v>0</v>
      </c>
      <c r="R17" s="297">
        <v>125343</v>
      </c>
      <c r="S17" s="297">
        <v>0</v>
      </c>
      <c r="T17" s="297">
        <v>125343</v>
      </c>
      <c r="U17" s="293">
        <f t="shared" si="5"/>
        <v>0</v>
      </c>
      <c r="V17" s="298">
        <v>111</v>
      </c>
      <c r="W17" s="295">
        <f t="shared" si="6"/>
        <v>121684</v>
      </c>
      <c r="X17" s="295">
        <f t="shared" si="7"/>
        <v>1096.2522522522522</v>
      </c>
      <c r="Y17" s="297">
        <v>0</v>
      </c>
      <c r="Z17" s="297">
        <v>0</v>
      </c>
      <c r="AA17" s="297">
        <v>0</v>
      </c>
      <c r="AB17" s="297">
        <v>121684</v>
      </c>
      <c r="AC17" s="297">
        <v>0</v>
      </c>
      <c r="AD17" s="297">
        <v>121684</v>
      </c>
      <c r="AE17" s="293">
        <f t="shared" si="8"/>
        <v>0</v>
      </c>
      <c r="AF17" s="294">
        <v>156</v>
      </c>
      <c r="AG17" s="295">
        <f t="shared" si="9"/>
        <v>169648</v>
      </c>
      <c r="AH17" s="295">
        <f t="shared" si="10"/>
        <v>1087.4871794871794</v>
      </c>
      <c r="AI17" s="297">
        <v>0</v>
      </c>
      <c r="AJ17" s="297">
        <v>0</v>
      </c>
      <c r="AK17" s="297">
        <v>0</v>
      </c>
      <c r="AL17" s="297">
        <v>169648</v>
      </c>
      <c r="AM17" s="297">
        <v>0</v>
      </c>
      <c r="AN17" s="297">
        <v>169648</v>
      </c>
      <c r="AO17" s="293">
        <f t="shared" si="11"/>
        <v>0</v>
      </c>
      <c r="AP17" s="298">
        <v>120</v>
      </c>
      <c r="AQ17" s="295">
        <f t="shared" si="12"/>
        <v>149384</v>
      </c>
      <c r="AR17" s="295">
        <f t="shared" si="13"/>
        <v>1244.8666666666666</v>
      </c>
      <c r="AS17" s="297">
        <v>0</v>
      </c>
      <c r="AT17" s="297">
        <v>0</v>
      </c>
      <c r="AU17" s="297">
        <v>0</v>
      </c>
      <c r="AV17" s="297">
        <v>149384</v>
      </c>
      <c r="AW17" s="297">
        <v>0</v>
      </c>
      <c r="AX17" s="297">
        <v>137818</v>
      </c>
      <c r="AY17" s="293">
        <f t="shared" si="14"/>
        <v>0</v>
      </c>
      <c r="AZ17" s="298">
        <v>127</v>
      </c>
      <c r="BA17" s="295">
        <f t="shared" si="15"/>
        <v>192117</v>
      </c>
      <c r="BB17" s="295">
        <f t="shared" si="16"/>
        <v>1512.732283464567</v>
      </c>
      <c r="BC17" s="297">
        <v>0</v>
      </c>
      <c r="BD17" s="297">
        <v>0</v>
      </c>
      <c r="BE17" s="297">
        <v>0</v>
      </c>
      <c r="BF17" s="297">
        <v>192117</v>
      </c>
      <c r="BG17" s="297">
        <v>0</v>
      </c>
      <c r="BH17" s="297">
        <v>168928</v>
      </c>
      <c r="BI17" s="293">
        <f t="shared" si="17"/>
        <v>0</v>
      </c>
      <c r="BJ17" s="298">
        <v>119</v>
      </c>
      <c r="BK17" s="295">
        <f t="shared" si="18"/>
        <v>204411</v>
      </c>
      <c r="BL17" s="295">
        <f t="shared" si="19"/>
        <v>1717.7394957983192</v>
      </c>
      <c r="BM17" s="297"/>
      <c r="BN17" s="297"/>
      <c r="BO17" s="297"/>
      <c r="BP17" s="297">
        <v>204411</v>
      </c>
      <c r="BQ17" s="297"/>
      <c r="BR17" s="297">
        <v>180753</v>
      </c>
      <c r="BS17" s="293">
        <f t="shared" si="20"/>
        <v>0</v>
      </c>
      <c r="BT17" s="12">
        <v>100</v>
      </c>
      <c r="BU17" s="295">
        <f t="shared" si="21"/>
        <v>201140</v>
      </c>
      <c r="BV17" s="295">
        <f t="shared" si="22"/>
        <v>2011.4</v>
      </c>
      <c r="BW17" s="11"/>
      <c r="BX17" s="11"/>
      <c r="BY17" s="11"/>
      <c r="BZ17" s="11">
        <v>201140</v>
      </c>
      <c r="CA17" s="11"/>
      <c r="CB17" s="11">
        <v>187351.25</v>
      </c>
      <c r="CC17" s="293">
        <f t="shared" si="23"/>
        <v>0</v>
      </c>
    </row>
    <row r="18" spans="1:81" s="308" customFormat="1" ht="15.95" customHeight="1" x14ac:dyDescent="0.2">
      <c r="A18" s="307" t="s">
        <v>96</v>
      </c>
      <c r="B18" s="298">
        <v>664</v>
      </c>
      <c r="C18" s="295">
        <f t="shared" si="0"/>
        <v>1156611</v>
      </c>
      <c r="D18" s="295">
        <f t="shared" si="1"/>
        <v>1741.8840361445782</v>
      </c>
      <c r="E18" s="297">
        <v>0</v>
      </c>
      <c r="F18" s="297">
        <v>0</v>
      </c>
      <c r="G18" s="297">
        <v>1156611</v>
      </c>
      <c r="H18" s="297">
        <v>0</v>
      </c>
      <c r="I18" s="297">
        <v>0</v>
      </c>
      <c r="J18" s="297">
        <v>1156611</v>
      </c>
      <c r="K18" s="293">
        <f t="shared" si="2"/>
        <v>0</v>
      </c>
      <c r="L18" s="294">
        <v>690</v>
      </c>
      <c r="M18" s="295">
        <f t="shared" si="3"/>
        <v>1214281</v>
      </c>
      <c r="N18" s="295">
        <f t="shared" si="4"/>
        <v>1759.8275362318841</v>
      </c>
      <c r="O18" s="297">
        <v>0</v>
      </c>
      <c r="P18" s="297">
        <v>0</v>
      </c>
      <c r="Q18" s="297">
        <v>1214281</v>
      </c>
      <c r="R18" s="297">
        <v>0</v>
      </c>
      <c r="S18" s="297">
        <v>0</v>
      </c>
      <c r="T18" s="297">
        <v>1214281</v>
      </c>
      <c r="U18" s="293">
        <f t="shared" si="5"/>
        <v>0</v>
      </c>
      <c r="V18" s="298">
        <v>533</v>
      </c>
      <c r="W18" s="295">
        <f t="shared" si="6"/>
        <v>1255162</v>
      </c>
      <c r="X18" s="295">
        <f t="shared" si="7"/>
        <v>2354.9005628517825</v>
      </c>
      <c r="Y18" s="297">
        <v>0</v>
      </c>
      <c r="Z18" s="297">
        <v>0</v>
      </c>
      <c r="AA18" s="297">
        <v>1255162</v>
      </c>
      <c r="AB18" s="297">
        <v>0</v>
      </c>
      <c r="AC18" s="297">
        <v>0</v>
      </c>
      <c r="AD18" s="297">
        <v>1255162</v>
      </c>
      <c r="AE18" s="293">
        <f t="shared" si="8"/>
        <v>0</v>
      </c>
      <c r="AF18" s="294">
        <v>644</v>
      </c>
      <c r="AG18" s="295">
        <f t="shared" si="9"/>
        <v>1327380</v>
      </c>
      <c r="AH18" s="295">
        <f t="shared" si="10"/>
        <v>2061.1490683229813</v>
      </c>
      <c r="AI18" s="297">
        <v>0</v>
      </c>
      <c r="AJ18" s="297">
        <v>0</v>
      </c>
      <c r="AK18" s="297">
        <v>1327380</v>
      </c>
      <c r="AL18" s="297">
        <v>0</v>
      </c>
      <c r="AM18" s="297">
        <v>0</v>
      </c>
      <c r="AN18" s="297">
        <v>1327380</v>
      </c>
      <c r="AO18" s="293">
        <f t="shared" si="11"/>
        <v>0</v>
      </c>
      <c r="AP18" s="298">
        <v>566</v>
      </c>
      <c r="AQ18" s="295">
        <f t="shared" si="12"/>
        <v>1451490</v>
      </c>
      <c r="AR18" s="295">
        <f t="shared" si="13"/>
        <v>2564.4699646643107</v>
      </c>
      <c r="AS18" s="297">
        <v>0</v>
      </c>
      <c r="AT18" s="297">
        <v>0</v>
      </c>
      <c r="AU18" s="297">
        <v>1451490</v>
      </c>
      <c r="AV18" s="297">
        <v>0</v>
      </c>
      <c r="AW18" s="297">
        <v>0</v>
      </c>
      <c r="AX18" s="297">
        <v>1451490</v>
      </c>
      <c r="AY18" s="293">
        <f t="shared" si="14"/>
        <v>0</v>
      </c>
      <c r="AZ18" s="298">
        <v>558</v>
      </c>
      <c r="BA18" s="295">
        <f t="shared" si="15"/>
        <v>1528457</v>
      </c>
      <c r="BB18" s="295">
        <f t="shared" si="16"/>
        <v>2739.1702508960575</v>
      </c>
      <c r="BC18" s="297">
        <v>0</v>
      </c>
      <c r="BD18" s="297">
        <v>0</v>
      </c>
      <c r="BE18" s="297">
        <v>1528457</v>
      </c>
      <c r="BF18" s="297">
        <v>0</v>
      </c>
      <c r="BG18" s="297">
        <v>0</v>
      </c>
      <c r="BH18" s="297">
        <v>1528457</v>
      </c>
      <c r="BI18" s="293">
        <f t="shared" si="17"/>
        <v>0</v>
      </c>
      <c r="BJ18" s="298">
        <v>570</v>
      </c>
      <c r="BK18" s="295">
        <f t="shared" si="18"/>
        <v>1693624</v>
      </c>
      <c r="BL18" s="295">
        <f t="shared" si="19"/>
        <v>2971.2701754385967</v>
      </c>
      <c r="BM18" s="297"/>
      <c r="BN18" s="297"/>
      <c r="BO18" s="297">
        <v>1693624</v>
      </c>
      <c r="BP18" s="297"/>
      <c r="BQ18" s="297"/>
      <c r="BR18" s="297">
        <v>1693624</v>
      </c>
      <c r="BS18" s="293">
        <f t="shared" si="20"/>
        <v>0</v>
      </c>
      <c r="BT18" s="12">
        <v>562</v>
      </c>
      <c r="BU18" s="295">
        <f t="shared" si="21"/>
        <v>1855263</v>
      </c>
      <c r="BV18" s="295">
        <f t="shared" si="22"/>
        <v>3301.1797153024909</v>
      </c>
      <c r="BW18" s="11"/>
      <c r="BX18" s="11"/>
      <c r="BY18" s="11">
        <v>1855263</v>
      </c>
      <c r="BZ18" s="11"/>
      <c r="CA18" s="11"/>
      <c r="CB18" s="11">
        <v>1855263</v>
      </c>
      <c r="CC18" s="293">
        <f t="shared" si="23"/>
        <v>0</v>
      </c>
    </row>
    <row r="19" spans="1:81" s="308" customFormat="1" ht="15.95" customHeight="1" x14ac:dyDescent="0.2">
      <c r="A19" s="307" t="s">
        <v>97</v>
      </c>
      <c r="B19" s="298">
        <v>223</v>
      </c>
      <c r="C19" s="295">
        <f t="shared" si="0"/>
        <v>666794</v>
      </c>
      <c r="D19" s="295">
        <f t="shared" si="1"/>
        <v>2990.1076233183858</v>
      </c>
      <c r="E19" s="297">
        <v>0</v>
      </c>
      <c r="F19" s="297">
        <v>666794</v>
      </c>
      <c r="G19" s="297">
        <v>0</v>
      </c>
      <c r="H19" s="297">
        <v>0</v>
      </c>
      <c r="I19" s="297">
        <v>0</v>
      </c>
      <c r="J19" s="297">
        <v>651585</v>
      </c>
      <c r="K19" s="293">
        <f t="shared" si="2"/>
        <v>0</v>
      </c>
      <c r="L19" s="294">
        <v>370</v>
      </c>
      <c r="M19" s="295">
        <f t="shared" si="3"/>
        <v>679866</v>
      </c>
      <c r="N19" s="295">
        <f t="shared" si="4"/>
        <v>1837.4756756756756</v>
      </c>
      <c r="O19" s="297">
        <v>0</v>
      </c>
      <c r="P19" s="297">
        <v>679866</v>
      </c>
      <c r="Q19" s="297">
        <v>0</v>
      </c>
      <c r="R19" s="297">
        <v>0</v>
      </c>
      <c r="S19" s="297">
        <v>0</v>
      </c>
      <c r="T19" s="297">
        <v>625799</v>
      </c>
      <c r="U19" s="293">
        <f t="shared" si="5"/>
        <v>0</v>
      </c>
      <c r="V19" s="298">
        <v>460</v>
      </c>
      <c r="W19" s="295">
        <f t="shared" si="6"/>
        <v>726638</v>
      </c>
      <c r="X19" s="295">
        <f t="shared" si="7"/>
        <v>1579.6478260869565</v>
      </c>
      <c r="Y19" s="297">
        <v>0</v>
      </c>
      <c r="Z19" s="297">
        <v>726638</v>
      </c>
      <c r="AA19" s="297">
        <v>0</v>
      </c>
      <c r="AB19" s="297">
        <v>0</v>
      </c>
      <c r="AC19" s="297">
        <v>0</v>
      </c>
      <c r="AD19" s="297">
        <v>708110</v>
      </c>
      <c r="AE19" s="293">
        <f t="shared" si="8"/>
        <v>0</v>
      </c>
      <c r="AF19" s="294">
        <v>616</v>
      </c>
      <c r="AG19" s="295">
        <f t="shared" si="9"/>
        <v>1490572</v>
      </c>
      <c r="AH19" s="295">
        <f t="shared" si="10"/>
        <v>2419.7597402597403</v>
      </c>
      <c r="AI19" s="297">
        <v>0</v>
      </c>
      <c r="AJ19" s="297">
        <v>1490572</v>
      </c>
      <c r="AK19" s="297">
        <v>0</v>
      </c>
      <c r="AL19" s="297">
        <v>0</v>
      </c>
      <c r="AM19" s="297">
        <v>0</v>
      </c>
      <c r="AN19" s="297">
        <v>1446839</v>
      </c>
      <c r="AO19" s="293">
        <f t="shared" si="11"/>
        <v>0</v>
      </c>
      <c r="AP19" s="298">
        <v>347</v>
      </c>
      <c r="AQ19" s="295">
        <f t="shared" si="12"/>
        <v>605400</v>
      </c>
      <c r="AR19" s="295">
        <f t="shared" si="13"/>
        <v>1744.6685878962537</v>
      </c>
      <c r="AS19" s="297">
        <v>0</v>
      </c>
      <c r="AT19" s="297">
        <v>605400</v>
      </c>
      <c r="AU19" s="297">
        <v>0</v>
      </c>
      <c r="AV19" s="297">
        <v>0</v>
      </c>
      <c r="AW19" s="297">
        <v>0</v>
      </c>
      <c r="AX19" s="297">
        <v>598273</v>
      </c>
      <c r="AY19" s="293">
        <f t="shared" si="14"/>
        <v>0</v>
      </c>
      <c r="AZ19" s="298">
        <v>774</v>
      </c>
      <c r="BA19" s="295">
        <f t="shared" si="15"/>
        <v>1617949</v>
      </c>
      <c r="BB19" s="295">
        <f t="shared" si="16"/>
        <v>2090.3733850129197</v>
      </c>
      <c r="BC19" s="297">
        <v>0</v>
      </c>
      <c r="BD19" s="297">
        <v>1617949</v>
      </c>
      <c r="BE19" s="297">
        <v>0</v>
      </c>
      <c r="BF19" s="297">
        <v>0</v>
      </c>
      <c r="BG19" s="297">
        <v>0</v>
      </c>
      <c r="BH19" s="297">
        <v>1403746</v>
      </c>
      <c r="BI19" s="293">
        <f t="shared" si="17"/>
        <v>0</v>
      </c>
      <c r="BJ19" s="298">
        <v>468</v>
      </c>
      <c r="BK19" s="295">
        <f t="shared" si="18"/>
        <v>1204848</v>
      </c>
      <c r="BL19" s="295">
        <f t="shared" si="19"/>
        <v>2574.4615384615386</v>
      </c>
      <c r="BM19" s="297"/>
      <c r="BN19" s="297">
        <v>1204848</v>
      </c>
      <c r="BO19" s="297"/>
      <c r="BP19" s="297"/>
      <c r="BQ19" s="297"/>
      <c r="BR19" s="297">
        <v>1139844</v>
      </c>
      <c r="BS19" s="293">
        <f t="shared" si="20"/>
        <v>0</v>
      </c>
      <c r="BT19" s="12">
        <v>528</v>
      </c>
      <c r="BU19" s="295">
        <f t="shared" si="21"/>
        <v>1143435</v>
      </c>
      <c r="BV19" s="295">
        <f t="shared" si="22"/>
        <v>2165.596590909091</v>
      </c>
      <c r="BW19" s="11"/>
      <c r="BX19" s="11">
        <v>1143435</v>
      </c>
      <c r="BY19" s="11"/>
      <c r="BZ19" s="11"/>
      <c r="CA19" s="11"/>
      <c r="CB19" s="11">
        <v>1083603</v>
      </c>
      <c r="CC19" s="293">
        <f t="shared" si="23"/>
        <v>0</v>
      </c>
    </row>
    <row r="20" spans="1:81" s="308" customFormat="1" ht="15.95" customHeight="1" x14ac:dyDescent="0.2">
      <c r="A20" s="307" t="s">
        <v>98</v>
      </c>
      <c r="B20" s="298">
        <v>4</v>
      </c>
      <c r="C20" s="295">
        <f t="shared" si="0"/>
        <v>11700</v>
      </c>
      <c r="D20" s="295">
        <f t="shared" si="1"/>
        <v>2925</v>
      </c>
      <c r="E20" s="297">
        <v>0</v>
      </c>
      <c r="F20" s="297">
        <v>0</v>
      </c>
      <c r="G20" s="297">
        <v>0</v>
      </c>
      <c r="H20" s="297">
        <v>0</v>
      </c>
      <c r="I20" s="297">
        <v>11700</v>
      </c>
      <c r="J20" s="297">
        <v>11700</v>
      </c>
      <c r="K20" s="293">
        <f t="shared" si="2"/>
        <v>0</v>
      </c>
      <c r="L20" s="294">
        <v>5</v>
      </c>
      <c r="M20" s="295">
        <f t="shared" si="3"/>
        <v>9500</v>
      </c>
      <c r="N20" s="295">
        <f t="shared" si="4"/>
        <v>1900</v>
      </c>
      <c r="O20" s="297">
        <v>0</v>
      </c>
      <c r="P20" s="297">
        <v>0</v>
      </c>
      <c r="Q20" s="297">
        <v>0</v>
      </c>
      <c r="R20" s="297">
        <v>0</v>
      </c>
      <c r="S20" s="297">
        <v>9500</v>
      </c>
      <c r="T20" s="297">
        <v>9500</v>
      </c>
      <c r="U20" s="293">
        <f t="shared" si="5"/>
        <v>0</v>
      </c>
      <c r="V20" s="298">
        <v>6</v>
      </c>
      <c r="W20" s="295">
        <f t="shared" si="6"/>
        <v>9250</v>
      </c>
      <c r="X20" s="295">
        <f t="shared" si="7"/>
        <v>1541.6666666666667</v>
      </c>
      <c r="Y20" s="297">
        <v>0</v>
      </c>
      <c r="Z20" s="297">
        <v>0</v>
      </c>
      <c r="AA20" s="297">
        <v>0</v>
      </c>
      <c r="AB20" s="297">
        <v>0</v>
      </c>
      <c r="AC20" s="297">
        <v>9250</v>
      </c>
      <c r="AD20" s="297">
        <v>9250</v>
      </c>
      <c r="AE20" s="293">
        <f t="shared" si="8"/>
        <v>0</v>
      </c>
      <c r="AF20" s="294">
        <v>6</v>
      </c>
      <c r="AG20" s="295">
        <f t="shared" si="9"/>
        <v>10000</v>
      </c>
      <c r="AH20" s="295">
        <f t="shared" si="10"/>
        <v>1666.6666666666667</v>
      </c>
      <c r="AI20" s="297">
        <v>0</v>
      </c>
      <c r="AJ20" s="297">
        <v>0</v>
      </c>
      <c r="AK20" s="297">
        <v>0</v>
      </c>
      <c r="AL20" s="297">
        <v>0</v>
      </c>
      <c r="AM20" s="297">
        <v>10000</v>
      </c>
      <c r="AN20" s="297">
        <v>10000</v>
      </c>
      <c r="AO20" s="293">
        <f t="shared" si="11"/>
        <v>0</v>
      </c>
      <c r="AP20" s="298">
        <v>6</v>
      </c>
      <c r="AQ20" s="295">
        <f t="shared" si="12"/>
        <v>10000</v>
      </c>
      <c r="AR20" s="295">
        <f t="shared" si="13"/>
        <v>1666.6666666666667</v>
      </c>
      <c r="AS20" s="297">
        <v>0</v>
      </c>
      <c r="AT20" s="297">
        <v>0</v>
      </c>
      <c r="AU20" s="297">
        <v>0</v>
      </c>
      <c r="AV20" s="297">
        <v>0</v>
      </c>
      <c r="AW20" s="297">
        <v>10000</v>
      </c>
      <c r="AX20" s="297">
        <v>10000</v>
      </c>
      <c r="AY20" s="293">
        <f t="shared" si="14"/>
        <v>0</v>
      </c>
      <c r="AZ20" s="298">
        <v>5</v>
      </c>
      <c r="BA20" s="295">
        <f t="shared" si="15"/>
        <v>10000</v>
      </c>
      <c r="BB20" s="295">
        <f t="shared" si="16"/>
        <v>2000</v>
      </c>
      <c r="BC20" s="297">
        <v>0</v>
      </c>
      <c r="BD20" s="297">
        <v>0</v>
      </c>
      <c r="BE20" s="297">
        <v>0</v>
      </c>
      <c r="BF20" s="297">
        <v>0</v>
      </c>
      <c r="BG20" s="297">
        <v>10000</v>
      </c>
      <c r="BH20" s="297">
        <v>10000</v>
      </c>
      <c r="BI20" s="293">
        <f t="shared" si="17"/>
        <v>0</v>
      </c>
      <c r="BJ20" s="298">
        <v>6</v>
      </c>
      <c r="BK20" s="295">
        <f t="shared" si="18"/>
        <v>10000</v>
      </c>
      <c r="BL20" s="295">
        <f t="shared" si="19"/>
        <v>1666.6666666666667</v>
      </c>
      <c r="BM20" s="297"/>
      <c r="BN20" s="297"/>
      <c r="BO20" s="297"/>
      <c r="BP20" s="297"/>
      <c r="BQ20" s="297">
        <v>10000</v>
      </c>
      <c r="BR20" s="297">
        <v>10000</v>
      </c>
      <c r="BS20" s="293">
        <f t="shared" si="20"/>
        <v>0</v>
      </c>
      <c r="BT20" s="12">
        <v>5</v>
      </c>
      <c r="BU20" s="295">
        <f t="shared" si="21"/>
        <v>10000</v>
      </c>
      <c r="BV20" s="295">
        <f t="shared" si="22"/>
        <v>2000</v>
      </c>
      <c r="BW20" s="11"/>
      <c r="BX20" s="11"/>
      <c r="BY20" s="11"/>
      <c r="BZ20" s="11"/>
      <c r="CA20" s="11">
        <v>10000</v>
      </c>
      <c r="CB20" s="11">
        <v>10000</v>
      </c>
      <c r="CC20" s="293">
        <f t="shared" si="23"/>
        <v>0</v>
      </c>
    </row>
    <row r="21" spans="1:81" s="308" customFormat="1" ht="15.95" customHeight="1" x14ac:dyDescent="0.2">
      <c r="A21" s="307" t="s">
        <v>99</v>
      </c>
      <c r="B21" s="298">
        <v>541</v>
      </c>
      <c r="C21" s="295">
        <f t="shared" si="0"/>
        <v>4740754</v>
      </c>
      <c r="D21" s="295">
        <f t="shared" si="1"/>
        <v>8762.9463955637711</v>
      </c>
      <c r="E21" s="297">
        <v>0</v>
      </c>
      <c r="F21" s="297">
        <v>0</v>
      </c>
      <c r="G21" s="297">
        <v>0</v>
      </c>
      <c r="H21" s="297">
        <v>0</v>
      </c>
      <c r="I21" s="297">
        <v>4740754</v>
      </c>
      <c r="J21" s="297">
        <v>4740754</v>
      </c>
      <c r="K21" s="293">
        <f t="shared" si="2"/>
        <v>0</v>
      </c>
      <c r="L21" s="294">
        <v>584</v>
      </c>
      <c r="M21" s="295">
        <f t="shared" si="3"/>
        <v>5145588</v>
      </c>
      <c r="N21" s="295">
        <f t="shared" si="4"/>
        <v>8810.9383561643845</v>
      </c>
      <c r="O21" s="297">
        <v>0</v>
      </c>
      <c r="P21" s="297">
        <v>0</v>
      </c>
      <c r="Q21" s="297">
        <v>0</v>
      </c>
      <c r="R21" s="297">
        <v>0</v>
      </c>
      <c r="S21" s="297">
        <v>5145588</v>
      </c>
      <c r="T21" s="297">
        <v>5145588</v>
      </c>
      <c r="U21" s="293">
        <f t="shared" si="5"/>
        <v>0</v>
      </c>
      <c r="V21" s="298">
        <v>556</v>
      </c>
      <c r="W21" s="295">
        <f t="shared" si="6"/>
        <v>4967999</v>
      </c>
      <c r="X21" s="295">
        <f t="shared" si="7"/>
        <v>8935.25</v>
      </c>
      <c r="Y21" s="297">
        <v>0</v>
      </c>
      <c r="Z21" s="297">
        <v>0</v>
      </c>
      <c r="AA21" s="297">
        <v>0</v>
      </c>
      <c r="AB21" s="297">
        <v>0</v>
      </c>
      <c r="AC21" s="297">
        <v>4967999</v>
      </c>
      <c r="AD21" s="297">
        <v>4967999</v>
      </c>
      <c r="AE21" s="293">
        <f t="shared" si="8"/>
        <v>0</v>
      </c>
      <c r="AF21" s="294">
        <v>533</v>
      </c>
      <c r="AG21" s="295">
        <f t="shared" si="9"/>
        <v>4643387</v>
      </c>
      <c r="AH21" s="295">
        <f t="shared" si="10"/>
        <v>8711.7954971857416</v>
      </c>
      <c r="AI21" s="297">
        <v>0</v>
      </c>
      <c r="AJ21" s="297">
        <v>0</v>
      </c>
      <c r="AK21" s="297">
        <v>0</v>
      </c>
      <c r="AL21" s="297">
        <v>0</v>
      </c>
      <c r="AM21" s="297">
        <v>4643387</v>
      </c>
      <c r="AN21" s="297">
        <v>4643387</v>
      </c>
      <c r="AO21" s="293">
        <f t="shared" si="11"/>
        <v>0</v>
      </c>
      <c r="AP21" s="298">
        <v>479</v>
      </c>
      <c r="AQ21" s="295">
        <f t="shared" si="12"/>
        <v>4064167</v>
      </c>
      <c r="AR21" s="295">
        <f t="shared" si="13"/>
        <v>8484.6910229645091</v>
      </c>
      <c r="AS21" s="297">
        <v>0</v>
      </c>
      <c r="AT21" s="297">
        <v>0</v>
      </c>
      <c r="AU21" s="297">
        <v>0</v>
      </c>
      <c r="AV21" s="297">
        <v>0</v>
      </c>
      <c r="AW21" s="297">
        <v>4064167</v>
      </c>
      <c r="AX21" s="297">
        <v>4064167</v>
      </c>
      <c r="AY21" s="293">
        <f t="shared" si="14"/>
        <v>0</v>
      </c>
      <c r="AZ21" s="298">
        <v>422</v>
      </c>
      <c r="BA21" s="295">
        <f t="shared" si="15"/>
        <v>3595599</v>
      </c>
      <c r="BB21" s="295">
        <f t="shared" si="16"/>
        <v>8520.3767772511856</v>
      </c>
      <c r="BC21" s="297">
        <v>0</v>
      </c>
      <c r="BD21" s="297">
        <v>0</v>
      </c>
      <c r="BE21" s="297">
        <v>0</v>
      </c>
      <c r="BF21" s="297">
        <v>0</v>
      </c>
      <c r="BG21" s="297">
        <v>3595599</v>
      </c>
      <c r="BH21" s="297">
        <v>3595599</v>
      </c>
      <c r="BI21" s="293">
        <f t="shared" si="17"/>
        <v>0</v>
      </c>
      <c r="BJ21" s="298">
        <v>387</v>
      </c>
      <c r="BK21" s="295">
        <f t="shared" si="18"/>
        <v>3332380</v>
      </c>
      <c r="BL21" s="295">
        <f t="shared" si="19"/>
        <v>8610.8010335917315</v>
      </c>
      <c r="BM21" s="297"/>
      <c r="BN21" s="297"/>
      <c r="BO21" s="297"/>
      <c r="BP21" s="297"/>
      <c r="BQ21" s="297">
        <v>3332380</v>
      </c>
      <c r="BR21" s="297">
        <v>3332380</v>
      </c>
      <c r="BS21" s="293">
        <f t="shared" si="20"/>
        <v>0</v>
      </c>
      <c r="BT21" s="12">
        <v>333</v>
      </c>
      <c r="BU21" s="295">
        <f t="shared" si="21"/>
        <v>3002930</v>
      </c>
      <c r="BV21" s="295">
        <f t="shared" si="22"/>
        <v>9017.807807807807</v>
      </c>
      <c r="BW21" s="11"/>
      <c r="BX21" s="11"/>
      <c r="BY21" s="11"/>
      <c r="BZ21" s="11"/>
      <c r="CA21" s="11">
        <v>3002930</v>
      </c>
      <c r="CB21" s="11">
        <v>3002930</v>
      </c>
      <c r="CC21" s="293">
        <f t="shared" si="23"/>
        <v>0</v>
      </c>
    </row>
    <row r="22" spans="1:81" s="308" customFormat="1" ht="15.95" customHeight="1" x14ac:dyDescent="0.2">
      <c r="A22" s="307" t="s">
        <v>100</v>
      </c>
      <c r="B22" s="298">
        <v>306</v>
      </c>
      <c r="C22" s="295">
        <f t="shared" si="0"/>
        <v>195121</v>
      </c>
      <c r="D22" s="295">
        <f t="shared" si="1"/>
        <v>637.65032679738567</v>
      </c>
      <c r="E22" s="297">
        <v>0</v>
      </c>
      <c r="F22" s="297">
        <v>195121</v>
      </c>
      <c r="G22" s="297">
        <v>0</v>
      </c>
      <c r="H22" s="297">
        <v>0</v>
      </c>
      <c r="I22" s="297">
        <v>0</v>
      </c>
      <c r="J22" s="297">
        <v>184746</v>
      </c>
      <c r="K22" s="293">
        <f t="shared" si="2"/>
        <v>0</v>
      </c>
      <c r="L22" s="294">
        <v>253</v>
      </c>
      <c r="M22" s="295">
        <f t="shared" si="3"/>
        <v>199430</v>
      </c>
      <c r="N22" s="295">
        <f t="shared" si="4"/>
        <v>788.26086956521738</v>
      </c>
      <c r="O22" s="297">
        <v>0</v>
      </c>
      <c r="P22" s="297">
        <v>199430</v>
      </c>
      <c r="Q22" s="297">
        <v>0</v>
      </c>
      <c r="R22" s="297">
        <v>0</v>
      </c>
      <c r="S22" s="297">
        <v>0</v>
      </c>
      <c r="T22" s="297">
        <v>187705</v>
      </c>
      <c r="U22" s="293">
        <f t="shared" si="5"/>
        <v>0</v>
      </c>
      <c r="V22" s="298">
        <v>156</v>
      </c>
      <c r="W22" s="295">
        <f t="shared" si="6"/>
        <v>211568</v>
      </c>
      <c r="X22" s="295">
        <f t="shared" si="7"/>
        <v>1356.2051282051282</v>
      </c>
      <c r="Y22" s="297">
        <v>0</v>
      </c>
      <c r="Z22" s="297">
        <v>211568</v>
      </c>
      <c r="AA22" s="297">
        <v>0</v>
      </c>
      <c r="AB22" s="297">
        <v>0</v>
      </c>
      <c r="AC22" s="297">
        <v>0</v>
      </c>
      <c r="AD22" s="297">
        <v>211568</v>
      </c>
      <c r="AE22" s="293">
        <f t="shared" si="8"/>
        <v>0</v>
      </c>
      <c r="AF22" s="294">
        <v>181</v>
      </c>
      <c r="AG22" s="295">
        <f t="shared" si="9"/>
        <v>217652</v>
      </c>
      <c r="AH22" s="295">
        <f t="shared" si="10"/>
        <v>1202.4972375690609</v>
      </c>
      <c r="AI22" s="297">
        <v>0</v>
      </c>
      <c r="AJ22" s="297">
        <v>217652</v>
      </c>
      <c r="AK22" s="297">
        <v>0</v>
      </c>
      <c r="AL22" s="297">
        <v>0</v>
      </c>
      <c r="AM22" s="297">
        <v>0</v>
      </c>
      <c r="AN22" s="297">
        <v>217652</v>
      </c>
      <c r="AO22" s="293">
        <f t="shared" si="11"/>
        <v>0</v>
      </c>
      <c r="AP22" s="298">
        <v>149</v>
      </c>
      <c r="AQ22" s="295">
        <f t="shared" si="12"/>
        <v>138720</v>
      </c>
      <c r="AR22" s="295">
        <f t="shared" si="13"/>
        <v>931.00671140939596</v>
      </c>
      <c r="AS22" s="297">
        <v>0</v>
      </c>
      <c r="AT22" s="297">
        <v>138720</v>
      </c>
      <c r="AU22" s="297">
        <v>0</v>
      </c>
      <c r="AV22" s="297">
        <v>0</v>
      </c>
      <c r="AW22" s="297">
        <v>0</v>
      </c>
      <c r="AX22" s="297">
        <v>136720</v>
      </c>
      <c r="AY22" s="293">
        <f t="shared" si="14"/>
        <v>0</v>
      </c>
      <c r="AZ22" s="298">
        <v>140</v>
      </c>
      <c r="BA22" s="295">
        <f t="shared" si="15"/>
        <v>140018</v>
      </c>
      <c r="BB22" s="295">
        <f t="shared" si="16"/>
        <v>1000.1285714285714</v>
      </c>
      <c r="BC22" s="297">
        <v>0</v>
      </c>
      <c r="BD22" s="297">
        <v>140018</v>
      </c>
      <c r="BE22" s="297">
        <v>0</v>
      </c>
      <c r="BF22" s="297">
        <v>0</v>
      </c>
      <c r="BG22" s="297">
        <v>0</v>
      </c>
      <c r="BH22" s="297">
        <v>138647</v>
      </c>
      <c r="BI22" s="293">
        <f t="shared" si="17"/>
        <v>0</v>
      </c>
      <c r="BJ22" s="298"/>
      <c r="BK22" s="295">
        <f t="shared" si="18"/>
        <v>0</v>
      </c>
      <c r="BL22" s="295">
        <f t="shared" si="19"/>
        <v>0</v>
      </c>
      <c r="BM22" s="297"/>
      <c r="BN22" s="297"/>
      <c r="BO22" s="297"/>
      <c r="BP22" s="297"/>
      <c r="BQ22" s="297"/>
      <c r="BR22" s="297"/>
      <c r="BS22" s="293">
        <f t="shared" si="20"/>
        <v>0</v>
      </c>
      <c r="BT22" s="12"/>
      <c r="BU22" s="295">
        <f t="shared" si="21"/>
        <v>0</v>
      </c>
      <c r="BV22" s="295">
        <f t="shared" si="22"/>
        <v>0</v>
      </c>
      <c r="BW22" s="11"/>
      <c r="BX22" s="11"/>
      <c r="BY22" s="11"/>
      <c r="BZ22" s="11"/>
      <c r="CA22" s="11"/>
      <c r="CB22" s="11"/>
      <c r="CC22" s="293">
        <f t="shared" si="23"/>
        <v>0</v>
      </c>
    </row>
    <row r="23" spans="1:81" s="308" customFormat="1" ht="15.95" customHeight="1" x14ac:dyDescent="0.2">
      <c r="A23" s="307" t="s">
        <v>101</v>
      </c>
      <c r="B23" s="298">
        <v>149</v>
      </c>
      <c r="C23" s="295">
        <f t="shared" si="0"/>
        <v>322953</v>
      </c>
      <c r="D23" s="295">
        <f t="shared" si="1"/>
        <v>2167.469798657718</v>
      </c>
      <c r="E23" s="297">
        <v>322953</v>
      </c>
      <c r="F23" s="297">
        <v>0</v>
      </c>
      <c r="G23" s="297">
        <v>0</v>
      </c>
      <c r="H23" s="297">
        <v>0</v>
      </c>
      <c r="I23" s="297">
        <v>0</v>
      </c>
      <c r="J23" s="297">
        <v>295274</v>
      </c>
      <c r="K23" s="293">
        <f t="shared" si="2"/>
        <v>295274</v>
      </c>
      <c r="L23" s="294">
        <v>186</v>
      </c>
      <c r="M23" s="295">
        <f t="shared" si="3"/>
        <v>273372</v>
      </c>
      <c r="N23" s="295">
        <f t="shared" si="4"/>
        <v>1469.741935483871</v>
      </c>
      <c r="O23" s="297">
        <v>273372</v>
      </c>
      <c r="P23" s="297">
        <v>0</v>
      </c>
      <c r="Q23" s="297">
        <v>0</v>
      </c>
      <c r="R23" s="297">
        <v>0</v>
      </c>
      <c r="S23" s="297">
        <v>0</v>
      </c>
      <c r="T23" s="297">
        <v>258931</v>
      </c>
      <c r="U23" s="293">
        <f t="shared" si="5"/>
        <v>258931</v>
      </c>
      <c r="V23" s="298">
        <v>126</v>
      </c>
      <c r="W23" s="295">
        <f t="shared" si="6"/>
        <v>332767</v>
      </c>
      <c r="X23" s="295">
        <f t="shared" si="7"/>
        <v>2641.0079365079364</v>
      </c>
      <c r="Y23" s="297">
        <v>332767</v>
      </c>
      <c r="Z23" s="297">
        <v>0</v>
      </c>
      <c r="AA23" s="297">
        <v>0</v>
      </c>
      <c r="AB23" s="297">
        <v>0</v>
      </c>
      <c r="AC23" s="297">
        <v>0</v>
      </c>
      <c r="AD23" s="297">
        <v>309992</v>
      </c>
      <c r="AE23" s="293">
        <f t="shared" si="8"/>
        <v>309992</v>
      </c>
      <c r="AF23" s="294">
        <v>314</v>
      </c>
      <c r="AG23" s="295">
        <f t="shared" si="9"/>
        <v>703431</v>
      </c>
      <c r="AH23" s="295">
        <f t="shared" si="10"/>
        <v>2240.2261146496817</v>
      </c>
      <c r="AI23" s="297">
        <v>703431</v>
      </c>
      <c r="AJ23" s="297">
        <v>0</v>
      </c>
      <c r="AK23" s="297">
        <v>0</v>
      </c>
      <c r="AL23" s="297">
        <v>0</v>
      </c>
      <c r="AM23" s="297">
        <v>0</v>
      </c>
      <c r="AN23" s="297">
        <v>686642</v>
      </c>
      <c r="AO23" s="293">
        <f t="shared" si="11"/>
        <v>686642</v>
      </c>
      <c r="AP23" s="298">
        <v>210</v>
      </c>
      <c r="AQ23" s="295">
        <f t="shared" si="12"/>
        <v>484825</v>
      </c>
      <c r="AR23" s="295">
        <f t="shared" si="13"/>
        <v>2308.6904761904761</v>
      </c>
      <c r="AS23" s="297">
        <v>484825</v>
      </c>
      <c r="AT23" s="297">
        <v>0</v>
      </c>
      <c r="AU23" s="297">
        <v>0</v>
      </c>
      <c r="AV23" s="297">
        <v>0</v>
      </c>
      <c r="AW23" s="297">
        <v>0</v>
      </c>
      <c r="AX23" s="297">
        <v>465000</v>
      </c>
      <c r="AY23" s="293">
        <f t="shared" si="14"/>
        <v>465000</v>
      </c>
      <c r="AZ23" s="298">
        <v>189</v>
      </c>
      <c r="BA23" s="295">
        <f t="shared" si="15"/>
        <v>236618</v>
      </c>
      <c r="BB23" s="295">
        <f t="shared" si="16"/>
        <v>1251.94708994709</v>
      </c>
      <c r="BC23" s="297">
        <v>236618</v>
      </c>
      <c r="BD23" s="297">
        <v>0</v>
      </c>
      <c r="BE23" s="297">
        <v>0</v>
      </c>
      <c r="BF23" s="297">
        <v>0</v>
      </c>
      <c r="BG23" s="297">
        <v>0</v>
      </c>
      <c r="BH23" s="297">
        <v>225681</v>
      </c>
      <c r="BI23" s="293">
        <f t="shared" si="17"/>
        <v>225681</v>
      </c>
      <c r="BJ23" s="298">
        <v>131</v>
      </c>
      <c r="BK23" s="295">
        <f t="shared" si="18"/>
        <v>166508</v>
      </c>
      <c r="BL23" s="295">
        <f t="shared" si="19"/>
        <v>1271.0534351145038</v>
      </c>
      <c r="BM23" s="297">
        <v>166508</v>
      </c>
      <c r="BN23" s="297"/>
      <c r="BO23" s="297"/>
      <c r="BP23" s="297"/>
      <c r="BQ23" s="297"/>
      <c r="BR23" s="297">
        <v>149064</v>
      </c>
      <c r="BS23" s="293">
        <v>149064</v>
      </c>
      <c r="BT23" s="12">
        <v>60</v>
      </c>
      <c r="BU23" s="295">
        <f t="shared" si="21"/>
        <v>63237</v>
      </c>
      <c r="BV23" s="295">
        <f>IFERROR(BU23/BT23,0)</f>
        <v>1053.95</v>
      </c>
      <c r="BW23" s="11">
        <v>63237</v>
      </c>
      <c r="BX23" s="11"/>
      <c r="BY23" s="11"/>
      <c r="BZ23" s="11"/>
      <c r="CA23" s="11"/>
      <c r="CB23" s="11">
        <v>51915</v>
      </c>
      <c r="CC23" s="293">
        <f t="shared" si="23"/>
        <v>51915</v>
      </c>
    </row>
    <row r="24" spans="1:81" s="308" customFormat="1" ht="15.95" customHeight="1" x14ac:dyDescent="0.2">
      <c r="A24" s="307" t="s">
        <v>250</v>
      </c>
      <c r="B24" s="298"/>
      <c r="C24" s="295">
        <f t="shared" si="0"/>
        <v>0</v>
      </c>
      <c r="D24" s="295">
        <f t="shared" si="1"/>
        <v>0</v>
      </c>
      <c r="E24" s="297"/>
      <c r="F24" s="297"/>
      <c r="G24" s="297"/>
      <c r="H24" s="297"/>
      <c r="I24" s="297"/>
      <c r="J24" s="297"/>
      <c r="K24" s="293">
        <f t="shared" si="2"/>
        <v>0</v>
      </c>
      <c r="L24" s="294"/>
      <c r="M24" s="295">
        <f t="shared" si="3"/>
        <v>0</v>
      </c>
      <c r="N24" s="295">
        <f t="shared" si="4"/>
        <v>0</v>
      </c>
      <c r="O24" s="297"/>
      <c r="P24" s="297"/>
      <c r="Q24" s="297"/>
      <c r="R24" s="297"/>
      <c r="S24" s="297"/>
      <c r="T24" s="297"/>
      <c r="U24" s="293">
        <f t="shared" si="5"/>
        <v>0</v>
      </c>
      <c r="V24" s="298"/>
      <c r="W24" s="295">
        <f t="shared" si="6"/>
        <v>0</v>
      </c>
      <c r="X24" s="295">
        <f t="shared" si="7"/>
        <v>0</v>
      </c>
      <c r="Y24" s="297"/>
      <c r="Z24" s="297"/>
      <c r="AA24" s="297"/>
      <c r="AB24" s="297"/>
      <c r="AC24" s="297"/>
      <c r="AD24" s="297"/>
      <c r="AE24" s="293">
        <f t="shared" si="8"/>
        <v>0</v>
      </c>
      <c r="AF24" s="294"/>
      <c r="AG24" s="295">
        <f t="shared" si="9"/>
        <v>0</v>
      </c>
      <c r="AH24" s="295">
        <f t="shared" si="10"/>
        <v>0</v>
      </c>
      <c r="AI24" s="297"/>
      <c r="AJ24" s="297"/>
      <c r="AK24" s="297"/>
      <c r="AL24" s="297"/>
      <c r="AM24" s="297"/>
      <c r="AN24" s="297"/>
      <c r="AO24" s="293">
        <f t="shared" si="11"/>
        <v>0</v>
      </c>
      <c r="AP24" s="298"/>
      <c r="AQ24" s="295">
        <f t="shared" si="12"/>
        <v>0</v>
      </c>
      <c r="AR24" s="295">
        <f t="shared" si="13"/>
        <v>0</v>
      </c>
      <c r="AS24" s="297"/>
      <c r="AT24" s="297"/>
      <c r="AU24" s="297"/>
      <c r="AV24" s="297"/>
      <c r="AW24" s="297"/>
      <c r="AX24" s="297"/>
      <c r="AY24" s="293">
        <f t="shared" si="14"/>
        <v>0</v>
      </c>
      <c r="AZ24" s="298">
        <v>576</v>
      </c>
      <c r="BA24" s="295">
        <f t="shared" si="15"/>
        <v>1112747</v>
      </c>
      <c r="BB24" s="295">
        <f t="shared" si="16"/>
        <v>1931.8524305555557</v>
      </c>
      <c r="BC24" s="297">
        <v>0</v>
      </c>
      <c r="BD24" s="297">
        <v>1112747</v>
      </c>
      <c r="BE24" s="297">
        <v>0</v>
      </c>
      <c r="BF24" s="297">
        <v>0</v>
      </c>
      <c r="BG24" s="297">
        <v>0</v>
      </c>
      <c r="BH24" s="297">
        <v>1092272</v>
      </c>
      <c r="BI24" s="293">
        <f t="shared" si="17"/>
        <v>0</v>
      </c>
      <c r="BJ24" s="298">
        <v>688</v>
      </c>
      <c r="BK24" s="295">
        <f t="shared" si="18"/>
        <v>1201575</v>
      </c>
      <c r="BL24" s="295">
        <f t="shared" si="19"/>
        <v>1746.4752906976744</v>
      </c>
      <c r="BM24" s="297"/>
      <c r="BN24" s="297">
        <v>1201575</v>
      </c>
      <c r="BO24" s="297"/>
      <c r="BP24" s="297"/>
      <c r="BQ24" s="297"/>
      <c r="BR24" s="297">
        <v>1185513</v>
      </c>
      <c r="BS24" s="293">
        <f t="shared" si="20"/>
        <v>0</v>
      </c>
      <c r="BT24" s="12">
        <v>560</v>
      </c>
      <c r="BU24" s="295">
        <f t="shared" si="21"/>
        <v>1302244</v>
      </c>
      <c r="BV24" s="295">
        <f>IFERROR(BU24/BT24,0)</f>
        <v>2325.4357142857143</v>
      </c>
      <c r="BW24" s="11"/>
      <c r="BX24" s="11">
        <v>1302244</v>
      </c>
      <c r="BY24" s="11"/>
      <c r="BZ24" s="11"/>
      <c r="CA24" s="11"/>
      <c r="CB24" s="11">
        <v>1302244</v>
      </c>
      <c r="CC24" s="293">
        <f t="shared" si="23"/>
        <v>0</v>
      </c>
    </row>
    <row r="25" spans="1:81" s="308" customFormat="1" ht="15.95" customHeight="1" x14ac:dyDescent="0.2">
      <c r="A25" s="56"/>
      <c r="B25" s="298"/>
      <c r="C25" s="295">
        <f t="shared" si="0"/>
        <v>0</v>
      </c>
      <c r="D25" s="295">
        <f t="shared" si="1"/>
        <v>0</v>
      </c>
      <c r="E25" s="297"/>
      <c r="F25" s="297"/>
      <c r="G25" s="297"/>
      <c r="H25" s="297"/>
      <c r="I25" s="297"/>
      <c r="J25" s="297"/>
      <c r="K25" s="293">
        <f t="shared" si="2"/>
        <v>0</v>
      </c>
      <c r="L25" s="294"/>
      <c r="M25" s="295">
        <f t="shared" si="3"/>
        <v>0</v>
      </c>
      <c r="N25" s="295">
        <f t="shared" si="4"/>
        <v>0</v>
      </c>
      <c r="O25" s="297"/>
      <c r="P25" s="297"/>
      <c r="Q25" s="297"/>
      <c r="R25" s="297"/>
      <c r="S25" s="297"/>
      <c r="T25" s="297"/>
      <c r="U25" s="293">
        <f t="shared" si="5"/>
        <v>0</v>
      </c>
      <c r="V25" s="298"/>
      <c r="W25" s="295">
        <f t="shared" si="6"/>
        <v>0</v>
      </c>
      <c r="X25" s="295">
        <f t="shared" si="7"/>
        <v>0</v>
      </c>
      <c r="Y25" s="297"/>
      <c r="Z25" s="297"/>
      <c r="AA25" s="297"/>
      <c r="AB25" s="297"/>
      <c r="AC25" s="297"/>
      <c r="AD25" s="297"/>
      <c r="AE25" s="293">
        <f t="shared" si="8"/>
        <v>0</v>
      </c>
      <c r="AF25" s="294"/>
      <c r="AG25" s="295">
        <f t="shared" si="9"/>
        <v>0</v>
      </c>
      <c r="AH25" s="295">
        <f t="shared" si="10"/>
        <v>0</v>
      </c>
      <c r="AI25" s="297"/>
      <c r="AJ25" s="297"/>
      <c r="AK25" s="297"/>
      <c r="AL25" s="297"/>
      <c r="AM25" s="297"/>
      <c r="AN25" s="297"/>
      <c r="AO25" s="293">
        <f t="shared" si="11"/>
        <v>0</v>
      </c>
      <c r="AP25" s="298"/>
      <c r="AQ25" s="295">
        <f t="shared" si="12"/>
        <v>0</v>
      </c>
      <c r="AR25" s="295">
        <f t="shared" si="13"/>
        <v>0</v>
      </c>
      <c r="AS25" s="297"/>
      <c r="AT25" s="297"/>
      <c r="AU25" s="297"/>
      <c r="AV25" s="297"/>
      <c r="AW25" s="297"/>
      <c r="AX25" s="297"/>
      <c r="AY25" s="293">
        <f t="shared" si="14"/>
        <v>0</v>
      </c>
      <c r="AZ25" s="298"/>
      <c r="BA25" s="295">
        <f t="shared" si="15"/>
        <v>0</v>
      </c>
      <c r="BB25" s="295">
        <f t="shared" si="16"/>
        <v>0</v>
      </c>
      <c r="BC25" s="297"/>
      <c r="BD25" s="297"/>
      <c r="BE25" s="297"/>
      <c r="BF25" s="297"/>
      <c r="BG25" s="297"/>
      <c r="BH25" s="297"/>
      <c r="BI25" s="293">
        <f t="shared" si="17"/>
        <v>0</v>
      </c>
      <c r="BJ25" s="298"/>
      <c r="BK25" s="295">
        <f t="shared" si="18"/>
        <v>0</v>
      </c>
      <c r="BL25" s="295">
        <f t="shared" si="19"/>
        <v>0</v>
      </c>
      <c r="BM25" s="297"/>
      <c r="BN25" s="297"/>
      <c r="BO25" s="297"/>
      <c r="BP25" s="297"/>
      <c r="BQ25" s="297"/>
      <c r="BR25" s="297"/>
      <c r="BS25" s="293">
        <f t="shared" si="20"/>
        <v>0</v>
      </c>
      <c r="BT25" s="12"/>
      <c r="BU25" s="295">
        <f t="shared" si="21"/>
        <v>0</v>
      </c>
      <c r="BV25" s="295">
        <f t="shared" si="22"/>
        <v>0</v>
      </c>
      <c r="BW25" s="11"/>
      <c r="BX25" s="11"/>
      <c r="BY25" s="11"/>
      <c r="BZ25" s="11"/>
      <c r="CA25" s="11"/>
      <c r="CB25" s="11"/>
      <c r="CC25" s="293">
        <f t="shared" si="23"/>
        <v>0</v>
      </c>
    </row>
    <row r="26" spans="1:81" s="308" customFormat="1" ht="15.95" customHeight="1" x14ac:dyDescent="0.2">
      <c r="A26" s="56"/>
      <c r="B26" s="298"/>
      <c r="C26" s="295">
        <f t="shared" si="0"/>
        <v>0</v>
      </c>
      <c r="D26" s="295">
        <f t="shared" si="1"/>
        <v>0</v>
      </c>
      <c r="E26" s="297"/>
      <c r="F26" s="297"/>
      <c r="G26" s="297"/>
      <c r="H26" s="297"/>
      <c r="I26" s="297"/>
      <c r="J26" s="297"/>
      <c r="K26" s="293">
        <f t="shared" si="2"/>
        <v>0</v>
      </c>
      <c r="L26" s="294"/>
      <c r="M26" s="295">
        <f t="shared" si="3"/>
        <v>0</v>
      </c>
      <c r="N26" s="295">
        <f t="shared" si="4"/>
        <v>0</v>
      </c>
      <c r="O26" s="297"/>
      <c r="P26" s="297"/>
      <c r="Q26" s="297"/>
      <c r="R26" s="297"/>
      <c r="S26" s="297"/>
      <c r="T26" s="297"/>
      <c r="U26" s="293">
        <f t="shared" si="5"/>
        <v>0</v>
      </c>
      <c r="V26" s="298"/>
      <c r="W26" s="295">
        <f t="shared" si="6"/>
        <v>0</v>
      </c>
      <c r="X26" s="295">
        <f t="shared" si="7"/>
        <v>0</v>
      </c>
      <c r="Y26" s="297"/>
      <c r="Z26" s="297"/>
      <c r="AA26" s="297"/>
      <c r="AB26" s="297"/>
      <c r="AC26" s="297"/>
      <c r="AD26" s="297"/>
      <c r="AE26" s="293">
        <f t="shared" si="8"/>
        <v>0</v>
      </c>
      <c r="AF26" s="294"/>
      <c r="AG26" s="295">
        <f t="shared" si="9"/>
        <v>0</v>
      </c>
      <c r="AH26" s="295">
        <f t="shared" si="10"/>
        <v>0</v>
      </c>
      <c r="AI26" s="297"/>
      <c r="AJ26" s="297"/>
      <c r="AK26" s="297"/>
      <c r="AL26" s="297"/>
      <c r="AM26" s="297"/>
      <c r="AN26" s="297"/>
      <c r="AO26" s="293">
        <f t="shared" si="11"/>
        <v>0</v>
      </c>
      <c r="AP26" s="298"/>
      <c r="AQ26" s="295">
        <f t="shared" si="12"/>
        <v>0</v>
      </c>
      <c r="AR26" s="295">
        <f t="shared" si="13"/>
        <v>0</v>
      </c>
      <c r="AS26" s="297"/>
      <c r="AT26" s="297"/>
      <c r="AU26" s="297"/>
      <c r="AV26" s="297"/>
      <c r="AW26" s="297"/>
      <c r="AX26" s="297"/>
      <c r="AY26" s="293">
        <f t="shared" si="14"/>
        <v>0</v>
      </c>
      <c r="AZ26" s="298"/>
      <c r="BA26" s="295">
        <f t="shared" si="15"/>
        <v>0</v>
      </c>
      <c r="BB26" s="295">
        <f t="shared" si="16"/>
        <v>0</v>
      </c>
      <c r="BC26" s="297"/>
      <c r="BD26" s="297"/>
      <c r="BE26" s="297"/>
      <c r="BF26" s="297"/>
      <c r="BG26" s="297"/>
      <c r="BH26" s="297"/>
      <c r="BI26" s="293">
        <f t="shared" si="17"/>
        <v>0</v>
      </c>
      <c r="BJ26" s="298"/>
      <c r="BK26" s="295">
        <f t="shared" si="18"/>
        <v>0</v>
      </c>
      <c r="BL26" s="295">
        <f t="shared" si="19"/>
        <v>0</v>
      </c>
      <c r="BM26" s="297"/>
      <c r="BN26" s="297"/>
      <c r="BO26" s="297"/>
      <c r="BP26" s="297"/>
      <c r="BQ26" s="297"/>
      <c r="BR26" s="297"/>
      <c r="BS26" s="293">
        <f t="shared" si="20"/>
        <v>0</v>
      </c>
      <c r="BT26" s="12"/>
      <c r="BU26" s="295">
        <f t="shared" si="21"/>
        <v>0</v>
      </c>
      <c r="BV26" s="295">
        <f t="shared" si="22"/>
        <v>0</v>
      </c>
      <c r="BW26" s="11"/>
      <c r="BX26" s="11"/>
      <c r="BY26" s="11"/>
      <c r="BZ26" s="11"/>
      <c r="CA26" s="11"/>
      <c r="CB26" s="11"/>
      <c r="CC26" s="293">
        <f t="shared" si="23"/>
        <v>0</v>
      </c>
    </row>
    <row r="27" spans="1:81" s="308" customFormat="1" ht="15.95" customHeight="1" x14ac:dyDescent="0.2">
      <c r="A27" s="56"/>
      <c r="B27" s="298"/>
      <c r="C27" s="295">
        <f t="shared" si="0"/>
        <v>0</v>
      </c>
      <c r="D27" s="295">
        <f t="shared" si="1"/>
        <v>0</v>
      </c>
      <c r="E27" s="297"/>
      <c r="F27" s="297"/>
      <c r="G27" s="297"/>
      <c r="H27" s="297"/>
      <c r="I27" s="297"/>
      <c r="J27" s="297"/>
      <c r="K27" s="293">
        <f t="shared" si="2"/>
        <v>0</v>
      </c>
      <c r="L27" s="294"/>
      <c r="M27" s="295">
        <f t="shared" si="3"/>
        <v>0</v>
      </c>
      <c r="N27" s="295">
        <f t="shared" si="4"/>
        <v>0</v>
      </c>
      <c r="O27" s="297"/>
      <c r="P27" s="297"/>
      <c r="Q27" s="297"/>
      <c r="R27" s="297"/>
      <c r="S27" s="297"/>
      <c r="T27" s="297"/>
      <c r="U27" s="293">
        <f t="shared" si="5"/>
        <v>0</v>
      </c>
      <c r="V27" s="298"/>
      <c r="W27" s="295">
        <f t="shared" si="6"/>
        <v>0</v>
      </c>
      <c r="X27" s="295">
        <f t="shared" si="7"/>
        <v>0</v>
      </c>
      <c r="Y27" s="297"/>
      <c r="Z27" s="297"/>
      <c r="AA27" s="297"/>
      <c r="AB27" s="297"/>
      <c r="AC27" s="297"/>
      <c r="AD27" s="297"/>
      <c r="AE27" s="293">
        <f t="shared" si="8"/>
        <v>0</v>
      </c>
      <c r="AF27" s="294"/>
      <c r="AG27" s="295">
        <f t="shared" si="9"/>
        <v>0</v>
      </c>
      <c r="AH27" s="295">
        <f t="shared" si="10"/>
        <v>0</v>
      </c>
      <c r="AI27" s="297"/>
      <c r="AJ27" s="297"/>
      <c r="AK27" s="297"/>
      <c r="AL27" s="297"/>
      <c r="AM27" s="297"/>
      <c r="AN27" s="297"/>
      <c r="AO27" s="293">
        <f t="shared" si="11"/>
        <v>0</v>
      </c>
      <c r="AP27" s="298"/>
      <c r="AQ27" s="295">
        <f t="shared" si="12"/>
        <v>0</v>
      </c>
      <c r="AR27" s="295">
        <f t="shared" si="13"/>
        <v>0</v>
      </c>
      <c r="AS27" s="297"/>
      <c r="AT27" s="297"/>
      <c r="AU27" s="297"/>
      <c r="AV27" s="297"/>
      <c r="AW27" s="297"/>
      <c r="AX27" s="297"/>
      <c r="AY27" s="293">
        <f t="shared" si="14"/>
        <v>0</v>
      </c>
      <c r="AZ27" s="298"/>
      <c r="BA27" s="295">
        <f t="shared" si="15"/>
        <v>0</v>
      </c>
      <c r="BB27" s="295">
        <f t="shared" si="16"/>
        <v>0</v>
      </c>
      <c r="BC27" s="297"/>
      <c r="BD27" s="297"/>
      <c r="BE27" s="297"/>
      <c r="BF27" s="297"/>
      <c r="BG27" s="297"/>
      <c r="BH27" s="297"/>
      <c r="BI27" s="293">
        <f t="shared" si="17"/>
        <v>0</v>
      </c>
      <c r="BJ27" s="298"/>
      <c r="BK27" s="295">
        <f t="shared" si="18"/>
        <v>0</v>
      </c>
      <c r="BL27" s="295">
        <f t="shared" si="19"/>
        <v>0</v>
      </c>
      <c r="BM27" s="297"/>
      <c r="BN27" s="297"/>
      <c r="BO27" s="297"/>
      <c r="BP27" s="297"/>
      <c r="BQ27" s="297"/>
      <c r="BR27" s="297"/>
      <c r="BS27" s="293">
        <f t="shared" si="20"/>
        <v>0</v>
      </c>
      <c r="BT27" s="12"/>
      <c r="BU27" s="295">
        <f t="shared" si="21"/>
        <v>0</v>
      </c>
      <c r="BV27" s="295">
        <f t="shared" si="22"/>
        <v>0</v>
      </c>
      <c r="BW27" s="11"/>
      <c r="BX27" s="11"/>
      <c r="BY27" s="11"/>
      <c r="BZ27" s="11"/>
      <c r="CA27" s="11"/>
      <c r="CB27" s="11"/>
      <c r="CC27" s="293">
        <f t="shared" si="23"/>
        <v>0</v>
      </c>
    </row>
    <row r="28" spans="1:81" s="308" customFormat="1" ht="15.95" customHeight="1" x14ac:dyDescent="0.2">
      <c r="A28" s="56"/>
      <c r="B28" s="298"/>
      <c r="C28" s="295">
        <f t="shared" si="0"/>
        <v>0</v>
      </c>
      <c r="D28" s="295">
        <f t="shared" si="1"/>
        <v>0</v>
      </c>
      <c r="E28" s="297"/>
      <c r="F28" s="297"/>
      <c r="G28" s="297"/>
      <c r="H28" s="297"/>
      <c r="I28" s="297"/>
      <c r="J28" s="297"/>
      <c r="K28" s="293">
        <f t="shared" si="2"/>
        <v>0</v>
      </c>
      <c r="L28" s="294"/>
      <c r="M28" s="295">
        <f t="shared" si="3"/>
        <v>0</v>
      </c>
      <c r="N28" s="295">
        <f t="shared" si="4"/>
        <v>0</v>
      </c>
      <c r="O28" s="297"/>
      <c r="P28" s="297"/>
      <c r="Q28" s="297"/>
      <c r="R28" s="297"/>
      <c r="S28" s="297"/>
      <c r="T28" s="297"/>
      <c r="U28" s="293">
        <f t="shared" si="5"/>
        <v>0</v>
      </c>
      <c r="V28" s="298"/>
      <c r="W28" s="295">
        <f t="shared" si="6"/>
        <v>0</v>
      </c>
      <c r="X28" s="295">
        <f t="shared" si="7"/>
        <v>0</v>
      </c>
      <c r="Y28" s="297"/>
      <c r="Z28" s="297"/>
      <c r="AA28" s="297"/>
      <c r="AB28" s="297"/>
      <c r="AC28" s="297"/>
      <c r="AD28" s="297"/>
      <c r="AE28" s="293">
        <f t="shared" si="8"/>
        <v>0</v>
      </c>
      <c r="AF28" s="294"/>
      <c r="AG28" s="295">
        <f t="shared" si="9"/>
        <v>0</v>
      </c>
      <c r="AH28" s="295">
        <f t="shared" si="10"/>
        <v>0</v>
      </c>
      <c r="AI28" s="297"/>
      <c r="AJ28" s="297"/>
      <c r="AK28" s="297"/>
      <c r="AL28" s="297"/>
      <c r="AM28" s="297"/>
      <c r="AN28" s="297"/>
      <c r="AO28" s="293">
        <f t="shared" si="11"/>
        <v>0</v>
      </c>
      <c r="AP28" s="298"/>
      <c r="AQ28" s="295">
        <f t="shared" si="12"/>
        <v>0</v>
      </c>
      <c r="AR28" s="295">
        <f t="shared" si="13"/>
        <v>0</v>
      </c>
      <c r="AS28" s="297"/>
      <c r="AT28" s="297"/>
      <c r="AU28" s="297"/>
      <c r="AV28" s="297"/>
      <c r="AW28" s="297"/>
      <c r="AX28" s="297"/>
      <c r="AY28" s="293">
        <f t="shared" si="14"/>
        <v>0</v>
      </c>
      <c r="AZ28" s="298"/>
      <c r="BA28" s="295">
        <f t="shared" si="15"/>
        <v>0</v>
      </c>
      <c r="BB28" s="295">
        <f t="shared" si="16"/>
        <v>0</v>
      </c>
      <c r="BC28" s="297"/>
      <c r="BD28" s="297"/>
      <c r="BE28" s="297"/>
      <c r="BF28" s="297"/>
      <c r="BG28" s="297"/>
      <c r="BH28" s="297"/>
      <c r="BI28" s="293">
        <f t="shared" si="17"/>
        <v>0</v>
      </c>
      <c r="BJ28" s="298"/>
      <c r="BK28" s="295">
        <f t="shared" si="18"/>
        <v>0</v>
      </c>
      <c r="BL28" s="295">
        <f t="shared" si="19"/>
        <v>0</v>
      </c>
      <c r="BM28" s="297"/>
      <c r="BN28" s="297"/>
      <c r="BO28" s="297"/>
      <c r="BP28" s="297"/>
      <c r="BQ28" s="297"/>
      <c r="BR28" s="297"/>
      <c r="BS28" s="293">
        <f t="shared" si="20"/>
        <v>0</v>
      </c>
      <c r="BT28" s="12"/>
      <c r="BU28" s="295">
        <f t="shared" si="21"/>
        <v>0</v>
      </c>
      <c r="BV28" s="295">
        <f t="shared" si="22"/>
        <v>0</v>
      </c>
      <c r="BW28" s="11"/>
      <c r="BX28" s="11"/>
      <c r="BY28" s="11"/>
      <c r="BZ28" s="11"/>
      <c r="CA28" s="11"/>
      <c r="CB28" s="11"/>
      <c r="CC28" s="293">
        <f t="shared" si="23"/>
        <v>0</v>
      </c>
    </row>
    <row r="29" spans="1:81" s="308" customFormat="1" ht="15.95" customHeight="1" x14ac:dyDescent="0.2">
      <c r="A29" s="56"/>
      <c r="B29" s="298"/>
      <c r="C29" s="295">
        <f t="shared" si="0"/>
        <v>0</v>
      </c>
      <c r="D29" s="295">
        <f t="shared" si="1"/>
        <v>0</v>
      </c>
      <c r="E29" s="297"/>
      <c r="F29" s="297"/>
      <c r="G29" s="297"/>
      <c r="H29" s="297"/>
      <c r="I29" s="297"/>
      <c r="J29" s="297"/>
      <c r="K29" s="293">
        <f t="shared" si="2"/>
        <v>0</v>
      </c>
      <c r="L29" s="294"/>
      <c r="M29" s="295">
        <f t="shared" si="3"/>
        <v>0</v>
      </c>
      <c r="N29" s="295">
        <f t="shared" si="4"/>
        <v>0</v>
      </c>
      <c r="O29" s="297"/>
      <c r="P29" s="297"/>
      <c r="Q29" s="297"/>
      <c r="R29" s="297"/>
      <c r="S29" s="297"/>
      <c r="T29" s="297"/>
      <c r="U29" s="293">
        <f t="shared" si="5"/>
        <v>0</v>
      </c>
      <c r="V29" s="298"/>
      <c r="W29" s="295">
        <f t="shared" si="6"/>
        <v>0</v>
      </c>
      <c r="X29" s="295">
        <f t="shared" si="7"/>
        <v>0</v>
      </c>
      <c r="Y29" s="297"/>
      <c r="Z29" s="297"/>
      <c r="AA29" s="297"/>
      <c r="AB29" s="297"/>
      <c r="AC29" s="297"/>
      <c r="AD29" s="297"/>
      <c r="AE29" s="293">
        <f t="shared" si="8"/>
        <v>0</v>
      </c>
      <c r="AF29" s="294"/>
      <c r="AG29" s="295">
        <f t="shared" si="9"/>
        <v>0</v>
      </c>
      <c r="AH29" s="295">
        <f t="shared" si="10"/>
        <v>0</v>
      </c>
      <c r="AI29" s="297"/>
      <c r="AJ29" s="297"/>
      <c r="AK29" s="297"/>
      <c r="AL29" s="297"/>
      <c r="AM29" s="297"/>
      <c r="AN29" s="297"/>
      <c r="AO29" s="293">
        <f t="shared" si="11"/>
        <v>0</v>
      </c>
      <c r="AP29" s="298"/>
      <c r="AQ29" s="295">
        <f t="shared" si="12"/>
        <v>0</v>
      </c>
      <c r="AR29" s="295">
        <f t="shared" si="13"/>
        <v>0</v>
      </c>
      <c r="AS29" s="297"/>
      <c r="AT29" s="297"/>
      <c r="AU29" s="297"/>
      <c r="AV29" s="297"/>
      <c r="AW29" s="297"/>
      <c r="AX29" s="297"/>
      <c r="AY29" s="293">
        <f t="shared" si="14"/>
        <v>0</v>
      </c>
      <c r="AZ29" s="298"/>
      <c r="BA29" s="295">
        <f t="shared" si="15"/>
        <v>0</v>
      </c>
      <c r="BB29" s="295">
        <f t="shared" si="16"/>
        <v>0</v>
      </c>
      <c r="BC29" s="297"/>
      <c r="BD29" s="297"/>
      <c r="BE29" s="297"/>
      <c r="BF29" s="297"/>
      <c r="BG29" s="297"/>
      <c r="BH29" s="297"/>
      <c r="BI29" s="293">
        <f t="shared" si="17"/>
        <v>0</v>
      </c>
      <c r="BJ29" s="298"/>
      <c r="BK29" s="295">
        <f t="shared" si="18"/>
        <v>0</v>
      </c>
      <c r="BL29" s="295">
        <f t="shared" si="19"/>
        <v>0</v>
      </c>
      <c r="BM29" s="297"/>
      <c r="BN29" s="297"/>
      <c r="BO29" s="297"/>
      <c r="BP29" s="297"/>
      <c r="BQ29" s="297"/>
      <c r="BR29" s="297"/>
      <c r="BS29" s="293">
        <f t="shared" si="20"/>
        <v>0</v>
      </c>
      <c r="BT29" s="12"/>
      <c r="BU29" s="295">
        <f t="shared" si="21"/>
        <v>0</v>
      </c>
      <c r="BV29" s="295">
        <f t="shared" si="22"/>
        <v>0</v>
      </c>
      <c r="BW29" s="11"/>
      <c r="BX29" s="11"/>
      <c r="BY29" s="11"/>
      <c r="BZ29" s="11"/>
      <c r="CA29" s="11"/>
      <c r="CB29" s="11"/>
      <c r="CC29" s="293">
        <f t="shared" si="23"/>
        <v>0</v>
      </c>
    </row>
    <row r="30" spans="1:81" s="308" customFormat="1" ht="15.95" customHeight="1" x14ac:dyDescent="0.2">
      <c r="A30" s="56"/>
      <c r="B30" s="298"/>
      <c r="C30" s="295">
        <f t="shared" si="0"/>
        <v>0</v>
      </c>
      <c r="D30" s="295">
        <f t="shared" si="1"/>
        <v>0</v>
      </c>
      <c r="E30" s="297"/>
      <c r="F30" s="297"/>
      <c r="G30" s="297"/>
      <c r="H30" s="297"/>
      <c r="I30" s="297"/>
      <c r="J30" s="297"/>
      <c r="K30" s="293">
        <f t="shared" si="2"/>
        <v>0</v>
      </c>
      <c r="L30" s="294"/>
      <c r="M30" s="295">
        <f t="shared" si="3"/>
        <v>0</v>
      </c>
      <c r="N30" s="295">
        <f t="shared" si="4"/>
        <v>0</v>
      </c>
      <c r="O30" s="297"/>
      <c r="P30" s="297"/>
      <c r="Q30" s="297"/>
      <c r="R30" s="297"/>
      <c r="S30" s="297"/>
      <c r="T30" s="297"/>
      <c r="U30" s="293">
        <f t="shared" si="5"/>
        <v>0</v>
      </c>
      <c r="V30" s="298"/>
      <c r="W30" s="295">
        <f t="shared" si="6"/>
        <v>0</v>
      </c>
      <c r="X30" s="295">
        <f t="shared" si="7"/>
        <v>0</v>
      </c>
      <c r="Y30" s="297"/>
      <c r="Z30" s="297"/>
      <c r="AA30" s="297"/>
      <c r="AB30" s="297"/>
      <c r="AC30" s="297"/>
      <c r="AD30" s="297"/>
      <c r="AE30" s="293">
        <f t="shared" si="8"/>
        <v>0</v>
      </c>
      <c r="AF30" s="294"/>
      <c r="AG30" s="295">
        <f t="shared" si="9"/>
        <v>0</v>
      </c>
      <c r="AH30" s="295">
        <f t="shared" si="10"/>
        <v>0</v>
      </c>
      <c r="AI30" s="297"/>
      <c r="AJ30" s="297"/>
      <c r="AK30" s="297"/>
      <c r="AL30" s="297"/>
      <c r="AM30" s="297"/>
      <c r="AN30" s="297"/>
      <c r="AO30" s="293">
        <f t="shared" si="11"/>
        <v>0</v>
      </c>
      <c r="AP30" s="298"/>
      <c r="AQ30" s="295">
        <f t="shared" si="12"/>
        <v>0</v>
      </c>
      <c r="AR30" s="295">
        <f t="shared" si="13"/>
        <v>0</v>
      </c>
      <c r="AS30" s="297"/>
      <c r="AT30" s="297"/>
      <c r="AU30" s="297"/>
      <c r="AV30" s="297"/>
      <c r="AW30" s="297"/>
      <c r="AX30" s="297"/>
      <c r="AY30" s="293">
        <f t="shared" si="14"/>
        <v>0</v>
      </c>
      <c r="AZ30" s="298"/>
      <c r="BA30" s="295">
        <f t="shared" si="15"/>
        <v>0</v>
      </c>
      <c r="BB30" s="295">
        <f t="shared" si="16"/>
        <v>0</v>
      </c>
      <c r="BC30" s="297"/>
      <c r="BD30" s="297"/>
      <c r="BE30" s="297"/>
      <c r="BF30" s="297"/>
      <c r="BG30" s="297"/>
      <c r="BH30" s="297"/>
      <c r="BI30" s="293">
        <f t="shared" si="17"/>
        <v>0</v>
      </c>
      <c r="BJ30" s="298"/>
      <c r="BK30" s="295">
        <f t="shared" si="18"/>
        <v>0</v>
      </c>
      <c r="BL30" s="295">
        <f t="shared" si="19"/>
        <v>0</v>
      </c>
      <c r="BM30" s="297"/>
      <c r="BN30" s="297"/>
      <c r="BO30" s="297"/>
      <c r="BP30" s="297"/>
      <c r="BQ30" s="297"/>
      <c r="BR30" s="297"/>
      <c r="BS30" s="293">
        <f t="shared" si="20"/>
        <v>0</v>
      </c>
      <c r="BT30" s="12"/>
      <c r="BU30" s="295">
        <f t="shared" si="21"/>
        <v>0</v>
      </c>
      <c r="BV30" s="295">
        <f t="shared" si="22"/>
        <v>0</v>
      </c>
      <c r="BW30" s="11"/>
      <c r="BX30" s="11"/>
      <c r="BY30" s="11"/>
      <c r="BZ30" s="11"/>
      <c r="CA30" s="11"/>
      <c r="CB30" s="11"/>
      <c r="CC30" s="293">
        <f t="shared" si="23"/>
        <v>0</v>
      </c>
    </row>
    <row r="31" spans="1:81" ht="15.95" customHeight="1" x14ac:dyDescent="0.2">
      <c r="A31" s="309" t="s">
        <v>102</v>
      </c>
      <c r="B31" s="306"/>
      <c r="C31" s="290"/>
      <c r="D31" s="290"/>
      <c r="E31" s="292"/>
      <c r="F31" s="292"/>
      <c r="G31" s="292"/>
      <c r="H31" s="292"/>
      <c r="I31" s="292"/>
      <c r="J31" s="292"/>
      <c r="K31" s="293"/>
      <c r="L31" s="294"/>
      <c r="M31" s="295"/>
      <c r="N31" s="295"/>
      <c r="O31" s="297"/>
      <c r="P31" s="297"/>
      <c r="Q31" s="297"/>
      <c r="R31" s="297"/>
      <c r="S31" s="297"/>
      <c r="T31" s="297"/>
      <c r="U31" s="293"/>
      <c r="V31" s="298"/>
      <c r="W31" s="295"/>
      <c r="X31" s="295"/>
      <c r="Y31" s="297"/>
      <c r="Z31" s="297"/>
      <c r="AA31" s="297"/>
      <c r="AB31" s="297"/>
      <c r="AC31" s="297"/>
      <c r="AD31" s="297"/>
      <c r="AE31" s="293"/>
      <c r="AF31" s="294"/>
      <c r="AG31" s="295"/>
      <c r="AH31" s="295"/>
      <c r="AI31" s="297"/>
      <c r="AJ31" s="297"/>
      <c r="AK31" s="297"/>
      <c r="AL31" s="297"/>
      <c r="AM31" s="297"/>
      <c r="AN31" s="297"/>
      <c r="AO31" s="293"/>
      <c r="AP31" s="298"/>
      <c r="AQ31" s="295"/>
      <c r="AR31" s="295"/>
      <c r="AS31" s="297"/>
      <c r="AT31" s="297"/>
      <c r="AU31" s="297"/>
      <c r="AV31" s="297"/>
      <c r="AW31" s="297"/>
      <c r="AX31" s="297"/>
      <c r="AY31" s="293"/>
      <c r="AZ31" s="298"/>
      <c r="BA31" s="295"/>
      <c r="BB31" s="295"/>
      <c r="BC31" s="297"/>
      <c r="BD31" s="297"/>
      <c r="BE31" s="297"/>
      <c r="BF31" s="297"/>
      <c r="BG31" s="297"/>
      <c r="BH31" s="297"/>
      <c r="BI31" s="293"/>
      <c r="BJ31" s="298"/>
      <c r="BK31" s="295"/>
      <c r="BL31" s="295"/>
      <c r="BM31" s="297"/>
      <c r="BN31" s="297"/>
      <c r="BO31" s="297"/>
      <c r="BP31" s="297"/>
      <c r="BQ31" s="297"/>
      <c r="BR31" s="297"/>
      <c r="BS31" s="293"/>
      <c r="BT31" s="298"/>
      <c r="BU31" s="295"/>
      <c r="BV31" s="295"/>
      <c r="BW31" s="297"/>
      <c r="BX31" s="297"/>
      <c r="BY31" s="297"/>
      <c r="BZ31" s="297"/>
      <c r="CA31" s="297"/>
      <c r="CB31" s="297"/>
      <c r="CC31" s="293"/>
    </row>
    <row r="32" spans="1:81" s="308" customFormat="1" ht="15.95" customHeight="1" x14ac:dyDescent="0.2">
      <c r="A32" s="310" t="s">
        <v>103</v>
      </c>
      <c r="B32" s="311">
        <f>SUM(B$10:B31)</f>
        <v>6420</v>
      </c>
      <c r="C32" s="295">
        <f>SUM(C$10:C31)</f>
        <v>22998020</v>
      </c>
      <c r="D32" s="295">
        <f>IFERROR(C32/B32,0)</f>
        <v>3582.2461059190032</v>
      </c>
      <c r="E32" s="312">
        <f>SUM(E$10:E31)</f>
        <v>322953</v>
      </c>
      <c r="F32" s="312">
        <f>SUM(F$10:F31)</f>
        <v>1429000</v>
      </c>
      <c r="G32" s="312">
        <f>SUM(G$10:G31)</f>
        <v>1185780</v>
      </c>
      <c r="H32" s="312">
        <f>SUM(H$10:H31)</f>
        <v>15307833</v>
      </c>
      <c r="I32" s="312">
        <f>SUM(I$10:I31)</f>
        <v>4752454</v>
      </c>
      <c r="J32" s="312">
        <f>SUM(J$10:J31)</f>
        <v>21729353</v>
      </c>
      <c r="K32" s="293">
        <f>SUM(K$10:K31)</f>
        <v>295274</v>
      </c>
      <c r="L32" s="313">
        <f>SUM(L$10:L31)</f>
        <v>6441</v>
      </c>
      <c r="M32" s="295">
        <f>SUM(M$10:M31)</f>
        <v>22764180</v>
      </c>
      <c r="N32" s="295">
        <f>IFERROR(M32/L32,0)</f>
        <v>3534.2617605961809</v>
      </c>
      <c r="O32" s="312">
        <f>SUM(O$10:O31)</f>
        <v>273372</v>
      </c>
      <c r="P32" s="312">
        <f>SUM(P$10:P31)</f>
        <v>1460667</v>
      </c>
      <c r="Q32" s="312">
        <f>SUM(Q$10:Q31)</f>
        <v>1221781</v>
      </c>
      <c r="R32" s="312">
        <f>SUM(R$10:R31)</f>
        <v>14653272</v>
      </c>
      <c r="S32" s="312">
        <f>SUM(S$10:S31)</f>
        <v>5155088</v>
      </c>
      <c r="T32" s="312">
        <f>SUM(T$10:T31)</f>
        <v>21522551</v>
      </c>
      <c r="U32" s="293">
        <f>SUM(U$10:U31)</f>
        <v>258931</v>
      </c>
      <c r="V32" s="311">
        <f>SUM(V$10:V31)</f>
        <v>6103</v>
      </c>
      <c r="W32" s="295">
        <f>SUM(W$10:W31)</f>
        <v>23184699</v>
      </c>
      <c r="X32" s="295">
        <f>IFERROR(W32/V32,0)</f>
        <v>3798.902015402261</v>
      </c>
      <c r="Y32" s="312">
        <f>SUM(Y$10:Y31)</f>
        <v>332767</v>
      </c>
      <c r="Z32" s="312">
        <f>SUM(Z$10:Z31)</f>
        <v>1504309</v>
      </c>
      <c r="AA32" s="312">
        <f>SUM(AA$10:AA31)</f>
        <v>1260487</v>
      </c>
      <c r="AB32" s="312">
        <f>SUM(AB$10:AB31)</f>
        <v>15109887</v>
      </c>
      <c r="AC32" s="312">
        <f>SUM(AC$10:AC31)</f>
        <v>4977249</v>
      </c>
      <c r="AD32" s="312">
        <f>SUM(AD$10:AD31)</f>
        <v>21949073</v>
      </c>
      <c r="AE32" s="293">
        <f>SUM(AE$10:AE31)</f>
        <v>309992</v>
      </c>
      <c r="AF32" s="313">
        <f>SUM(AF$10:AF31)</f>
        <v>6498</v>
      </c>
      <c r="AG32" s="295">
        <f>SUM(AG$10:AG31)</f>
        <v>23566151</v>
      </c>
      <c r="AH32" s="295">
        <f>IFERROR(AG32/AF32,0)</f>
        <v>3626.6775931055708</v>
      </c>
      <c r="AI32" s="312">
        <f>SUM(AI$10:AI31)</f>
        <v>703431</v>
      </c>
      <c r="AJ32" s="312">
        <f>SUM(AJ$10:AJ31)</f>
        <v>2702126</v>
      </c>
      <c r="AK32" s="312">
        <f>SUM(AK$10:AK31)</f>
        <v>1333455</v>
      </c>
      <c r="AL32" s="312">
        <f>SUM(AL$10:AL31)</f>
        <v>14173752</v>
      </c>
      <c r="AM32" s="312">
        <f>SUM(AM$10:AM31)</f>
        <v>4653387</v>
      </c>
      <c r="AN32" s="312">
        <f>SUM(AN$10:AN31)</f>
        <v>22507197</v>
      </c>
      <c r="AO32" s="293">
        <f>SUM(AO$10:AO31)</f>
        <v>686642</v>
      </c>
      <c r="AP32" s="311">
        <f>SUM(AP$10:AP31)</f>
        <v>5734</v>
      </c>
      <c r="AQ32" s="295">
        <f>SUM(AQ$10:AQ31)</f>
        <v>21385842</v>
      </c>
      <c r="AR32" s="295">
        <f>IFERROR(AQ32/AP32,0)</f>
        <v>3729.6550401116151</v>
      </c>
      <c r="AS32" s="312">
        <f>SUM(AS$10:AS31)</f>
        <v>484825</v>
      </c>
      <c r="AT32" s="312">
        <f>SUM(AT$10:AT31)</f>
        <v>1591403</v>
      </c>
      <c r="AU32" s="312">
        <f>SUM(AU$10:AU31)</f>
        <v>1459440</v>
      </c>
      <c r="AV32" s="312">
        <f>SUM(AV$10:AV31)</f>
        <v>13776007</v>
      </c>
      <c r="AW32" s="312">
        <f>SUM(AW$10:AW31)</f>
        <v>4074167</v>
      </c>
      <c r="AX32" s="312">
        <f>SUM(AX$10:AX31)</f>
        <v>20232739</v>
      </c>
      <c r="AY32" s="293">
        <f>SUM(AY$10:AY31)</f>
        <v>465000</v>
      </c>
      <c r="AZ32" s="311">
        <f>SUM(AZ$10:AZ31)</f>
        <v>6111</v>
      </c>
      <c r="BA32" s="295">
        <f>SUM(BA$10:BA31)</f>
        <v>21744054</v>
      </c>
      <c r="BB32" s="295">
        <f>IFERROR(BA32/AZ32,0)</f>
        <v>3558.1826215022093</v>
      </c>
      <c r="BC32" s="312">
        <f>SUM(BC$10:BC31)</f>
        <v>236618</v>
      </c>
      <c r="BD32" s="312">
        <f>SUM(BD$10:BD31)</f>
        <v>2870714</v>
      </c>
      <c r="BE32" s="312">
        <f>SUM(BE$10:BE31)</f>
        <v>1543007</v>
      </c>
      <c r="BF32" s="312">
        <f>SUM(BF$10:BF31)</f>
        <v>13488116</v>
      </c>
      <c r="BG32" s="312">
        <f>SUM(BG$10:BG31)</f>
        <v>3605599</v>
      </c>
      <c r="BH32" s="312">
        <f>SUM(BH$10:BH31)</f>
        <v>20145018</v>
      </c>
      <c r="BI32" s="293">
        <f>SUM(BI$10:BI31)</f>
        <v>225681</v>
      </c>
      <c r="BJ32" s="311">
        <f>SUM(BJ$10:BJ31)</f>
        <v>5561</v>
      </c>
      <c r="BK32" s="295">
        <f>SUM(BK$10:BK31)</f>
        <v>20812509</v>
      </c>
      <c r="BL32" s="295">
        <f>IFERROR(BK32/BJ32,0)</f>
        <v>3742.583887789966</v>
      </c>
      <c r="BM32" s="312">
        <f>SUM(BM$10:BM31)</f>
        <v>166508</v>
      </c>
      <c r="BN32" s="312">
        <f>SUM(BN$10:BN31)</f>
        <v>2406423</v>
      </c>
      <c r="BO32" s="312">
        <f>SUM(BO$10:BO31)</f>
        <v>1709824</v>
      </c>
      <c r="BP32" s="312">
        <f>SUM(BP$10:BP31)</f>
        <v>13187374</v>
      </c>
      <c r="BQ32" s="312">
        <f>SUM(BQ$10:BQ31)</f>
        <v>3342380</v>
      </c>
      <c r="BR32" s="312">
        <f>SUM(BR$10:BR31)</f>
        <v>19315953</v>
      </c>
      <c r="BS32" s="293">
        <f>SUM(BS$10:BS31)</f>
        <v>149064</v>
      </c>
      <c r="BT32" s="311">
        <f>SUM(BT$10:BT31)</f>
        <v>5109</v>
      </c>
      <c r="BU32" s="295">
        <f>SUM(BU$10:BU31)</f>
        <v>19943543</v>
      </c>
      <c r="BV32" s="295">
        <f>IFERROR(BU32/BT32,0)</f>
        <v>3903.6099040908202</v>
      </c>
      <c r="BW32" s="312">
        <f>SUM(BW$10:BW31)</f>
        <v>63237</v>
      </c>
      <c r="BX32" s="312">
        <f>SUM(BX$10:BX31)</f>
        <v>2445679</v>
      </c>
      <c r="BY32" s="312">
        <f>SUM(BY$10:BY31)</f>
        <v>1870863</v>
      </c>
      <c r="BZ32" s="312">
        <f>SUM(BZ$10:BZ31)</f>
        <v>12550834</v>
      </c>
      <c r="CA32" s="312">
        <f>SUM(CA$10:CA31)</f>
        <v>3012930</v>
      </c>
      <c r="CB32" s="312">
        <f>SUM(CB$10:CB31)</f>
        <v>18466571.25</v>
      </c>
      <c r="CC32" s="293">
        <f>SUM(CC$10:CC31)</f>
        <v>51915</v>
      </c>
    </row>
    <row r="33" spans="1:81" ht="15.95" customHeight="1" x14ac:dyDescent="0.2">
      <c r="A33" s="304"/>
      <c r="B33" s="306"/>
      <c r="C33" s="290"/>
      <c r="D33" s="290"/>
      <c r="E33" s="292"/>
      <c r="F33" s="292"/>
      <c r="G33" s="292"/>
      <c r="H33" s="292"/>
      <c r="I33" s="292"/>
      <c r="J33" s="292"/>
      <c r="K33" s="293"/>
      <c r="L33" s="294"/>
      <c r="M33" s="295"/>
      <c r="N33" s="295"/>
      <c r="O33" s="297"/>
      <c r="P33" s="297"/>
      <c r="Q33" s="297"/>
      <c r="R33" s="297"/>
      <c r="S33" s="297"/>
      <c r="T33" s="297"/>
      <c r="U33" s="293"/>
      <c r="V33" s="298"/>
      <c r="W33" s="295"/>
      <c r="X33" s="295"/>
      <c r="Y33" s="297"/>
      <c r="Z33" s="297"/>
      <c r="AA33" s="297"/>
      <c r="AB33" s="297"/>
      <c r="AC33" s="297"/>
      <c r="AD33" s="297"/>
      <c r="AE33" s="293"/>
      <c r="AF33" s="294"/>
      <c r="AG33" s="295"/>
      <c r="AH33" s="295"/>
      <c r="AI33" s="297"/>
      <c r="AJ33" s="297"/>
      <c r="AK33" s="297"/>
      <c r="AL33" s="297"/>
      <c r="AM33" s="297"/>
      <c r="AN33" s="297"/>
      <c r="AO33" s="293"/>
      <c r="AP33" s="298"/>
      <c r="AQ33" s="295"/>
      <c r="AR33" s="295"/>
      <c r="AS33" s="297"/>
      <c r="AT33" s="297"/>
      <c r="AU33" s="297"/>
      <c r="AV33" s="297"/>
      <c r="AW33" s="297"/>
      <c r="AX33" s="297"/>
      <c r="AY33" s="293"/>
      <c r="AZ33" s="298"/>
      <c r="BA33" s="295"/>
      <c r="BB33" s="295"/>
      <c r="BC33" s="297"/>
      <c r="BD33" s="297"/>
      <c r="BE33" s="297"/>
      <c r="BF33" s="297"/>
      <c r="BG33" s="297"/>
      <c r="BH33" s="297"/>
      <c r="BI33" s="293"/>
      <c r="BJ33" s="298"/>
      <c r="BK33" s="295"/>
      <c r="BL33" s="295"/>
      <c r="BM33" s="297"/>
      <c r="BN33" s="297"/>
      <c r="BO33" s="297"/>
      <c r="BP33" s="297"/>
      <c r="BQ33" s="297"/>
      <c r="BR33" s="297"/>
      <c r="BS33" s="293"/>
      <c r="BT33" s="298"/>
      <c r="BU33" s="295"/>
      <c r="BV33" s="295"/>
      <c r="BW33" s="297"/>
      <c r="BX33" s="297"/>
      <c r="BY33" s="297"/>
      <c r="BZ33" s="297"/>
      <c r="CA33" s="297"/>
      <c r="CB33" s="297"/>
      <c r="CC33" s="293"/>
    </row>
    <row r="34" spans="1:81" ht="15.95" customHeight="1" x14ac:dyDescent="0.2">
      <c r="A34" s="305" t="s">
        <v>104</v>
      </c>
      <c r="B34" s="306"/>
      <c r="C34" s="290"/>
      <c r="D34" s="290"/>
      <c r="E34" s="292"/>
      <c r="F34" s="292"/>
      <c r="G34" s="292"/>
      <c r="H34" s="292"/>
      <c r="I34" s="292"/>
      <c r="J34" s="292"/>
      <c r="K34" s="293"/>
      <c r="L34" s="294"/>
      <c r="M34" s="295"/>
      <c r="N34" s="295"/>
      <c r="O34" s="297"/>
      <c r="P34" s="297"/>
      <c r="Q34" s="297"/>
      <c r="R34" s="297"/>
      <c r="S34" s="297"/>
      <c r="T34" s="297"/>
      <c r="U34" s="293"/>
      <c r="V34" s="298"/>
      <c r="W34" s="295"/>
      <c r="X34" s="295"/>
      <c r="Y34" s="297"/>
      <c r="Z34" s="297"/>
      <c r="AA34" s="297"/>
      <c r="AB34" s="297"/>
      <c r="AC34" s="297"/>
      <c r="AD34" s="297"/>
      <c r="AE34" s="293"/>
      <c r="AF34" s="294"/>
      <c r="AG34" s="295"/>
      <c r="AH34" s="295"/>
      <c r="AI34" s="297"/>
      <c r="AJ34" s="297"/>
      <c r="AK34" s="297"/>
      <c r="AL34" s="297"/>
      <c r="AM34" s="297"/>
      <c r="AN34" s="297"/>
      <c r="AO34" s="293"/>
      <c r="AP34" s="298"/>
      <c r="AQ34" s="295"/>
      <c r="AR34" s="295"/>
      <c r="AS34" s="297"/>
      <c r="AT34" s="297"/>
      <c r="AU34" s="297"/>
      <c r="AV34" s="297"/>
      <c r="AW34" s="297"/>
      <c r="AX34" s="297"/>
      <c r="AY34" s="293"/>
      <c r="AZ34" s="298"/>
      <c r="BA34" s="295"/>
      <c r="BB34" s="295"/>
      <c r="BC34" s="297"/>
      <c r="BD34" s="297"/>
      <c r="BE34" s="297"/>
      <c r="BF34" s="297"/>
      <c r="BG34" s="297"/>
      <c r="BH34" s="297"/>
      <c r="BI34" s="293"/>
      <c r="BJ34" s="298"/>
      <c r="BK34" s="295"/>
      <c r="BL34" s="295"/>
      <c r="BM34" s="297"/>
      <c r="BN34" s="297"/>
      <c r="BO34" s="297"/>
      <c r="BP34" s="297"/>
      <c r="BQ34" s="297"/>
      <c r="BR34" s="297"/>
      <c r="BS34" s="293"/>
      <c r="BT34" s="298"/>
      <c r="BU34" s="295"/>
      <c r="BV34" s="295"/>
      <c r="BW34" s="297"/>
      <c r="BX34" s="297"/>
      <c r="BY34" s="297"/>
      <c r="BZ34" s="297"/>
      <c r="CA34" s="297"/>
      <c r="CB34" s="297"/>
      <c r="CC34" s="293"/>
    </row>
    <row r="35" spans="1:81" ht="15.95" customHeight="1" x14ac:dyDescent="0.2">
      <c r="A35" s="307" t="s">
        <v>105</v>
      </c>
      <c r="B35" s="306">
        <v>864</v>
      </c>
      <c r="C35" s="295">
        <f t="shared" ref="C35:C46" si="24">SUM(E35:I35)</f>
        <v>1852051</v>
      </c>
      <c r="D35" s="295">
        <f t="shared" ref="D35:D46" si="25">IFERROR(C35/B35,0)</f>
        <v>2143.5775462962961</v>
      </c>
      <c r="E35" s="292">
        <v>0</v>
      </c>
      <c r="F35" s="292">
        <v>0</v>
      </c>
      <c r="G35" s="292">
        <v>0</v>
      </c>
      <c r="H35" s="292">
        <v>0</v>
      </c>
      <c r="I35" s="292">
        <v>1852051</v>
      </c>
      <c r="J35" s="292">
        <v>1759747</v>
      </c>
      <c r="K35" s="293">
        <f t="shared" ref="K35:K46" si="26">IF(J35=0,0,(IF(E35&lt;=J35,E35,J35)))</f>
        <v>0</v>
      </c>
      <c r="L35" s="294">
        <v>1020</v>
      </c>
      <c r="M35" s="295">
        <f t="shared" ref="M35:M46" si="27">SUM(O35:S35)</f>
        <v>1885365</v>
      </c>
      <c r="N35" s="295">
        <f t="shared" ref="N35:N46" si="28">IFERROR(M35/L35,0)</f>
        <v>1848.3970588235295</v>
      </c>
      <c r="O35" s="297">
        <v>0</v>
      </c>
      <c r="P35" s="297">
        <v>0</v>
      </c>
      <c r="Q35" s="297">
        <v>0</v>
      </c>
      <c r="R35" s="297">
        <v>0</v>
      </c>
      <c r="S35" s="297">
        <v>1885365</v>
      </c>
      <c r="T35" s="297">
        <v>1791097</v>
      </c>
      <c r="U35" s="293">
        <f t="shared" ref="U35:U46" si="29">IF(T35=0,0,(IF(O35&lt;=T35,O35,T35)))</f>
        <v>0</v>
      </c>
      <c r="V35" s="298">
        <v>969</v>
      </c>
      <c r="W35" s="295">
        <f t="shared" ref="W35:W46" si="30">SUM(Y35:AC35)</f>
        <v>2078292</v>
      </c>
      <c r="X35" s="295">
        <f t="shared" ref="X35:X46" si="31">IFERROR(W35/V35,0)</f>
        <v>2144.7801857585141</v>
      </c>
      <c r="Y35" s="297">
        <v>0</v>
      </c>
      <c r="Z35" s="297">
        <v>0</v>
      </c>
      <c r="AA35" s="297">
        <v>0</v>
      </c>
      <c r="AB35" s="297">
        <v>0</v>
      </c>
      <c r="AC35" s="297">
        <v>2078292</v>
      </c>
      <c r="AD35" s="297">
        <v>1927394</v>
      </c>
      <c r="AE35" s="293">
        <f t="shared" ref="AE35:AE46" si="32">IF(AD35=0,0,(IF(Y35&lt;=AD35,Y35,AD35)))</f>
        <v>0</v>
      </c>
      <c r="AF35" s="294">
        <v>1053</v>
      </c>
      <c r="AG35" s="295">
        <f t="shared" ref="AG35:AG46" si="33">SUM(AI35:AM35)</f>
        <v>2199765</v>
      </c>
      <c r="AH35" s="295">
        <f t="shared" ref="AH35:AH46" si="34">IFERROR(AG35/AF35,0)</f>
        <v>2089.0455840455838</v>
      </c>
      <c r="AI35" s="297">
        <v>0</v>
      </c>
      <c r="AJ35" s="297">
        <v>0</v>
      </c>
      <c r="AK35" s="297">
        <v>0</v>
      </c>
      <c r="AL35" s="297">
        <v>0</v>
      </c>
      <c r="AM35" s="297">
        <v>2199765</v>
      </c>
      <c r="AN35" s="297">
        <v>2023784</v>
      </c>
      <c r="AO35" s="293">
        <f t="shared" ref="AO35:AO46" si="35">IF(AN35=0,0,(IF(AI35&lt;=AN35,AI35,AN35)))</f>
        <v>0</v>
      </c>
      <c r="AP35" s="298">
        <v>1013</v>
      </c>
      <c r="AQ35" s="295">
        <f t="shared" ref="AQ35:AQ46" si="36">SUM(AS35:AW35)</f>
        <v>2026023</v>
      </c>
      <c r="AR35" s="295">
        <f t="shared" ref="AR35:AR46" si="37">IFERROR(AQ35/AP35,0)</f>
        <v>2000.0227048371175</v>
      </c>
      <c r="AS35" s="297">
        <v>0</v>
      </c>
      <c r="AT35" s="297">
        <v>0</v>
      </c>
      <c r="AU35" s="297">
        <v>0</v>
      </c>
      <c r="AV35" s="297">
        <v>0</v>
      </c>
      <c r="AW35" s="297">
        <v>2026023</v>
      </c>
      <c r="AX35" s="297">
        <v>1823420</v>
      </c>
      <c r="AY35" s="293">
        <f t="shared" ref="AY35:AY46" si="38">IF(AX35=0,0,(IF(AS35&lt;=AX35,AS35,AX35)))</f>
        <v>0</v>
      </c>
      <c r="AZ35" s="298">
        <v>1124</v>
      </c>
      <c r="BA35" s="295">
        <f t="shared" ref="BA35:BA46" si="39">SUM(BC35:BG35)</f>
        <v>2848305</v>
      </c>
      <c r="BB35" s="295">
        <f t="shared" ref="BB35:BB46" si="40">IFERROR(BA35/AZ35,0)</f>
        <v>2534.079181494662</v>
      </c>
      <c r="BC35" s="297">
        <v>0</v>
      </c>
      <c r="BD35" s="297">
        <v>0</v>
      </c>
      <c r="BE35" s="297">
        <v>0</v>
      </c>
      <c r="BF35" s="297">
        <v>0</v>
      </c>
      <c r="BG35" s="297">
        <v>2848305</v>
      </c>
      <c r="BH35" s="297">
        <v>2591955</v>
      </c>
      <c r="BI35" s="293">
        <f t="shared" ref="BI35:BI46" si="41">IF(BH35=0,0,(IF(BC35&lt;=BH35,BC35,BH35)))</f>
        <v>0</v>
      </c>
      <c r="BJ35" s="298">
        <v>1169</v>
      </c>
      <c r="BK35" s="295">
        <f t="shared" ref="BK35:BK46" si="42">SUM(BM35:BQ35)</f>
        <v>3763252</v>
      </c>
      <c r="BL35" s="295">
        <f t="shared" ref="BL35:BL46" si="43">IFERROR(BK35/BJ35,0)</f>
        <v>3219.2061591103507</v>
      </c>
      <c r="BM35" s="297"/>
      <c r="BN35" s="297"/>
      <c r="BO35" s="297"/>
      <c r="BP35" s="297"/>
      <c r="BQ35" s="297">
        <v>3763252</v>
      </c>
      <c r="BR35" s="297">
        <v>3601319</v>
      </c>
      <c r="BS35" s="293">
        <f t="shared" ref="BS35:BS46" si="44">IF(BR35=0,0,(IF(BM35&lt;=BR35,BM35,BR35)))</f>
        <v>0</v>
      </c>
      <c r="BT35" s="12">
        <v>1208</v>
      </c>
      <c r="BU35" s="295">
        <f t="shared" ref="BU35:BU46" si="45">SUM(BW35:CA35)</f>
        <v>3168439</v>
      </c>
      <c r="BV35" s="295">
        <f t="shared" ref="BV35:BV46" si="46">IFERROR(BU35/BT35,0)</f>
        <v>2622.8799668874171</v>
      </c>
      <c r="BW35" s="11"/>
      <c r="BX35" s="11"/>
      <c r="BY35" s="11"/>
      <c r="BZ35" s="11"/>
      <c r="CA35" s="11">
        <v>3168439</v>
      </c>
      <c r="CB35" s="11">
        <v>2915960</v>
      </c>
      <c r="CC35" s="293">
        <f t="shared" ref="CC35:CC46" si="47">IF(CB35=0,0,(IF(BW35&lt;=CB35,BW35,CB35)))</f>
        <v>0</v>
      </c>
    </row>
    <row r="36" spans="1:81" s="308" customFormat="1" ht="15.95" customHeight="1" x14ac:dyDescent="0.2">
      <c r="A36" s="307" t="s">
        <v>106</v>
      </c>
      <c r="B36" s="298">
        <v>133</v>
      </c>
      <c r="C36" s="295">
        <f t="shared" si="24"/>
        <v>368925</v>
      </c>
      <c r="D36" s="295">
        <f t="shared" si="25"/>
        <v>2773.8721804511279</v>
      </c>
      <c r="E36" s="297">
        <v>16875</v>
      </c>
      <c r="F36" s="297">
        <v>352050</v>
      </c>
      <c r="G36" s="297">
        <v>0</v>
      </c>
      <c r="H36" s="297">
        <v>0</v>
      </c>
      <c r="I36" s="297">
        <v>0</v>
      </c>
      <c r="J36" s="297"/>
      <c r="K36" s="293">
        <f t="shared" si="26"/>
        <v>0</v>
      </c>
      <c r="L36" s="294">
        <v>105</v>
      </c>
      <c r="M36" s="295">
        <f t="shared" si="27"/>
        <v>422008</v>
      </c>
      <c r="N36" s="295">
        <f t="shared" si="28"/>
        <v>4019.1238095238095</v>
      </c>
      <c r="O36" s="297">
        <v>9250</v>
      </c>
      <c r="P36" s="297">
        <v>412758</v>
      </c>
      <c r="Q36" s="297">
        <v>0</v>
      </c>
      <c r="R36" s="297">
        <v>0</v>
      </c>
      <c r="S36" s="297">
        <v>0</v>
      </c>
      <c r="T36" s="297">
        <v>406056</v>
      </c>
      <c r="U36" s="293">
        <f t="shared" si="29"/>
        <v>9250</v>
      </c>
      <c r="V36" s="298">
        <v>161</v>
      </c>
      <c r="W36" s="295">
        <f t="shared" si="30"/>
        <v>488170</v>
      </c>
      <c r="X36" s="295">
        <f t="shared" si="31"/>
        <v>3032.1118012422362</v>
      </c>
      <c r="Y36" s="297">
        <v>2500</v>
      </c>
      <c r="Z36" s="297">
        <v>485670</v>
      </c>
      <c r="AA36" s="297">
        <v>0</v>
      </c>
      <c r="AB36" s="297">
        <v>0</v>
      </c>
      <c r="AC36" s="297">
        <v>0</v>
      </c>
      <c r="AD36" s="297">
        <v>471331</v>
      </c>
      <c r="AE36" s="293">
        <f t="shared" si="32"/>
        <v>2500</v>
      </c>
      <c r="AF36" s="294">
        <v>118</v>
      </c>
      <c r="AG36" s="295">
        <f t="shared" si="33"/>
        <v>499654</v>
      </c>
      <c r="AH36" s="295">
        <f t="shared" si="34"/>
        <v>4234.3559322033898</v>
      </c>
      <c r="AI36" s="297">
        <v>500</v>
      </c>
      <c r="AJ36" s="297">
        <v>499154</v>
      </c>
      <c r="AK36" s="297">
        <v>0</v>
      </c>
      <c r="AL36" s="297">
        <v>0</v>
      </c>
      <c r="AM36" s="297">
        <v>0</v>
      </c>
      <c r="AN36" s="297">
        <v>484664</v>
      </c>
      <c r="AO36" s="293">
        <f t="shared" si="35"/>
        <v>500</v>
      </c>
      <c r="AP36" s="298">
        <v>162</v>
      </c>
      <c r="AQ36" s="295">
        <f t="shared" si="36"/>
        <v>514251</v>
      </c>
      <c r="AR36" s="295">
        <f t="shared" si="37"/>
        <v>3174.3888888888887</v>
      </c>
      <c r="AS36" s="297">
        <v>0</v>
      </c>
      <c r="AT36" s="297">
        <v>514251</v>
      </c>
      <c r="AU36" s="297">
        <v>0</v>
      </c>
      <c r="AV36" s="297">
        <v>0</v>
      </c>
      <c r="AW36" s="297">
        <v>0</v>
      </c>
      <c r="AX36" s="297">
        <v>488538</v>
      </c>
      <c r="AY36" s="293">
        <f t="shared" si="38"/>
        <v>0</v>
      </c>
      <c r="AZ36" s="298">
        <v>165</v>
      </c>
      <c r="BA36" s="295">
        <f t="shared" si="39"/>
        <v>501247</v>
      </c>
      <c r="BB36" s="295">
        <f t="shared" si="40"/>
        <v>3037.8606060606062</v>
      </c>
      <c r="BC36" s="297">
        <v>0</v>
      </c>
      <c r="BD36" s="297">
        <v>501247</v>
      </c>
      <c r="BE36" s="297">
        <v>0</v>
      </c>
      <c r="BF36" s="297">
        <v>0</v>
      </c>
      <c r="BG36" s="297">
        <v>0</v>
      </c>
      <c r="BH36" s="297">
        <v>476185</v>
      </c>
      <c r="BI36" s="293">
        <f t="shared" si="41"/>
        <v>0</v>
      </c>
      <c r="BJ36" s="298">
        <v>114</v>
      </c>
      <c r="BK36" s="295">
        <f t="shared" si="42"/>
        <v>304182</v>
      </c>
      <c r="BL36" s="295">
        <f t="shared" si="43"/>
        <v>2668.2631578947367</v>
      </c>
      <c r="BM36" s="297"/>
      <c r="BN36" s="297">
        <v>304182</v>
      </c>
      <c r="BO36" s="297"/>
      <c r="BP36" s="297"/>
      <c r="BQ36" s="297"/>
      <c r="BR36" s="297">
        <v>275598</v>
      </c>
      <c r="BS36" s="293">
        <f t="shared" si="44"/>
        <v>0</v>
      </c>
      <c r="BT36" s="12">
        <v>103</v>
      </c>
      <c r="BU36" s="295">
        <f t="shared" si="45"/>
        <v>178846</v>
      </c>
      <c r="BV36" s="295">
        <f t="shared" si="46"/>
        <v>1736.3689320388351</v>
      </c>
      <c r="BW36" s="11"/>
      <c r="BX36" s="11">
        <v>178846</v>
      </c>
      <c r="BY36" s="11"/>
      <c r="BZ36" s="11"/>
      <c r="CA36" s="11"/>
      <c r="CB36" s="11">
        <v>170721</v>
      </c>
      <c r="CC36" s="293">
        <f t="shared" si="47"/>
        <v>0</v>
      </c>
    </row>
    <row r="37" spans="1:81" s="308" customFormat="1" ht="15.95" customHeight="1" x14ac:dyDescent="0.2">
      <c r="A37" s="307" t="s">
        <v>107</v>
      </c>
      <c r="B37" s="298">
        <v>18</v>
      </c>
      <c r="C37" s="295">
        <f t="shared" si="24"/>
        <v>112450</v>
      </c>
      <c r="D37" s="295">
        <f t="shared" si="25"/>
        <v>6247.2222222222226</v>
      </c>
      <c r="E37" s="297">
        <v>112450</v>
      </c>
      <c r="F37" s="297">
        <v>0</v>
      </c>
      <c r="G37" s="297">
        <v>0</v>
      </c>
      <c r="H37" s="297">
        <v>0</v>
      </c>
      <c r="I37" s="297">
        <v>0</v>
      </c>
      <c r="J37" s="297">
        <v>0</v>
      </c>
      <c r="K37" s="293">
        <f t="shared" si="26"/>
        <v>0</v>
      </c>
      <c r="L37" s="294">
        <v>19</v>
      </c>
      <c r="M37" s="295">
        <f t="shared" si="27"/>
        <v>94755</v>
      </c>
      <c r="N37" s="295">
        <f t="shared" si="28"/>
        <v>4987.105263157895</v>
      </c>
      <c r="O37" s="297">
        <v>94755</v>
      </c>
      <c r="P37" s="297">
        <v>0</v>
      </c>
      <c r="Q37" s="297">
        <v>0</v>
      </c>
      <c r="R37" s="297">
        <v>0</v>
      </c>
      <c r="S37" s="297">
        <v>0</v>
      </c>
      <c r="T37" s="297">
        <v>0</v>
      </c>
      <c r="U37" s="293">
        <f t="shared" si="29"/>
        <v>0</v>
      </c>
      <c r="V37" s="298">
        <v>19</v>
      </c>
      <c r="W37" s="295">
        <f t="shared" si="30"/>
        <v>96496</v>
      </c>
      <c r="X37" s="295">
        <f t="shared" si="31"/>
        <v>5078.7368421052633</v>
      </c>
      <c r="Y37" s="297">
        <v>96496</v>
      </c>
      <c r="Z37" s="297">
        <v>0</v>
      </c>
      <c r="AA37" s="297">
        <v>0</v>
      </c>
      <c r="AB37" s="297">
        <v>0</v>
      </c>
      <c r="AC37" s="297">
        <v>0</v>
      </c>
      <c r="AD37" s="297">
        <v>0</v>
      </c>
      <c r="AE37" s="293">
        <f t="shared" si="32"/>
        <v>0</v>
      </c>
      <c r="AF37" s="294">
        <v>10</v>
      </c>
      <c r="AG37" s="295">
        <f t="shared" si="33"/>
        <v>57012</v>
      </c>
      <c r="AH37" s="295">
        <f t="shared" si="34"/>
        <v>5701.2</v>
      </c>
      <c r="AI37" s="297">
        <v>57012</v>
      </c>
      <c r="AJ37" s="297">
        <v>0</v>
      </c>
      <c r="AK37" s="297">
        <v>0</v>
      </c>
      <c r="AL37" s="297">
        <v>0</v>
      </c>
      <c r="AM37" s="297">
        <v>0</v>
      </c>
      <c r="AN37" s="297">
        <v>0</v>
      </c>
      <c r="AO37" s="293">
        <f t="shared" si="35"/>
        <v>0</v>
      </c>
      <c r="AP37" s="298">
        <v>9</v>
      </c>
      <c r="AQ37" s="295">
        <f t="shared" si="36"/>
        <v>45300</v>
      </c>
      <c r="AR37" s="295">
        <f t="shared" si="37"/>
        <v>5033.333333333333</v>
      </c>
      <c r="AS37" s="297">
        <v>45300</v>
      </c>
      <c r="AT37" s="297">
        <v>0</v>
      </c>
      <c r="AU37" s="297">
        <v>0</v>
      </c>
      <c r="AV37" s="297">
        <v>0</v>
      </c>
      <c r="AW37" s="297">
        <v>0</v>
      </c>
      <c r="AX37" s="297">
        <v>0</v>
      </c>
      <c r="AY37" s="293">
        <f t="shared" si="38"/>
        <v>0</v>
      </c>
      <c r="AZ37" s="298">
        <v>4</v>
      </c>
      <c r="BA37" s="295">
        <f t="shared" si="39"/>
        <v>26329</v>
      </c>
      <c r="BB37" s="295">
        <f t="shared" si="40"/>
        <v>6582.25</v>
      </c>
      <c r="BC37" s="297">
        <v>26329</v>
      </c>
      <c r="BD37" s="297">
        <v>0</v>
      </c>
      <c r="BE37" s="297">
        <v>0</v>
      </c>
      <c r="BF37" s="297">
        <v>0</v>
      </c>
      <c r="BG37" s="297">
        <v>0</v>
      </c>
      <c r="BH37" s="297">
        <v>0</v>
      </c>
      <c r="BI37" s="293">
        <f t="shared" si="41"/>
        <v>0</v>
      </c>
      <c r="BJ37" s="298"/>
      <c r="BK37" s="295">
        <f t="shared" si="42"/>
        <v>0</v>
      </c>
      <c r="BL37" s="295">
        <f t="shared" si="43"/>
        <v>0</v>
      </c>
      <c r="BM37" s="297"/>
      <c r="BN37" s="297"/>
      <c r="BO37" s="297"/>
      <c r="BP37" s="297"/>
      <c r="BQ37" s="297"/>
      <c r="BR37" s="297"/>
      <c r="BS37" s="293">
        <f t="shared" si="44"/>
        <v>0</v>
      </c>
      <c r="BT37" s="12"/>
      <c r="BU37" s="295">
        <f t="shared" si="45"/>
        <v>0</v>
      </c>
      <c r="BV37" s="295">
        <f t="shared" si="46"/>
        <v>0</v>
      </c>
      <c r="BW37" s="11"/>
      <c r="BX37" s="11"/>
      <c r="BY37" s="11"/>
      <c r="BZ37" s="11"/>
      <c r="CA37" s="11"/>
      <c r="CB37" s="11"/>
      <c r="CC37" s="293">
        <f t="shared" si="47"/>
        <v>0</v>
      </c>
    </row>
    <row r="38" spans="1:81" s="308" customFormat="1" ht="15.95" customHeight="1" x14ac:dyDescent="0.2">
      <c r="A38" s="307" t="s">
        <v>108</v>
      </c>
      <c r="B38" s="298">
        <v>845</v>
      </c>
      <c r="C38" s="295">
        <f t="shared" si="24"/>
        <v>2146736.23</v>
      </c>
      <c r="D38" s="295">
        <f t="shared" si="25"/>
        <v>2540.5162485207102</v>
      </c>
      <c r="E38" s="297">
        <v>2146736.23</v>
      </c>
      <c r="F38" s="297">
        <v>0</v>
      </c>
      <c r="G38" s="297">
        <v>0</v>
      </c>
      <c r="H38" s="297">
        <v>0</v>
      </c>
      <c r="I38" s="297">
        <v>0</v>
      </c>
      <c r="J38" s="297">
        <v>2094318</v>
      </c>
      <c r="K38" s="293">
        <f t="shared" si="26"/>
        <v>2094318</v>
      </c>
      <c r="L38" s="294">
        <v>821</v>
      </c>
      <c r="M38" s="295">
        <f t="shared" si="27"/>
        <v>2229846</v>
      </c>
      <c r="N38" s="295">
        <f t="shared" si="28"/>
        <v>2716.012180267966</v>
      </c>
      <c r="O38" s="297">
        <v>2229846</v>
      </c>
      <c r="P38" s="297">
        <v>0</v>
      </c>
      <c r="Q38" s="297">
        <v>0</v>
      </c>
      <c r="R38" s="297">
        <v>0</v>
      </c>
      <c r="S38" s="297">
        <v>0</v>
      </c>
      <c r="T38" s="297">
        <v>2167183</v>
      </c>
      <c r="U38" s="293">
        <f t="shared" si="29"/>
        <v>2167183</v>
      </c>
      <c r="V38" s="298">
        <v>780</v>
      </c>
      <c r="W38" s="295">
        <f t="shared" si="30"/>
        <v>2336988</v>
      </c>
      <c r="X38" s="295">
        <f t="shared" si="31"/>
        <v>2996.1384615384613</v>
      </c>
      <c r="Y38" s="297">
        <v>2285811</v>
      </c>
      <c r="Z38" s="297">
        <v>15003</v>
      </c>
      <c r="AA38" s="297">
        <v>0</v>
      </c>
      <c r="AB38" s="297">
        <v>36174</v>
      </c>
      <c r="AC38" s="297">
        <v>0</v>
      </c>
      <c r="AD38" s="297">
        <v>2109266</v>
      </c>
      <c r="AE38" s="293">
        <f t="shared" si="32"/>
        <v>2109266</v>
      </c>
      <c r="AF38" s="294">
        <v>753</v>
      </c>
      <c r="AG38" s="295">
        <f t="shared" si="33"/>
        <v>2127718</v>
      </c>
      <c r="AH38" s="295">
        <f t="shared" si="34"/>
        <v>2825.6547144754318</v>
      </c>
      <c r="AI38" s="297">
        <v>2127718</v>
      </c>
      <c r="AJ38" s="297">
        <v>0</v>
      </c>
      <c r="AK38" s="297">
        <v>0</v>
      </c>
      <c r="AL38" s="297">
        <v>0</v>
      </c>
      <c r="AM38" s="297">
        <v>0</v>
      </c>
      <c r="AN38" s="297">
        <v>1451786</v>
      </c>
      <c r="AO38" s="293">
        <f t="shared" si="35"/>
        <v>1451786</v>
      </c>
      <c r="AP38" s="298">
        <v>757</v>
      </c>
      <c r="AQ38" s="295">
        <f t="shared" si="36"/>
        <v>2257862</v>
      </c>
      <c r="AR38" s="295">
        <f t="shared" si="37"/>
        <v>2982.6446499339499</v>
      </c>
      <c r="AS38" s="297">
        <v>2247862</v>
      </c>
      <c r="AT38" s="297">
        <v>0</v>
      </c>
      <c r="AU38" s="297">
        <v>0</v>
      </c>
      <c r="AV38" s="297">
        <v>0</v>
      </c>
      <c r="AW38" s="297">
        <v>10000</v>
      </c>
      <c r="AX38" s="297">
        <v>1879475</v>
      </c>
      <c r="AY38" s="293">
        <f t="shared" si="38"/>
        <v>1879475</v>
      </c>
      <c r="AZ38" s="298">
        <v>765</v>
      </c>
      <c r="BA38" s="295">
        <f t="shared" si="39"/>
        <v>2163637</v>
      </c>
      <c r="BB38" s="295">
        <f t="shared" si="40"/>
        <v>2828.283660130719</v>
      </c>
      <c r="BC38" s="297">
        <v>2141637</v>
      </c>
      <c r="BD38" s="297">
        <v>0</v>
      </c>
      <c r="BE38" s="297">
        <v>0</v>
      </c>
      <c r="BF38" s="297">
        <v>0</v>
      </c>
      <c r="BG38" s="297">
        <v>22000</v>
      </c>
      <c r="BH38" s="297">
        <v>2131790</v>
      </c>
      <c r="BI38" s="293">
        <f t="shared" si="41"/>
        <v>2131790</v>
      </c>
      <c r="BJ38" s="298">
        <v>733</v>
      </c>
      <c r="BK38" s="295">
        <f t="shared" si="42"/>
        <v>2128769</v>
      </c>
      <c r="BL38" s="295">
        <f t="shared" si="43"/>
        <v>2904.1869031377901</v>
      </c>
      <c r="BM38" s="297">
        <v>2105769</v>
      </c>
      <c r="BN38" s="297"/>
      <c r="BO38" s="297"/>
      <c r="BP38" s="297"/>
      <c r="BQ38" s="297">
        <v>23000</v>
      </c>
      <c r="BR38" s="297">
        <v>2040769</v>
      </c>
      <c r="BS38" s="293">
        <f t="shared" si="44"/>
        <v>2040769</v>
      </c>
      <c r="BT38" s="12">
        <v>751</v>
      </c>
      <c r="BU38" s="295">
        <f t="shared" si="45"/>
        <v>2104517</v>
      </c>
      <c r="BV38" s="295">
        <f t="shared" si="46"/>
        <v>2802.2862849533954</v>
      </c>
      <c r="BW38" s="11">
        <v>2104517</v>
      </c>
      <c r="BX38" s="11">
        <v>0</v>
      </c>
      <c r="BY38" s="11"/>
      <c r="BZ38" s="11"/>
      <c r="CA38" s="11"/>
      <c r="CB38" s="11">
        <v>2055880</v>
      </c>
      <c r="CC38" s="293">
        <f t="shared" si="47"/>
        <v>2055880</v>
      </c>
    </row>
    <row r="39" spans="1:81" s="308" customFormat="1" ht="15.95" customHeight="1" x14ac:dyDescent="0.2">
      <c r="A39" s="307" t="s">
        <v>109</v>
      </c>
      <c r="B39" s="298">
        <v>282</v>
      </c>
      <c r="C39" s="295">
        <f t="shared" si="24"/>
        <v>1440167</v>
      </c>
      <c r="D39" s="295">
        <f t="shared" si="25"/>
        <v>5106.9751773049647</v>
      </c>
      <c r="E39" s="297">
        <v>1440167</v>
      </c>
      <c r="F39" s="297">
        <v>0</v>
      </c>
      <c r="G39" s="297">
        <v>0</v>
      </c>
      <c r="H39" s="297">
        <v>0</v>
      </c>
      <c r="I39" s="297">
        <v>0</v>
      </c>
      <c r="J39" s="297">
        <v>1440167</v>
      </c>
      <c r="K39" s="293">
        <f t="shared" si="26"/>
        <v>1440167</v>
      </c>
      <c r="L39" s="294">
        <v>259</v>
      </c>
      <c r="M39" s="295">
        <f t="shared" si="27"/>
        <v>1424507</v>
      </c>
      <c r="N39" s="295">
        <f t="shared" si="28"/>
        <v>5500.0270270270266</v>
      </c>
      <c r="O39" s="297">
        <v>1424507</v>
      </c>
      <c r="P39" s="297">
        <v>0</v>
      </c>
      <c r="Q39" s="297">
        <v>0</v>
      </c>
      <c r="R39" s="297">
        <v>0</v>
      </c>
      <c r="S39" s="297">
        <v>0</v>
      </c>
      <c r="T39" s="297">
        <v>1424507</v>
      </c>
      <c r="U39" s="293">
        <f t="shared" si="29"/>
        <v>1424507</v>
      </c>
      <c r="V39" s="298">
        <v>276</v>
      </c>
      <c r="W39" s="295">
        <f t="shared" si="30"/>
        <v>1653599</v>
      </c>
      <c r="X39" s="295">
        <f t="shared" si="31"/>
        <v>5991.300724637681</v>
      </c>
      <c r="Y39" s="297">
        <v>1653599</v>
      </c>
      <c r="Z39" s="297">
        <v>0</v>
      </c>
      <c r="AA39" s="297">
        <v>0</v>
      </c>
      <c r="AB39" s="297">
        <v>0</v>
      </c>
      <c r="AC39" s="297">
        <v>0</v>
      </c>
      <c r="AD39" s="297">
        <v>1653599</v>
      </c>
      <c r="AE39" s="293">
        <f t="shared" si="32"/>
        <v>1653599</v>
      </c>
      <c r="AF39" s="294">
        <v>305</v>
      </c>
      <c r="AG39" s="295">
        <f t="shared" si="33"/>
        <v>1815101</v>
      </c>
      <c r="AH39" s="295">
        <f t="shared" si="34"/>
        <v>5951.1508196721315</v>
      </c>
      <c r="AI39" s="297">
        <v>1815101</v>
      </c>
      <c r="AJ39" s="297">
        <v>0</v>
      </c>
      <c r="AK39" s="297">
        <v>0</v>
      </c>
      <c r="AL39" s="297">
        <v>0</v>
      </c>
      <c r="AM39" s="297">
        <v>0</v>
      </c>
      <c r="AN39" s="297">
        <v>1815101</v>
      </c>
      <c r="AO39" s="293">
        <f t="shared" si="35"/>
        <v>1815101</v>
      </c>
      <c r="AP39" s="298">
        <v>328</v>
      </c>
      <c r="AQ39" s="295">
        <f t="shared" si="36"/>
        <v>2005958</v>
      </c>
      <c r="AR39" s="295">
        <f t="shared" si="37"/>
        <v>6115.7256097560976</v>
      </c>
      <c r="AS39" s="297">
        <v>2005958</v>
      </c>
      <c r="AT39" s="297">
        <v>0</v>
      </c>
      <c r="AU39" s="297">
        <v>0</v>
      </c>
      <c r="AV39" s="297">
        <v>0</v>
      </c>
      <c r="AW39" s="297">
        <v>0</v>
      </c>
      <c r="AX39" s="297">
        <v>2005958</v>
      </c>
      <c r="AY39" s="293">
        <f t="shared" si="38"/>
        <v>2005958</v>
      </c>
      <c r="AZ39" s="298">
        <v>306</v>
      </c>
      <c r="BA39" s="295">
        <f t="shared" si="39"/>
        <v>1956462</v>
      </c>
      <c r="BB39" s="295">
        <f t="shared" si="40"/>
        <v>6393.666666666667</v>
      </c>
      <c r="BC39" s="297">
        <v>1956462</v>
      </c>
      <c r="BD39" s="297">
        <v>0</v>
      </c>
      <c r="BE39" s="297">
        <v>0</v>
      </c>
      <c r="BF39" s="297">
        <v>0</v>
      </c>
      <c r="BG39" s="297">
        <v>0</v>
      </c>
      <c r="BH39" s="297">
        <v>1956462</v>
      </c>
      <c r="BI39" s="293">
        <f t="shared" si="41"/>
        <v>1956462</v>
      </c>
      <c r="BJ39" s="298">
        <v>314</v>
      </c>
      <c r="BK39" s="295">
        <f t="shared" si="42"/>
        <v>1926979</v>
      </c>
      <c r="BL39" s="295">
        <f t="shared" si="43"/>
        <v>6136.875796178344</v>
      </c>
      <c r="BM39" s="297">
        <v>1926979</v>
      </c>
      <c r="BN39" s="297"/>
      <c r="BO39" s="297"/>
      <c r="BP39" s="297"/>
      <c r="BQ39" s="297"/>
      <c r="BR39" s="297">
        <v>1926979</v>
      </c>
      <c r="BS39" s="293">
        <f t="shared" si="44"/>
        <v>1926979</v>
      </c>
      <c r="BT39" s="12">
        <v>386</v>
      </c>
      <c r="BU39" s="295">
        <f t="shared" si="45"/>
        <v>2403432</v>
      </c>
      <c r="BV39" s="295">
        <f t="shared" si="46"/>
        <v>6226.5077720207255</v>
      </c>
      <c r="BW39" s="11">
        <v>2403432</v>
      </c>
      <c r="BX39" s="11">
        <v>0</v>
      </c>
      <c r="BY39" s="11"/>
      <c r="BZ39" s="11"/>
      <c r="CA39" s="11"/>
      <c r="CB39" s="11">
        <v>2403432</v>
      </c>
      <c r="CC39" s="293">
        <f t="shared" si="47"/>
        <v>2403432</v>
      </c>
    </row>
    <row r="40" spans="1:81" s="308" customFormat="1" ht="15.95" customHeight="1" x14ac:dyDescent="0.2">
      <c r="A40" s="307" t="s">
        <v>110</v>
      </c>
      <c r="B40" s="298">
        <v>224</v>
      </c>
      <c r="C40" s="295">
        <f t="shared" si="24"/>
        <v>1180525</v>
      </c>
      <c r="D40" s="295">
        <f t="shared" si="25"/>
        <v>5270.2008928571431</v>
      </c>
      <c r="E40" s="297">
        <v>1180525</v>
      </c>
      <c r="F40" s="297">
        <v>0</v>
      </c>
      <c r="G40" s="297">
        <v>0</v>
      </c>
      <c r="H40" s="297">
        <v>0</v>
      </c>
      <c r="I40" s="297">
        <v>0</v>
      </c>
      <c r="J40" s="297">
        <v>0</v>
      </c>
      <c r="K40" s="293">
        <f t="shared" si="26"/>
        <v>0</v>
      </c>
      <c r="L40" s="294">
        <v>206</v>
      </c>
      <c r="M40" s="295">
        <f t="shared" si="27"/>
        <v>1063066</v>
      </c>
      <c r="N40" s="295">
        <f t="shared" si="28"/>
        <v>5160.5145631067962</v>
      </c>
      <c r="O40" s="297">
        <v>1063066</v>
      </c>
      <c r="P40" s="297">
        <v>0</v>
      </c>
      <c r="Q40" s="297">
        <v>0</v>
      </c>
      <c r="R40" s="297">
        <v>0</v>
      </c>
      <c r="S40" s="297">
        <v>0</v>
      </c>
      <c r="T40" s="297">
        <v>0</v>
      </c>
      <c r="U40" s="293">
        <f t="shared" si="29"/>
        <v>0</v>
      </c>
      <c r="V40" s="298">
        <v>196</v>
      </c>
      <c r="W40" s="295">
        <f t="shared" si="30"/>
        <v>1028092</v>
      </c>
      <c r="X40" s="295">
        <f t="shared" si="31"/>
        <v>5245.3673469387759</v>
      </c>
      <c r="Y40" s="297">
        <v>1028092</v>
      </c>
      <c r="Z40" s="297">
        <v>0</v>
      </c>
      <c r="AA40" s="297">
        <v>0</v>
      </c>
      <c r="AB40" s="297">
        <v>0</v>
      </c>
      <c r="AC40" s="297">
        <v>0</v>
      </c>
      <c r="AD40" s="297">
        <v>0</v>
      </c>
      <c r="AE40" s="293">
        <f t="shared" si="32"/>
        <v>0</v>
      </c>
      <c r="AF40" s="294">
        <v>197</v>
      </c>
      <c r="AG40" s="295">
        <f t="shared" si="33"/>
        <v>1255994</v>
      </c>
      <c r="AH40" s="295">
        <f t="shared" si="34"/>
        <v>6375.6040609137053</v>
      </c>
      <c r="AI40" s="297">
        <v>1255994</v>
      </c>
      <c r="AJ40" s="297">
        <v>0</v>
      </c>
      <c r="AK40" s="297">
        <v>0</v>
      </c>
      <c r="AL40" s="297">
        <v>0</v>
      </c>
      <c r="AM40" s="297">
        <v>0</v>
      </c>
      <c r="AN40" s="297">
        <v>0</v>
      </c>
      <c r="AO40" s="293">
        <f t="shared" si="35"/>
        <v>0</v>
      </c>
      <c r="AP40" s="298">
        <v>222</v>
      </c>
      <c r="AQ40" s="295">
        <f t="shared" si="36"/>
        <v>1378885</v>
      </c>
      <c r="AR40" s="295">
        <f t="shared" si="37"/>
        <v>6211.1936936936936</v>
      </c>
      <c r="AS40" s="297">
        <v>1378885</v>
      </c>
      <c r="AT40" s="297">
        <v>0</v>
      </c>
      <c r="AU40" s="297">
        <v>0</v>
      </c>
      <c r="AV40" s="297">
        <v>0</v>
      </c>
      <c r="AW40" s="297">
        <v>0</v>
      </c>
      <c r="AX40" s="297">
        <v>0</v>
      </c>
      <c r="AY40" s="293">
        <f t="shared" si="38"/>
        <v>0</v>
      </c>
      <c r="AZ40" s="298">
        <v>261</v>
      </c>
      <c r="BA40" s="295">
        <f t="shared" si="39"/>
        <v>1520155</v>
      </c>
      <c r="BB40" s="295">
        <f t="shared" si="40"/>
        <v>5824.348659003831</v>
      </c>
      <c r="BC40" s="297">
        <v>1520155</v>
      </c>
      <c r="BD40" s="297">
        <v>0</v>
      </c>
      <c r="BE40" s="297">
        <v>0</v>
      </c>
      <c r="BF40" s="297">
        <v>0</v>
      </c>
      <c r="BG40" s="297">
        <v>0</v>
      </c>
      <c r="BH40" s="297">
        <v>0</v>
      </c>
      <c r="BI40" s="293">
        <f t="shared" si="41"/>
        <v>0</v>
      </c>
      <c r="BJ40" s="298">
        <v>344</v>
      </c>
      <c r="BK40" s="295">
        <f t="shared" si="42"/>
        <v>2121464</v>
      </c>
      <c r="BL40" s="295">
        <f t="shared" si="43"/>
        <v>6167.0465116279074</v>
      </c>
      <c r="BM40" s="297">
        <v>2121464</v>
      </c>
      <c r="BN40" s="297"/>
      <c r="BO40" s="297"/>
      <c r="BP40" s="297"/>
      <c r="BQ40" s="297"/>
      <c r="BR40" s="297"/>
      <c r="BS40" s="293">
        <f t="shared" si="44"/>
        <v>0</v>
      </c>
      <c r="BT40" s="12">
        <v>378</v>
      </c>
      <c r="BU40" s="295">
        <f t="shared" si="45"/>
        <v>2359587</v>
      </c>
      <c r="BV40" s="295">
        <f t="shared" si="46"/>
        <v>6242.2936507936511</v>
      </c>
      <c r="BW40" s="11">
        <v>2359587</v>
      </c>
      <c r="BX40" s="11"/>
      <c r="BY40" s="11"/>
      <c r="BZ40" s="11"/>
      <c r="CA40" s="11"/>
      <c r="CB40" s="11"/>
      <c r="CC40" s="293">
        <f t="shared" si="47"/>
        <v>0</v>
      </c>
    </row>
    <row r="41" spans="1:81" s="308" customFormat="1" ht="15.95" customHeight="1" x14ac:dyDescent="0.2">
      <c r="A41" s="307" t="s">
        <v>251</v>
      </c>
      <c r="B41" s="298"/>
      <c r="C41" s="295">
        <f t="shared" ref="C41:C43" si="48">SUM(E41:I41)</f>
        <v>0</v>
      </c>
      <c r="D41" s="295">
        <f t="shared" si="25"/>
        <v>0</v>
      </c>
      <c r="E41" s="297"/>
      <c r="F41" s="297"/>
      <c r="G41" s="297"/>
      <c r="H41" s="297"/>
      <c r="I41" s="297"/>
      <c r="J41" s="297"/>
      <c r="K41" s="293">
        <f t="shared" si="26"/>
        <v>0</v>
      </c>
      <c r="L41" s="294"/>
      <c r="M41" s="295">
        <f t="shared" si="27"/>
        <v>0</v>
      </c>
      <c r="N41" s="295">
        <f t="shared" si="28"/>
        <v>0</v>
      </c>
      <c r="O41" s="297"/>
      <c r="P41" s="297"/>
      <c r="Q41" s="297"/>
      <c r="R41" s="297"/>
      <c r="S41" s="297"/>
      <c r="T41" s="297"/>
      <c r="U41" s="293">
        <f t="shared" si="29"/>
        <v>0</v>
      </c>
      <c r="V41" s="298"/>
      <c r="W41" s="295">
        <f t="shared" si="30"/>
        <v>0</v>
      </c>
      <c r="X41" s="295">
        <f t="shared" si="31"/>
        <v>0</v>
      </c>
      <c r="Y41" s="297"/>
      <c r="Z41" s="297"/>
      <c r="AA41" s="297"/>
      <c r="AB41" s="297"/>
      <c r="AC41" s="297"/>
      <c r="AD41" s="297"/>
      <c r="AE41" s="293">
        <f t="shared" si="32"/>
        <v>0</v>
      </c>
      <c r="AF41" s="294"/>
      <c r="AG41" s="295">
        <f t="shared" si="33"/>
        <v>0</v>
      </c>
      <c r="AH41" s="295">
        <f t="shared" si="34"/>
        <v>0</v>
      </c>
      <c r="AI41" s="297"/>
      <c r="AJ41" s="297"/>
      <c r="AK41" s="297"/>
      <c r="AL41" s="297"/>
      <c r="AM41" s="297"/>
      <c r="AN41" s="297"/>
      <c r="AO41" s="293">
        <f t="shared" si="35"/>
        <v>0</v>
      </c>
      <c r="AP41" s="298"/>
      <c r="AQ41" s="295">
        <f t="shared" si="36"/>
        <v>0</v>
      </c>
      <c r="AR41" s="295">
        <f t="shared" si="37"/>
        <v>0</v>
      </c>
      <c r="AS41" s="297"/>
      <c r="AT41" s="297"/>
      <c r="AU41" s="297"/>
      <c r="AV41" s="297"/>
      <c r="AW41" s="297"/>
      <c r="AX41" s="297"/>
      <c r="AY41" s="293">
        <f t="shared" si="38"/>
        <v>0</v>
      </c>
      <c r="AZ41" s="298">
        <v>30</v>
      </c>
      <c r="BA41" s="295">
        <f t="shared" si="39"/>
        <v>222397</v>
      </c>
      <c r="BB41" s="295">
        <f t="shared" si="40"/>
        <v>7413.2333333333336</v>
      </c>
      <c r="BC41" s="297">
        <v>0</v>
      </c>
      <c r="BD41" s="297">
        <v>222397</v>
      </c>
      <c r="BE41" s="297">
        <v>0</v>
      </c>
      <c r="BF41" s="297">
        <v>0</v>
      </c>
      <c r="BG41" s="297">
        <v>0</v>
      </c>
      <c r="BH41" s="297">
        <v>222397</v>
      </c>
      <c r="BI41" s="293">
        <f t="shared" si="41"/>
        <v>0</v>
      </c>
      <c r="BJ41" s="298">
        <v>56</v>
      </c>
      <c r="BK41" s="295">
        <f t="shared" si="42"/>
        <v>239922</v>
      </c>
      <c r="BL41" s="295">
        <f t="shared" si="43"/>
        <v>4284.3214285714284</v>
      </c>
      <c r="BM41" s="297">
        <v>0</v>
      </c>
      <c r="BN41" s="297">
        <v>239922</v>
      </c>
      <c r="BO41" s="297"/>
      <c r="BP41" s="297"/>
      <c r="BQ41" s="297"/>
      <c r="BR41" s="297">
        <v>225088</v>
      </c>
      <c r="BS41" s="293">
        <f t="shared" si="44"/>
        <v>0</v>
      </c>
      <c r="BT41" s="12">
        <v>47</v>
      </c>
      <c r="BU41" s="295">
        <f t="shared" si="45"/>
        <v>72924</v>
      </c>
      <c r="BV41" s="295">
        <f t="shared" si="46"/>
        <v>1551.5744680851064</v>
      </c>
      <c r="BW41" s="11"/>
      <c r="BX41" s="11">
        <v>72924</v>
      </c>
      <c r="BY41" s="11"/>
      <c r="BZ41" s="11"/>
      <c r="CA41" s="11"/>
      <c r="CB41" s="11">
        <v>70174</v>
      </c>
      <c r="CC41" s="293">
        <f t="shared" si="47"/>
        <v>0</v>
      </c>
    </row>
    <row r="42" spans="1:81" s="308" customFormat="1" ht="15.95" customHeight="1" x14ac:dyDescent="0.2">
      <c r="A42" s="342" t="s">
        <v>257</v>
      </c>
      <c r="B42" s="298"/>
      <c r="C42" s="295">
        <f t="shared" si="48"/>
        <v>0</v>
      </c>
      <c r="D42" s="295">
        <f t="shared" si="25"/>
        <v>0</v>
      </c>
      <c r="E42" s="297"/>
      <c r="F42" s="297"/>
      <c r="G42" s="297"/>
      <c r="H42" s="297"/>
      <c r="I42" s="297"/>
      <c r="J42" s="297"/>
      <c r="K42" s="293">
        <f t="shared" si="26"/>
        <v>0</v>
      </c>
      <c r="L42" s="294"/>
      <c r="M42" s="295">
        <f t="shared" si="27"/>
        <v>0</v>
      </c>
      <c r="N42" s="295">
        <f t="shared" si="28"/>
        <v>0</v>
      </c>
      <c r="O42" s="297"/>
      <c r="P42" s="297"/>
      <c r="Q42" s="297"/>
      <c r="R42" s="297"/>
      <c r="S42" s="297"/>
      <c r="T42" s="297"/>
      <c r="U42" s="293">
        <f t="shared" si="29"/>
        <v>0</v>
      </c>
      <c r="V42" s="298"/>
      <c r="W42" s="295">
        <f t="shared" si="30"/>
        <v>0</v>
      </c>
      <c r="X42" s="295">
        <f t="shared" si="31"/>
        <v>0</v>
      </c>
      <c r="Y42" s="297"/>
      <c r="Z42" s="297"/>
      <c r="AA42" s="297"/>
      <c r="AB42" s="297"/>
      <c r="AC42" s="297"/>
      <c r="AD42" s="297"/>
      <c r="AE42" s="293">
        <f t="shared" si="32"/>
        <v>0</v>
      </c>
      <c r="AF42" s="294"/>
      <c r="AG42" s="295">
        <f t="shared" si="33"/>
        <v>0</v>
      </c>
      <c r="AH42" s="295">
        <f t="shared" si="34"/>
        <v>0</v>
      </c>
      <c r="AI42" s="297"/>
      <c r="AJ42" s="297"/>
      <c r="AK42" s="297"/>
      <c r="AL42" s="297"/>
      <c r="AM42" s="297"/>
      <c r="AN42" s="297"/>
      <c r="AO42" s="293">
        <f t="shared" si="35"/>
        <v>0</v>
      </c>
      <c r="AP42" s="298"/>
      <c r="AQ42" s="295">
        <f t="shared" si="36"/>
        <v>0</v>
      </c>
      <c r="AR42" s="295">
        <f t="shared" si="37"/>
        <v>0</v>
      </c>
      <c r="AS42" s="297"/>
      <c r="AT42" s="297"/>
      <c r="AU42" s="297"/>
      <c r="AV42" s="297"/>
      <c r="AW42" s="297"/>
      <c r="AX42" s="297"/>
      <c r="AY42" s="293">
        <f t="shared" si="38"/>
        <v>0</v>
      </c>
      <c r="AZ42" s="12"/>
      <c r="BA42" s="295">
        <f t="shared" si="39"/>
        <v>0</v>
      </c>
      <c r="BB42" s="295">
        <f t="shared" si="40"/>
        <v>0</v>
      </c>
      <c r="BC42" s="11"/>
      <c r="BD42" s="11"/>
      <c r="BE42" s="11"/>
      <c r="BF42" s="11"/>
      <c r="BG42" s="11"/>
      <c r="BH42" s="11"/>
      <c r="BI42" s="293">
        <f t="shared" si="41"/>
        <v>0</v>
      </c>
      <c r="BJ42" s="298">
        <v>12</v>
      </c>
      <c r="BK42" s="295">
        <f t="shared" si="42"/>
        <v>109800</v>
      </c>
      <c r="BL42" s="295">
        <f t="shared" si="43"/>
        <v>9150</v>
      </c>
      <c r="BM42" s="297"/>
      <c r="BN42" s="297"/>
      <c r="BO42" s="297">
        <v>109800</v>
      </c>
      <c r="BP42" s="297"/>
      <c r="BQ42" s="297"/>
      <c r="BR42" s="297"/>
      <c r="BS42" s="293">
        <f t="shared" si="44"/>
        <v>0</v>
      </c>
      <c r="BT42" s="12">
        <v>36</v>
      </c>
      <c r="BU42" s="295">
        <f t="shared" si="45"/>
        <v>360000</v>
      </c>
      <c r="BV42" s="295">
        <f t="shared" si="46"/>
        <v>10000</v>
      </c>
      <c r="BW42" s="11"/>
      <c r="BX42" s="11"/>
      <c r="BY42" s="11">
        <v>360000</v>
      </c>
      <c r="BZ42" s="11"/>
      <c r="CA42" s="11"/>
      <c r="CB42" s="11">
        <v>360000</v>
      </c>
      <c r="CC42" s="293">
        <f t="shared" si="47"/>
        <v>0</v>
      </c>
    </row>
    <row r="43" spans="1:81" s="308" customFormat="1" ht="15.95" customHeight="1" x14ac:dyDescent="0.2">
      <c r="A43" s="56"/>
      <c r="B43" s="298"/>
      <c r="C43" s="295">
        <f t="shared" si="48"/>
        <v>0</v>
      </c>
      <c r="D43" s="295">
        <f t="shared" si="25"/>
        <v>0</v>
      </c>
      <c r="E43" s="297"/>
      <c r="F43" s="297"/>
      <c r="G43" s="297"/>
      <c r="H43" s="297"/>
      <c r="I43" s="297"/>
      <c r="J43" s="297"/>
      <c r="K43" s="293">
        <f t="shared" si="26"/>
        <v>0</v>
      </c>
      <c r="L43" s="294"/>
      <c r="M43" s="295">
        <f t="shared" si="27"/>
        <v>0</v>
      </c>
      <c r="N43" s="295">
        <f t="shared" si="28"/>
        <v>0</v>
      </c>
      <c r="O43" s="297"/>
      <c r="P43" s="297"/>
      <c r="Q43" s="297"/>
      <c r="R43" s="297"/>
      <c r="S43" s="297"/>
      <c r="T43" s="297"/>
      <c r="U43" s="293">
        <f t="shared" si="29"/>
        <v>0</v>
      </c>
      <c r="V43" s="298"/>
      <c r="W43" s="295">
        <f t="shared" si="30"/>
        <v>0</v>
      </c>
      <c r="X43" s="295">
        <f t="shared" si="31"/>
        <v>0</v>
      </c>
      <c r="Y43" s="297"/>
      <c r="Z43" s="297"/>
      <c r="AA43" s="297"/>
      <c r="AB43" s="297"/>
      <c r="AC43" s="297"/>
      <c r="AD43" s="297"/>
      <c r="AE43" s="293">
        <f t="shared" si="32"/>
        <v>0</v>
      </c>
      <c r="AF43" s="294"/>
      <c r="AG43" s="295">
        <f t="shared" si="33"/>
        <v>0</v>
      </c>
      <c r="AH43" s="295">
        <f t="shared" si="34"/>
        <v>0</v>
      </c>
      <c r="AI43" s="297"/>
      <c r="AJ43" s="297"/>
      <c r="AK43" s="297"/>
      <c r="AL43" s="297"/>
      <c r="AM43" s="297"/>
      <c r="AN43" s="297"/>
      <c r="AO43" s="293">
        <f t="shared" si="35"/>
        <v>0</v>
      </c>
      <c r="AP43" s="298"/>
      <c r="AQ43" s="295">
        <f t="shared" si="36"/>
        <v>0</v>
      </c>
      <c r="AR43" s="295">
        <f t="shared" si="37"/>
        <v>0</v>
      </c>
      <c r="AS43" s="297"/>
      <c r="AT43" s="297"/>
      <c r="AU43" s="297"/>
      <c r="AV43" s="297"/>
      <c r="AW43" s="297"/>
      <c r="AX43" s="297"/>
      <c r="AY43" s="293">
        <f t="shared" si="38"/>
        <v>0</v>
      </c>
      <c r="AZ43" s="298"/>
      <c r="BA43" s="295">
        <f t="shared" si="39"/>
        <v>0</v>
      </c>
      <c r="BB43" s="295">
        <f t="shared" si="40"/>
        <v>0</v>
      </c>
      <c r="BC43" s="297"/>
      <c r="BD43" s="297"/>
      <c r="BE43" s="297"/>
      <c r="BF43" s="297"/>
      <c r="BG43" s="297"/>
      <c r="BH43" s="297"/>
      <c r="BI43" s="293">
        <f t="shared" si="41"/>
        <v>0</v>
      </c>
      <c r="BJ43" s="298"/>
      <c r="BK43" s="295">
        <f t="shared" si="42"/>
        <v>0</v>
      </c>
      <c r="BL43" s="295">
        <f t="shared" si="43"/>
        <v>0</v>
      </c>
      <c r="BM43" s="297"/>
      <c r="BN43" s="297"/>
      <c r="BO43" s="297"/>
      <c r="BP43" s="297"/>
      <c r="BQ43" s="297"/>
      <c r="BR43" s="297"/>
      <c r="BS43" s="293">
        <f t="shared" si="44"/>
        <v>0</v>
      </c>
      <c r="BT43" s="12"/>
      <c r="BU43" s="295">
        <f t="shared" si="45"/>
        <v>0</v>
      </c>
      <c r="BV43" s="295">
        <f t="shared" si="46"/>
        <v>0</v>
      </c>
      <c r="BW43" s="11"/>
      <c r="BX43" s="11"/>
      <c r="BY43" s="11"/>
      <c r="BZ43" s="11"/>
      <c r="CA43" s="11"/>
      <c r="CB43" s="11"/>
      <c r="CC43" s="293">
        <f t="shared" si="47"/>
        <v>0</v>
      </c>
    </row>
    <row r="44" spans="1:81" s="308" customFormat="1" ht="15.95" customHeight="1" x14ac:dyDescent="0.2">
      <c r="A44" s="56"/>
      <c r="B44" s="298"/>
      <c r="C44" s="295">
        <f t="shared" si="24"/>
        <v>0</v>
      </c>
      <c r="D44" s="295">
        <f t="shared" si="25"/>
        <v>0</v>
      </c>
      <c r="E44" s="297"/>
      <c r="F44" s="297"/>
      <c r="G44" s="297"/>
      <c r="H44" s="297"/>
      <c r="I44" s="297"/>
      <c r="J44" s="297"/>
      <c r="K44" s="293">
        <f t="shared" si="26"/>
        <v>0</v>
      </c>
      <c r="L44" s="294"/>
      <c r="M44" s="295">
        <f t="shared" si="27"/>
        <v>0</v>
      </c>
      <c r="N44" s="295">
        <f t="shared" si="28"/>
        <v>0</v>
      </c>
      <c r="O44" s="297"/>
      <c r="P44" s="297"/>
      <c r="Q44" s="297"/>
      <c r="R44" s="297"/>
      <c r="S44" s="297"/>
      <c r="T44" s="297"/>
      <c r="U44" s="293">
        <f t="shared" si="29"/>
        <v>0</v>
      </c>
      <c r="V44" s="298"/>
      <c r="W44" s="295">
        <f t="shared" si="30"/>
        <v>0</v>
      </c>
      <c r="X44" s="295">
        <f t="shared" si="31"/>
        <v>0</v>
      </c>
      <c r="Y44" s="297"/>
      <c r="Z44" s="297"/>
      <c r="AA44" s="297"/>
      <c r="AB44" s="297"/>
      <c r="AC44" s="297"/>
      <c r="AD44" s="297"/>
      <c r="AE44" s="293">
        <f t="shared" si="32"/>
        <v>0</v>
      </c>
      <c r="AF44" s="294"/>
      <c r="AG44" s="295">
        <f t="shared" si="33"/>
        <v>0</v>
      </c>
      <c r="AH44" s="295">
        <f t="shared" si="34"/>
        <v>0</v>
      </c>
      <c r="AI44" s="297"/>
      <c r="AJ44" s="297"/>
      <c r="AK44" s="297"/>
      <c r="AL44" s="297"/>
      <c r="AM44" s="297"/>
      <c r="AN44" s="297"/>
      <c r="AO44" s="293">
        <f t="shared" si="35"/>
        <v>0</v>
      </c>
      <c r="AP44" s="298"/>
      <c r="AQ44" s="295">
        <f t="shared" si="36"/>
        <v>0</v>
      </c>
      <c r="AR44" s="295">
        <f t="shared" si="37"/>
        <v>0</v>
      </c>
      <c r="AS44" s="297"/>
      <c r="AT44" s="297"/>
      <c r="AU44" s="297"/>
      <c r="AV44" s="297"/>
      <c r="AW44" s="297"/>
      <c r="AX44" s="297"/>
      <c r="AY44" s="293">
        <f t="shared" si="38"/>
        <v>0</v>
      </c>
      <c r="AZ44" s="298"/>
      <c r="BA44" s="295">
        <f t="shared" si="39"/>
        <v>0</v>
      </c>
      <c r="BB44" s="295">
        <f t="shared" si="40"/>
        <v>0</v>
      </c>
      <c r="BC44" s="297"/>
      <c r="BD44" s="297"/>
      <c r="BE44" s="297"/>
      <c r="BF44" s="297"/>
      <c r="BG44" s="297"/>
      <c r="BH44" s="297"/>
      <c r="BI44" s="293">
        <f t="shared" si="41"/>
        <v>0</v>
      </c>
      <c r="BJ44" s="298"/>
      <c r="BK44" s="295">
        <f t="shared" si="42"/>
        <v>0</v>
      </c>
      <c r="BL44" s="295">
        <f t="shared" si="43"/>
        <v>0</v>
      </c>
      <c r="BM44" s="297"/>
      <c r="BN44" s="297"/>
      <c r="BO44" s="297"/>
      <c r="BP44" s="297"/>
      <c r="BQ44" s="297"/>
      <c r="BR44" s="297"/>
      <c r="BS44" s="293">
        <f t="shared" si="44"/>
        <v>0</v>
      </c>
      <c r="BT44" s="12"/>
      <c r="BU44" s="295">
        <f t="shared" si="45"/>
        <v>0</v>
      </c>
      <c r="BV44" s="295">
        <f t="shared" si="46"/>
        <v>0</v>
      </c>
      <c r="BW44" s="11"/>
      <c r="BX44" s="11"/>
      <c r="BY44" s="11"/>
      <c r="BZ44" s="11"/>
      <c r="CA44" s="11"/>
      <c r="CB44" s="11"/>
      <c r="CC44" s="293">
        <f t="shared" si="47"/>
        <v>0</v>
      </c>
    </row>
    <row r="45" spans="1:81" s="308" customFormat="1" ht="15.95" customHeight="1" x14ac:dyDescent="0.2">
      <c r="A45" s="56"/>
      <c r="B45" s="298"/>
      <c r="C45" s="295">
        <f t="shared" si="24"/>
        <v>0</v>
      </c>
      <c r="D45" s="295">
        <f t="shared" si="25"/>
        <v>0</v>
      </c>
      <c r="E45" s="297"/>
      <c r="F45" s="297"/>
      <c r="G45" s="297"/>
      <c r="H45" s="297"/>
      <c r="I45" s="297"/>
      <c r="J45" s="297"/>
      <c r="K45" s="293">
        <f t="shared" si="26"/>
        <v>0</v>
      </c>
      <c r="L45" s="294"/>
      <c r="M45" s="295">
        <f t="shared" si="27"/>
        <v>0</v>
      </c>
      <c r="N45" s="295">
        <f t="shared" si="28"/>
        <v>0</v>
      </c>
      <c r="O45" s="297"/>
      <c r="P45" s="297"/>
      <c r="Q45" s="297"/>
      <c r="R45" s="297"/>
      <c r="S45" s="297"/>
      <c r="T45" s="297"/>
      <c r="U45" s="293">
        <f t="shared" si="29"/>
        <v>0</v>
      </c>
      <c r="V45" s="298"/>
      <c r="W45" s="295">
        <f t="shared" si="30"/>
        <v>0</v>
      </c>
      <c r="X45" s="295">
        <f t="shared" si="31"/>
        <v>0</v>
      </c>
      <c r="Y45" s="297"/>
      <c r="Z45" s="297"/>
      <c r="AA45" s="297"/>
      <c r="AB45" s="297"/>
      <c r="AC45" s="297"/>
      <c r="AD45" s="297"/>
      <c r="AE45" s="293">
        <f t="shared" si="32"/>
        <v>0</v>
      </c>
      <c r="AF45" s="294"/>
      <c r="AG45" s="295">
        <f t="shared" si="33"/>
        <v>0</v>
      </c>
      <c r="AH45" s="295">
        <f t="shared" si="34"/>
        <v>0</v>
      </c>
      <c r="AI45" s="297"/>
      <c r="AJ45" s="297"/>
      <c r="AK45" s="297"/>
      <c r="AL45" s="297"/>
      <c r="AM45" s="297"/>
      <c r="AN45" s="297"/>
      <c r="AO45" s="293">
        <f t="shared" si="35"/>
        <v>0</v>
      </c>
      <c r="AP45" s="298"/>
      <c r="AQ45" s="295">
        <f t="shared" si="36"/>
        <v>0</v>
      </c>
      <c r="AR45" s="295">
        <f t="shared" si="37"/>
        <v>0</v>
      </c>
      <c r="AS45" s="297"/>
      <c r="AT45" s="297"/>
      <c r="AU45" s="297"/>
      <c r="AV45" s="297"/>
      <c r="AW45" s="297"/>
      <c r="AX45" s="297"/>
      <c r="AY45" s="293">
        <f t="shared" si="38"/>
        <v>0</v>
      </c>
      <c r="AZ45" s="298"/>
      <c r="BA45" s="295">
        <f t="shared" si="39"/>
        <v>0</v>
      </c>
      <c r="BB45" s="295">
        <f t="shared" si="40"/>
        <v>0</v>
      </c>
      <c r="BC45" s="297"/>
      <c r="BD45" s="297"/>
      <c r="BE45" s="297"/>
      <c r="BF45" s="297"/>
      <c r="BG45" s="297"/>
      <c r="BH45" s="297"/>
      <c r="BI45" s="293">
        <f t="shared" si="41"/>
        <v>0</v>
      </c>
      <c r="BJ45" s="298"/>
      <c r="BK45" s="295">
        <f t="shared" si="42"/>
        <v>0</v>
      </c>
      <c r="BL45" s="295">
        <f t="shared" si="43"/>
        <v>0</v>
      </c>
      <c r="BM45" s="297"/>
      <c r="BN45" s="297"/>
      <c r="BO45" s="297"/>
      <c r="BP45" s="297"/>
      <c r="BQ45" s="297"/>
      <c r="BR45" s="297"/>
      <c r="BS45" s="293">
        <f t="shared" si="44"/>
        <v>0</v>
      </c>
      <c r="BT45" s="12"/>
      <c r="BU45" s="295">
        <f t="shared" si="45"/>
        <v>0</v>
      </c>
      <c r="BV45" s="295">
        <f t="shared" si="46"/>
        <v>0</v>
      </c>
      <c r="BW45" s="11"/>
      <c r="BX45" s="11"/>
      <c r="BY45" s="11"/>
      <c r="BZ45" s="11"/>
      <c r="CA45" s="11"/>
      <c r="CB45" s="11"/>
      <c r="CC45" s="293">
        <f t="shared" si="47"/>
        <v>0</v>
      </c>
    </row>
    <row r="46" spans="1:81" s="308" customFormat="1" ht="15.95" customHeight="1" x14ac:dyDescent="0.2">
      <c r="A46" s="56"/>
      <c r="B46" s="298"/>
      <c r="C46" s="295">
        <f t="shared" si="24"/>
        <v>0</v>
      </c>
      <c r="D46" s="295">
        <f t="shared" si="25"/>
        <v>0</v>
      </c>
      <c r="E46" s="297"/>
      <c r="F46" s="297"/>
      <c r="G46" s="297"/>
      <c r="H46" s="297"/>
      <c r="I46" s="297"/>
      <c r="J46" s="297"/>
      <c r="K46" s="293">
        <f t="shared" si="26"/>
        <v>0</v>
      </c>
      <c r="L46" s="294"/>
      <c r="M46" s="295">
        <f t="shared" si="27"/>
        <v>0</v>
      </c>
      <c r="N46" s="295">
        <f t="shared" si="28"/>
        <v>0</v>
      </c>
      <c r="O46" s="297"/>
      <c r="P46" s="297"/>
      <c r="Q46" s="297"/>
      <c r="R46" s="297"/>
      <c r="S46" s="297"/>
      <c r="T46" s="297"/>
      <c r="U46" s="293">
        <f t="shared" si="29"/>
        <v>0</v>
      </c>
      <c r="V46" s="298"/>
      <c r="W46" s="295">
        <f t="shared" si="30"/>
        <v>0</v>
      </c>
      <c r="X46" s="295">
        <f t="shared" si="31"/>
        <v>0</v>
      </c>
      <c r="Y46" s="297"/>
      <c r="Z46" s="297"/>
      <c r="AA46" s="297"/>
      <c r="AB46" s="297"/>
      <c r="AC46" s="297"/>
      <c r="AD46" s="297"/>
      <c r="AE46" s="293">
        <f t="shared" si="32"/>
        <v>0</v>
      </c>
      <c r="AF46" s="294"/>
      <c r="AG46" s="295">
        <f t="shared" si="33"/>
        <v>0</v>
      </c>
      <c r="AH46" s="295">
        <f t="shared" si="34"/>
        <v>0</v>
      </c>
      <c r="AI46" s="297"/>
      <c r="AJ46" s="297"/>
      <c r="AK46" s="297"/>
      <c r="AL46" s="297"/>
      <c r="AM46" s="297"/>
      <c r="AN46" s="297"/>
      <c r="AO46" s="293">
        <f t="shared" si="35"/>
        <v>0</v>
      </c>
      <c r="AP46" s="298"/>
      <c r="AQ46" s="295">
        <f t="shared" si="36"/>
        <v>0</v>
      </c>
      <c r="AR46" s="295">
        <f t="shared" si="37"/>
        <v>0</v>
      </c>
      <c r="AS46" s="297"/>
      <c r="AT46" s="297"/>
      <c r="AU46" s="297"/>
      <c r="AV46" s="297"/>
      <c r="AW46" s="297"/>
      <c r="AX46" s="297"/>
      <c r="AY46" s="293">
        <f t="shared" si="38"/>
        <v>0</v>
      </c>
      <c r="AZ46" s="298"/>
      <c r="BA46" s="295">
        <f t="shared" si="39"/>
        <v>0</v>
      </c>
      <c r="BB46" s="295">
        <f t="shared" si="40"/>
        <v>0</v>
      </c>
      <c r="BC46" s="297"/>
      <c r="BD46" s="297"/>
      <c r="BE46" s="297"/>
      <c r="BF46" s="297"/>
      <c r="BG46" s="297"/>
      <c r="BH46" s="297"/>
      <c r="BI46" s="293">
        <f t="shared" si="41"/>
        <v>0</v>
      </c>
      <c r="BJ46" s="298"/>
      <c r="BK46" s="295">
        <f t="shared" si="42"/>
        <v>0</v>
      </c>
      <c r="BL46" s="295">
        <f t="shared" si="43"/>
        <v>0</v>
      </c>
      <c r="BM46" s="297"/>
      <c r="BN46" s="297"/>
      <c r="BO46" s="297"/>
      <c r="BP46" s="297"/>
      <c r="BQ46" s="297"/>
      <c r="BR46" s="297"/>
      <c r="BS46" s="293">
        <f t="shared" si="44"/>
        <v>0</v>
      </c>
      <c r="BT46" s="12"/>
      <c r="BU46" s="295">
        <f t="shared" si="45"/>
        <v>0</v>
      </c>
      <c r="BV46" s="295">
        <f t="shared" si="46"/>
        <v>0</v>
      </c>
      <c r="BW46" s="11"/>
      <c r="BX46" s="11"/>
      <c r="BY46" s="11"/>
      <c r="BZ46" s="11"/>
      <c r="CA46" s="11"/>
      <c r="CB46" s="11"/>
      <c r="CC46" s="293">
        <f t="shared" si="47"/>
        <v>0</v>
      </c>
    </row>
    <row r="47" spans="1:81" ht="15.95" customHeight="1" x14ac:dyDescent="0.2">
      <c r="A47" s="309" t="s">
        <v>102</v>
      </c>
      <c r="B47" s="306"/>
      <c r="C47" s="290"/>
      <c r="D47" s="290"/>
      <c r="E47" s="292"/>
      <c r="F47" s="292"/>
      <c r="G47" s="292"/>
      <c r="H47" s="292"/>
      <c r="I47" s="292"/>
      <c r="J47" s="292"/>
      <c r="K47" s="293"/>
      <c r="L47" s="294"/>
      <c r="M47" s="295"/>
      <c r="N47" s="295"/>
      <c r="O47" s="297"/>
      <c r="P47" s="297"/>
      <c r="Q47" s="297"/>
      <c r="R47" s="297"/>
      <c r="S47" s="297"/>
      <c r="T47" s="297"/>
      <c r="U47" s="293"/>
      <c r="V47" s="298"/>
      <c r="W47" s="295"/>
      <c r="X47" s="295"/>
      <c r="Y47" s="297"/>
      <c r="Z47" s="297"/>
      <c r="AA47" s="297"/>
      <c r="AB47" s="297"/>
      <c r="AC47" s="297"/>
      <c r="AD47" s="297"/>
      <c r="AE47" s="293"/>
      <c r="AF47" s="294"/>
      <c r="AG47" s="295"/>
      <c r="AH47" s="295"/>
      <c r="AI47" s="297"/>
      <c r="AJ47" s="297"/>
      <c r="AK47" s="297"/>
      <c r="AL47" s="297"/>
      <c r="AM47" s="297"/>
      <c r="AN47" s="297"/>
      <c r="AO47" s="293"/>
      <c r="AP47" s="298"/>
      <c r="AQ47" s="295"/>
      <c r="AR47" s="295"/>
      <c r="AS47" s="297"/>
      <c r="AT47" s="297"/>
      <c r="AU47" s="297"/>
      <c r="AV47" s="297"/>
      <c r="AW47" s="297"/>
      <c r="AX47" s="297"/>
      <c r="AY47" s="293"/>
      <c r="AZ47" s="298"/>
      <c r="BA47" s="295"/>
      <c r="BB47" s="295"/>
      <c r="BC47" s="297"/>
      <c r="BD47" s="297"/>
      <c r="BE47" s="297"/>
      <c r="BF47" s="297"/>
      <c r="BG47" s="297"/>
      <c r="BH47" s="297"/>
      <c r="BI47" s="293"/>
      <c r="BJ47" s="298"/>
      <c r="BK47" s="295"/>
      <c r="BL47" s="295"/>
      <c r="BM47" s="297"/>
      <c r="BN47" s="297"/>
      <c r="BO47" s="297"/>
      <c r="BP47" s="297"/>
      <c r="BQ47" s="297"/>
      <c r="BR47" s="297"/>
      <c r="BS47" s="293"/>
      <c r="BT47" s="298"/>
      <c r="BU47" s="295"/>
      <c r="BV47" s="295"/>
      <c r="BW47" s="297"/>
      <c r="BX47" s="297"/>
      <c r="BY47" s="297"/>
      <c r="BZ47" s="297"/>
      <c r="CA47" s="297"/>
      <c r="CB47" s="297"/>
      <c r="CC47" s="293"/>
    </row>
    <row r="48" spans="1:81" s="308" customFormat="1" ht="15.95" customHeight="1" x14ac:dyDescent="0.2">
      <c r="A48" s="310" t="s">
        <v>111</v>
      </c>
      <c r="B48" s="311">
        <f>SUM(B$34:B47)</f>
        <v>2366</v>
      </c>
      <c r="C48" s="295">
        <f>SUM(C$34:C47)</f>
        <v>7100854.2300000004</v>
      </c>
      <c r="D48" s="295">
        <f>IFERROR(C48/B48,0)</f>
        <v>3001.2063524936602</v>
      </c>
      <c r="E48" s="312">
        <f>SUM(E$34:E47)</f>
        <v>4896753.2300000004</v>
      </c>
      <c r="F48" s="312">
        <f>SUM(F$34:F47)</f>
        <v>352050</v>
      </c>
      <c r="G48" s="312">
        <f>SUM(G$34:G47)</f>
        <v>0</v>
      </c>
      <c r="H48" s="312">
        <f>SUM(H$34:H47)</f>
        <v>0</v>
      </c>
      <c r="I48" s="312">
        <f>SUM(I$34:I47)</f>
        <v>1852051</v>
      </c>
      <c r="J48" s="312">
        <f>SUM(J$34:J47)</f>
        <v>5294232</v>
      </c>
      <c r="K48" s="293">
        <f>SUM(K$34:K47)</f>
        <v>3534485</v>
      </c>
      <c r="L48" s="313">
        <f>SUM(L$34:L47)</f>
        <v>2430</v>
      </c>
      <c r="M48" s="295">
        <f>SUM(M$34:M47)</f>
        <v>7119547</v>
      </c>
      <c r="N48" s="295">
        <f>IFERROR(M48/L48,0)</f>
        <v>2929.8547325102882</v>
      </c>
      <c r="O48" s="312">
        <f>SUM(O$34:O47)</f>
        <v>4821424</v>
      </c>
      <c r="P48" s="312">
        <f>SUM(P$34:P47)</f>
        <v>412758</v>
      </c>
      <c r="Q48" s="312">
        <f>SUM(Q$34:Q47)</f>
        <v>0</v>
      </c>
      <c r="R48" s="312">
        <f>SUM(R$34:R47)</f>
        <v>0</v>
      </c>
      <c r="S48" s="312">
        <f>SUM(S$34:S47)</f>
        <v>1885365</v>
      </c>
      <c r="T48" s="312">
        <f>SUM(T$34:T47)</f>
        <v>5788843</v>
      </c>
      <c r="U48" s="293">
        <f>SUM(U$34:U47)</f>
        <v>3600940</v>
      </c>
      <c r="V48" s="311">
        <f>SUM(V$34:V47)</f>
        <v>2401</v>
      </c>
      <c r="W48" s="295">
        <f>SUM(W$34:W47)</f>
        <v>7681637</v>
      </c>
      <c r="X48" s="295">
        <f>IFERROR(W48/V48,0)</f>
        <v>3199.3490212411493</v>
      </c>
      <c r="Y48" s="312">
        <f>SUM(Y$34:Y47)</f>
        <v>5066498</v>
      </c>
      <c r="Z48" s="312">
        <f>SUM(Z$34:Z47)</f>
        <v>500673</v>
      </c>
      <c r="AA48" s="312">
        <f>SUM(AA$34:AA47)</f>
        <v>0</v>
      </c>
      <c r="AB48" s="312">
        <f>SUM(AB$34:AB47)</f>
        <v>36174</v>
      </c>
      <c r="AC48" s="312">
        <f>SUM(AC$34:AC47)</f>
        <v>2078292</v>
      </c>
      <c r="AD48" s="312">
        <f>SUM(AD$34:AD47)</f>
        <v>6161590</v>
      </c>
      <c r="AE48" s="293">
        <f>SUM(AE$34:AE47)</f>
        <v>3765365</v>
      </c>
      <c r="AF48" s="313">
        <f>SUM(AF$34:AF47)</f>
        <v>2436</v>
      </c>
      <c r="AG48" s="295">
        <f>SUM(AG$34:AG47)</f>
        <v>7955244</v>
      </c>
      <c r="AH48" s="295">
        <f>IFERROR(AG48/AF48,0)</f>
        <v>3265.6995073891626</v>
      </c>
      <c r="AI48" s="312">
        <f>SUM(AI$34:AI47)</f>
        <v>5256325</v>
      </c>
      <c r="AJ48" s="312">
        <f>SUM(AJ$34:AJ47)</f>
        <v>499154</v>
      </c>
      <c r="AK48" s="312">
        <f>SUM(AK$34:AK47)</f>
        <v>0</v>
      </c>
      <c r="AL48" s="312">
        <f>SUM(AL$34:AL47)</f>
        <v>0</v>
      </c>
      <c r="AM48" s="312">
        <f>SUM(AM$34:AM47)</f>
        <v>2199765</v>
      </c>
      <c r="AN48" s="312">
        <f>SUM(AN$34:AN47)</f>
        <v>5775335</v>
      </c>
      <c r="AO48" s="293">
        <f>SUM(AO$34:AO47)</f>
        <v>3267387</v>
      </c>
      <c r="AP48" s="311">
        <f>SUM(AP$34:AP47)</f>
        <v>2491</v>
      </c>
      <c r="AQ48" s="295">
        <f>SUM(AQ$34:AQ47)</f>
        <v>8228279</v>
      </c>
      <c r="AR48" s="295">
        <f>IFERROR(AQ48/AP48,0)</f>
        <v>3303.2031312725812</v>
      </c>
      <c r="AS48" s="312">
        <f>SUM(AS$34:AS47)</f>
        <v>5678005</v>
      </c>
      <c r="AT48" s="312">
        <f>SUM(AT$34:AT47)</f>
        <v>514251</v>
      </c>
      <c r="AU48" s="312">
        <f>SUM(AU$34:AU47)</f>
        <v>0</v>
      </c>
      <c r="AV48" s="312">
        <f>SUM(AV$34:AV47)</f>
        <v>0</v>
      </c>
      <c r="AW48" s="312">
        <f>SUM(AW$34:AW47)</f>
        <v>2036023</v>
      </c>
      <c r="AX48" s="312">
        <f>SUM(AX$34:AX47)</f>
        <v>6197391</v>
      </c>
      <c r="AY48" s="293">
        <f>SUM(AY$34:AY47)</f>
        <v>3885433</v>
      </c>
      <c r="AZ48" s="311">
        <f>SUM(AZ$34:AZ47)</f>
        <v>2655</v>
      </c>
      <c r="BA48" s="295">
        <f>SUM(BA$34:BA47)</f>
        <v>9238532</v>
      </c>
      <c r="BB48" s="295">
        <f>IFERROR(BA48/AZ48,0)</f>
        <v>3479.6730696798495</v>
      </c>
      <c r="BC48" s="312">
        <f>SUM(BC$34:BC47)</f>
        <v>5644583</v>
      </c>
      <c r="BD48" s="312">
        <f>SUM(BD$34:BD47)</f>
        <v>723644</v>
      </c>
      <c r="BE48" s="312">
        <f>SUM(BE$34:BE47)</f>
        <v>0</v>
      </c>
      <c r="BF48" s="312">
        <f>SUM(BF$34:BF47)</f>
        <v>0</v>
      </c>
      <c r="BG48" s="312">
        <f>SUM(BG$34:BG47)</f>
        <v>2870305</v>
      </c>
      <c r="BH48" s="312">
        <f>SUM(BH$34:BH47)</f>
        <v>7378789</v>
      </c>
      <c r="BI48" s="293">
        <f>SUM(BI$34:BI47)</f>
        <v>4088252</v>
      </c>
      <c r="BJ48" s="311">
        <f>SUM(BJ$34:BJ47)</f>
        <v>2742</v>
      </c>
      <c r="BK48" s="295">
        <f>SUM(BK$34:BK47)</f>
        <v>10594368</v>
      </c>
      <c r="BL48" s="295">
        <f>IFERROR(BK48/BJ48,0)</f>
        <v>3863.7374179431072</v>
      </c>
      <c r="BM48" s="312">
        <f>SUM(BM$34:BM47)</f>
        <v>6154212</v>
      </c>
      <c r="BN48" s="312">
        <f>SUM(BN$34:BN47)</f>
        <v>544104</v>
      </c>
      <c r="BO48" s="312">
        <f>SUM(BO$34:BO47)</f>
        <v>109800</v>
      </c>
      <c r="BP48" s="312">
        <f>SUM(BP$34:BP47)</f>
        <v>0</v>
      </c>
      <c r="BQ48" s="312">
        <f>SUM(BQ$34:BQ47)</f>
        <v>3786252</v>
      </c>
      <c r="BR48" s="312">
        <f>SUM(BR$34:BR47)</f>
        <v>8069753</v>
      </c>
      <c r="BS48" s="293">
        <f>SUM(BS$34:BS47)</f>
        <v>3967748</v>
      </c>
      <c r="BT48" s="311">
        <f>SUM(BT$34:BT47)</f>
        <v>2909</v>
      </c>
      <c r="BU48" s="295">
        <f>SUM(BU$34:BU47)</f>
        <v>10647745</v>
      </c>
      <c r="BV48" s="295">
        <f>IFERROR(BU48/BT48,0)</f>
        <v>3660.2767273977311</v>
      </c>
      <c r="BW48" s="312">
        <f>SUM(BW$34:BW47)</f>
        <v>6867536</v>
      </c>
      <c r="BX48" s="312">
        <f>SUM(BX$34:BX47)</f>
        <v>251770</v>
      </c>
      <c r="BY48" s="312">
        <f>SUM(BY$34:BY47)</f>
        <v>360000</v>
      </c>
      <c r="BZ48" s="312">
        <f>SUM(BZ$34:BZ47)</f>
        <v>0</v>
      </c>
      <c r="CA48" s="312">
        <f>SUM(CA$34:CA47)</f>
        <v>3168439</v>
      </c>
      <c r="CB48" s="312">
        <f>SUM(CB$34:CB47)</f>
        <v>7976167</v>
      </c>
      <c r="CC48" s="293">
        <f>SUM(CC$34:CC47)</f>
        <v>4459312</v>
      </c>
    </row>
    <row r="49" spans="1:81" ht="15.95" customHeight="1" x14ac:dyDescent="0.2">
      <c r="A49" s="304"/>
      <c r="B49" s="306"/>
      <c r="C49" s="290"/>
      <c r="D49" s="290"/>
      <c r="E49" s="292"/>
      <c r="F49" s="292"/>
      <c r="G49" s="292"/>
      <c r="H49" s="292"/>
      <c r="I49" s="292"/>
      <c r="J49" s="292"/>
      <c r="K49" s="293"/>
      <c r="L49" s="294"/>
      <c r="M49" s="295"/>
      <c r="N49" s="295"/>
      <c r="O49" s="297"/>
      <c r="P49" s="297"/>
      <c r="Q49" s="297"/>
      <c r="R49" s="297"/>
      <c r="S49" s="297"/>
      <c r="T49" s="297"/>
      <c r="U49" s="293"/>
      <c r="V49" s="298"/>
      <c r="W49" s="295"/>
      <c r="X49" s="295"/>
      <c r="Y49" s="297"/>
      <c r="Z49" s="297"/>
      <c r="AA49" s="297"/>
      <c r="AB49" s="297"/>
      <c r="AC49" s="297"/>
      <c r="AD49" s="297"/>
      <c r="AE49" s="293"/>
      <c r="AF49" s="294"/>
      <c r="AG49" s="295"/>
      <c r="AH49" s="295"/>
      <c r="AI49" s="297"/>
      <c r="AJ49" s="297"/>
      <c r="AK49" s="297"/>
      <c r="AL49" s="297"/>
      <c r="AM49" s="297"/>
      <c r="AN49" s="297"/>
      <c r="AO49" s="293"/>
      <c r="AP49" s="298"/>
      <c r="AQ49" s="295"/>
      <c r="AR49" s="295"/>
      <c r="AS49" s="297"/>
      <c r="AT49" s="297"/>
      <c r="AU49" s="297"/>
      <c r="AV49" s="297"/>
      <c r="AW49" s="297"/>
      <c r="AX49" s="297"/>
      <c r="AY49" s="293"/>
      <c r="AZ49" s="298"/>
      <c r="BA49" s="295"/>
      <c r="BB49" s="295"/>
      <c r="BC49" s="297"/>
      <c r="BD49" s="297"/>
      <c r="BE49" s="297"/>
      <c r="BF49" s="297"/>
      <c r="BG49" s="297"/>
      <c r="BH49" s="297"/>
      <c r="BI49" s="293"/>
      <c r="BJ49" s="298"/>
      <c r="BK49" s="295"/>
      <c r="BL49" s="295"/>
      <c r="BM49" s="297"/>
      <c r="BN49" s="297"/>
      <c r="BO49" s="297"/>
      <c r="BP49" s="297"/>
      <c r="BQ49" s="297"/>
      <c r="BR49" s="297"/>
      <c r="BS49" s="293"/>
      <c r="BT49" s="298"/>
      <c r="BU49" s="295"/>
      <c r="BV49" s="295"/>
      <c r="BW49" s="297"/>
      <c r="BX49" s="297"/>
      <c r="BY49" s="297"/>
      <c r="BZ49" s="297"/>
      <c r="CA49" s="297"/>
      <c r="CB49" s="297"/>
      <c r="CC49" s="293"/>
    </row>
    <row r="50" spans="1:81" ht="15.95" customHeight="1" x14ac:dyDescent="0.2">
      <c r="A50" s="305" t="s">
        <v>112</v>
      </c>
      <c r="B50" s="306"/>
      <c r="C50" s="290"/>
      <c r="D50" s="290"/>
      <c r="E50" s="292"/>
      <c r="F50" s="292"/>
      <c r="G50" s="292"/>
      <c r="H50" s="292"/>
      <c r="I50" s="292"/>
      <c r="J50" s="292"/>
      <c r="K50" s="293"/>
      <c r="L50" s="294"/>
      <c r="M50" s="295"/>
      <c r="N50" s="295"/>
      <c r="O50" s="297"/>
      <c r="P50" s="297"/>
      <c r="Q50" s="297"/>
      <c r="R50" s="297"/>
      <c r="S50" s="297"/>
      <c r="T50" s="297"/>
      <c r="U50" s="293"/>
      <c r="V50" s="298"/>
      <c r="W50" s="295"/>
      <c r="X50" s="295"/>
      <c r="Y50" s="297"/>
      <c r="Z50" s="297"/>
      <c r="AA50" s="297"/>
      <c r="AB50" s="297"/>
      <c r="AC50" s="297"/>
      <c r="AD50" s="297"/>
      <c r="AE50" s="293"/>
      <c r="AF50" s="294"/>
      <c r="AG50" s="295"/>
      <c r="AH50" s="295"/>
      <c r="AI50" s="297"/>
      <c r="AJ50" s="297"/>
      <c r="AK50" s="297"/>
      <c r="AL50" s="297"/>
      <c r="AM50" s="297"/>
      <c r="AN50" s="297"/>
      <c r="AO50" s="293"/>
      <c r="AP50" s="298"/>
      <c r="AQ50" s="295"/>
      <c r="AR50" s="295"/>
      <c r="AS50" s="297"/>
      <c r="AT50" s="297"/>
      <c r="AU50" s="297"/>
      <c r="AV50" s="297"/>
      <c r="AW50" s="297"/>
      <c r="AX50" s="297"/>
      <c r="AY50" s="293"/>
      <c r="AZ50" s="298"/>
      <c r="BA50" s="295"/>
      <c r="BB50" s="295"/>
      <c r="BC50" s="297"/>
      <c r="BD50" s="297"/>
      <c r="BE50" s="297"/>
      <c r="BF50" s="297"/>
      <c r="BG50" s="297"/>
      <c r="BH50" s="297"/>
      <c r="BI50" s="293"/>
      <c r="BJ50" s="298"/>
      <c r="BK50" s="295"/>
      <c r="BL50" s="295"/>
      <c r="BM50" s="297"/>
      <c r="BN50" s="297"/>
      <c r="BO50" s="297"/>
      <c r="BP50" s="297"/>
      <c r="BQ50" s="297"/>
      <c r="BR50" s="297"/>
      <c r="BS50" s="293"/>
      <c r="BT50" s="298"/>
      <c r="BU50" s="295"/>
      <c r="BV50" s="295"/>
      <c r="BW50" s="297"/>
      <c r="BX50" s="297"/>
      <c r="BY50" s="297"/>
      <c r="BZ50" s="297"/>
      <c r="CA50" s="297"/>
      <c r="CB50" s="297"/>
      <c r="CC50" s="293"/>
    </row>
    <row r="51" spans="1:81" ht="15.95" customHeight="1" x14ac:dyDescent="0.2">
      <c r="A51" s="307" t="s">
        <v>113</v>
      </c>
      <c r="B51" s="306">
        <v>183</v>
      </c>
      <c r="C51" s="295">
        <f t="shared" ref="C51:C64" si="49">SUM(E51:I51)</f>
        <v>244053</v>
      </c>
      <c r="D51" s="295">
        <f t="shared" ref="D51:D69" si="50">IFERROR(C51/B51,0)</f>
        <v>1333.622950819672</v>
      </c>
      <c r="E51" s="292">
        <v>118315</v>
      </c>
      <c r="F51" s="292">
        <v>0</v>
      </c>
      <c r="G51" s="292">
        <v>125738</v>
      </c>
      <c r="H51" s="292">
        <v>0</v>
      </c>
      <c r="I51" s="292">
        <v>0</v>
      </c>
      <c r="J51" s="292">
        <v>244053</v>
      </c>
      <c r="K51" s="293">
        <f t="shared" ref="K51:K71" si="51">IF(J51=0,0,(IF(E51&lt;=J51,E51,J51)))</f>
        <v>118315</v>
      </c>
      <c r="L51" s="294">
        <v>259</v>
      </c>
      <c r="M51" s="295">
        <f t="shared" ref="M51:M71" si="52">SUM(O51:S51)</f>
        <v>406800</v>
      </c>
      <c r="N51" s="295">
        <f t="shared" ref="N51:N71" si="53">IFERROR(M51/L51,0)</f>
        <v>1570.6563706563707</v>
      </c>
      <c r="O51" s="297">
        <v>132182</v>
      </c>
      <c r="P51" s="297">
        <v>0</v>
      </c>
      <c r="Q51" s="297">
        <v>274618</v>
      </c>
      <c r="R51" s="297">
        <v>0</v>
      </c>
      <c r="S51" s="297">
        <v>0</v>
      </c>
      <c r="T51" s="297">
        <v>398722</v>
      </c>
      <c r="U51" s="293">
        <f t="shared" ref="U51:U71" si="54">IF(T51=0,0,(IF(O51&lt;=T51,O51,T51)))</f>
        <v>132182</v>
      </c>
      <c r="V51" s="298">
        <v>296</v>
      </c>
      <c r="W51" s="295">
        <f t="shared" ref="W51:W71" si="55">SUM(Y51:AC51)</f>
        <v>541284</v>
      </c>
      <c r="X51" s="295">
        <f t="shared" ref="X51:X71" si="56">IFERROR(W51/V51,0)</f>
        <v>1828.6621621621621</v>
      </c>
      <c r="Y51" s="297">
        <v>115875</v>
      </c>
      <c r="Z51" s="297">
        <v>91961</v>
      </c>
      <c r="AA51" s="297">
        <v>322950</v>
      </c>
      <c r="AB51" s="297">
        <v>10498</v>
      </c>
      <c r="AC51" s="297">
        <v>0</v>
      </c>
      <c r="AD51" s="297">
        <v>523426</v>
      </c>
      <c r="AE51" s="293">
        <f t="shared" ref="AE51:AE71" si="57">IF(AD51=0,0,(IF(Y51&lt;=AD51,Y51,AD51)))</f>
        <v>115875</v>
      </c>
      <c r="AF51" s="294">
        <v>292</v>
      </c>
      <c r="AG51" s="295">
        <f t="shared" ref="AG51:AG69" si="58">SUM(AI51:AM51)</f>
        <v>481930</v>
      </c>
      <c r="AH51" s="295">
        <f t="shared" ref="AH51:AH71" si="59">IFERROR(AG51/AF51,0)</f>
        <v>1650.4452054794519</v>
      </c>
      <c r="AI51" s="297">
        <v>152346</v>
      </c>
      <c r="AJ51" s="297">
        <v>0</v>
      </c>
      <c r="AK51" s="297">
        <v>288238</v>
      </c>
      <c r="AL51" s="297">
        <v>0</v>
      </c>
      <c r="AM51" s="297">
        <v>41346</v>
      </c>
      <c r="AN51" s="297">
        <v>473983</v>
      </c>
      <c r="AO51" s="293">
        <f t="shared" ref="AO51:AO71" si="60">IF(AN51=0,0,(IF(AI51&lt;=AN51,AI51,AN51)))</f>
        <v>152346</v>
      </c>
      <c r="AP51" s="298">
        <v>303</v>
      </c>
      <c r="AQ51" s="295">
        <f t="shared" ref="AQ51:AQ69" si="61">SUM(AS51:AW51)</f>
        <v>474239</v>
      </c>
      <c r="AR51" s="295">
        <f t="shared" ref="AR51:AR71" si="62">IFERROR(AQ51/AP51,0)</f>
        <v>1565.1452145214521</v>
      </c>
      <c r="AS51" s="297">
        <v>145555</v>
      </c>
      <c r="AT51" s="297">
        <v>0</v>
      </c>
      <c r="AU51" s="297">
        <v>223063</v>
      </c>
      <c r="AV51" s="297">
        <v>0</v>
      </c>
      <c r="AW51" s="297">
        <v>105621</v>
      </c>
      <c r="AX51" s="297">
        <v>473483</v>
      </c>
      <c r="AY51" s="293">
        <f t="shared" ref="AY51:AY71" si="63">IF(AX51=0,0,(IF(AS51&lt;=AX51,AS51,AX51)))</f>
        <v>145555</v>
      </c>
      <c r="AZ51" s="298">
        <v>312</v>
      </c>
      <c r="BA51" s="295">
        <f t="shared" ref="BA51:BA69" si="64">SUM(BC51:BG51)</f>
        <v>434660</v>
      </c>
      <c r="BB51" s="295">
        <f t="shared" ref="BB51:BB71" si="65">IFERROR(BA51/AZ51,0)</f>
        <v>1393.1410256410256</v>
      </c>
      <c r="BC51" s="297">
        <v>124243</v>
      </c>
      <c r="BD51" s="297">
        <v>0</v>
      </c>
      <c r="BE51" s="297">
        <v>262075</v>
      </c>
      <c r="BF51" s="297">
        <v>0</v>
      </c>
      <c r="BG51" s="297">
        <v>48342</v>
      </c>
      <c r="BH51" s="297">
        <v>434660</v>
      </c>
      <c r="BI51" s="293">
        <f t="shared" ref="BI51:BI71" si="66">IF(BH51=0,0,(IF(BC51&lt;=BH51,BC51,BH51)))</f>
        <v>124243</v>
      </c>
      <c r="BJ51" s="298">
        <v>251</v>
      </c>
      <c r="BK51" s="295">
        <f t="shared" ref="BK51:BK71" si="67">SUM(BM51:BQ51)</f>
        <v>373286</v>
      </c>
      <c r="BL51" s="295">
        <f t="shared" ref="BL51:BL71" si="68">IFERROR(BK51/BJ51,0)</f>
        <v>1487.1952191235059</v>
      </c>
      <c r="BM51" s="297">
        <v>117645</v>
      </c>
      <c r="BN51" s="297"/>
      <c r="BO51" s="297">
        <v>205100</v>
      </c>
      <c r="BP51" s="297"/>
      <c r="BQ51" s="297">
        <v>50541</v>
      </c>
      <c r="BR51" s="297">
        <v>373286</v>
      </c>
      <c r="BS51" s="293">
        <f t="shared" ref="BS51:BS71" si="69">IF(BR51=0,0,(IF(BM51&lt;=BR51,BM51,BR51)))</f>
        <v>117645</v>
      </c>
      <c r="BT51" s="12">
        <v>375</v>
      </c>
      <c r="BU51" s="295">
        <f t="shared" ref="BU51:BU71" si="70">SUM(BW51:CA51)</f>
        <v>640905</v>
      </c>
      <c r="BV51" s="295">
        <f t="shared" ref="BV51:BV71" si="71">IFERROR(BU51/BT51,0)</f>
        <v>1709.08</v>
      </c>
      <c r="BW51" s="11">
        <v>121935</v>
      </c>
      <c r="BX51" s="11"/>
      <c r="BY51" s="11">
        <v>410600</v>
      </c>
      <c r="BZ51" s="11"/>
      <c r="CA51" s="11">
        <v>108370</v>
      </c>
      <c r="CB51" s="11">
        <v>635243</v>
      </c>
      <c r="CC51" s="293">
        <f t="shared" ref="CC51:CC71" si="72">IF(CB51=0,0,(IF(BW51&lt;=CB51,BW51,CB51)))</f>
        <v>121935</v>
      </c>
    </row>
    <row r="52" spans="1:81" s="308" customFormat="1" ht="15.95" customHeight="1" x14ac:dyDescent="0.2">
      <c r="A52" s="307" t="s">
        <v>114</v>
      </c>
      <c r="B52" s="298">
        <v>77</v>
      </c>
      <c r="C52" s="295">
        <f t="shared" si="49"/>
        <v>174700</v>
      </c>
      <c r="D52" s="295">
        <f t="shared" si="50"/>
        <v>2268.8311688311687</v>
      </c>
      <c r="E52" s="297">
        <v>174700</v>
      </c>
      <c r="F52" s="297">
        <v>0</v>
      </c>
      <c r="G52" s="297">
        <v>0</v>
      </c>
      <c r="H52" s="297">
        <v>0</v>
      </c>
      <c r="I52" s="297">
        <v>0</v>
      </c>
      <c r="J52" s="297">
        <v>174700</v>
      </c>
      <c r="K52" s="293">
        <f t="shared" si="51"/>
        <v>174700</v>
      </c>
      <c r="L52" s="294">
        <v>80</v>
      </c>
      <c r="M52" s="295">
        <f t="shared" si="52"/>
        <v>179439</v>
      </c>
      <c r="N52" s="295">
        <f t="shared" si="53"/>
        <v>2242.9875000000002</v>
      </c>
      <c r="O52" s="297">
        <v>179439</v>
      </c>
      <c r="P52" s="297">
        <v>0</v>
      </c>
      <c r="Q52" s="297">
        <v>0</v>
      </c>
      <c r="R52" s="297">
        <v>0</v>
      </c>
      <c r="S52" s="297">
        <v>0</v>
      </c>
      <c r="T52" s="297">
        <v>175439</v>
      </c>
      <c r="U52" s="293">
        <f t="shared" si="54"/>
        <v>175439</v>
      </c>
      <c r="V52" s="298">
        <v>63</v>
      </c>
      <c r="W52" s="295">
        <f t="shared" si="55"/>
        <v>154163</v>
      </c>
      <c r="X52" s="295">
        <f t="shared" si="56"/>
        <v>2447.031746031746</v>
      </c>
      <c r="Y52" s="297">
        <v>154163</v>
      </c>
      <c r="Z52" s="297">
        <v>0</v>
      </c>
      <c r="AA52" s="297">
        <v>0</v>
      </c>
      <c r="AB52" s="297">
        <v>0</v>
      </c>
      <c r="AC52" s="297">
        <v>0</v>
      </c>
      <c r="AD52" s="297">
        <v>154163</v>
      </c>
      <c r="AE52" s="293">
        <f t="shared" si="57"/>
        <v>154163</v>
      </c>
      <c r="AF52" s="294">
        <v>66</v>
      </c>
      <c r="AG52" s="295">
        <f t="shared" si="58"/>
        <v>175585</v>
      </c>
      <c r="AH52" s="295">
        <f t="shared" si="59"/>
        <v>2660.378787878788</v>
      </c>
      <c r="AI52" s="297">
        <v>175585</v>
      </c>
      <c r="AJ52" s="297">
        <v>0</v>
      </c>
      <c r="AK52" s="297">
        <v>0</v>
      </c>
      <c r="AL52" s="297">
        <v>0</v>
      </c>
      <c r="AM52" s="297">
        <v>0</v>
      </c>
      <c r="AN52" s="297">
        <v>175858</v>
      </c>
      <c r="AO52" s="293">
        <f t="shared" si="60"/>
        <v>175585</v>
      </c>
      <c r="AP52" s="298">
        <v>74</v>
      </c>
      <c r="AQ52" s="295">
        <f t="shared" si="61"/>
        <v>185156</v>
      </c>
      <c r="AR52" s="295">
        <f t="shared" si="62"/>
        <v>2502.1081081081079</v>
      </c>
      <c r="AS52" s="297">
        <v>185156</v>
      </c>
      <c r="AT52" s="297">
        <v>0</v>
      </c>
      <c r="AU52" s="297">
        <v>0</v>
      </c>
      <c r="AV52" s="297">
        <v>0</v>
      </c>
      <c r="AW52" s="297">
        <v>0</v>
      </c>
      <c r="AX52" s="297">
        <v>185156</v>
      </c>
      <c r="AY52" s="293">
        <f t="shared" si="63"/>
        <v>185156</v>
      </c>
      <c r="AZ52" s="298">
        <v>61</v>
      </c>
      <c r="BA52" s="295">
        <f t="shared" si="64"/>
        <v>170411</v>
      </c>
      <c r="BB52" s="295">
        <f t="shared" si="65"/>
        <v>2793.622950819672</v>
      </c>
      <c r="BC52" s="297">
        <v>170411</v>
      </c>
      <c r="BD52" s="297">
        <v>0</v>
      </c>
      <c r="BE52" s="297">
        <v>0</v>
      </c>
      <c r="BF52" s="297">
        <v>0</v>
      </c>
      <c r="BG52" s="297">
        <v>0</v>
      </c>
      <c r="BH52" s="297">
        <v>170411</v>
      </c>
      <c r="BI52" s="293">
        <f t="shared" si="66"/>
        <v>170411</v>
      </c>
      <c r="BJ52" s="298">
        <v>57</v>
      </c>
      <c r="BK52" s="295">
        <f t="shared" si="67"/>
        <v>168723</v>
      </c>
      <c r="BL52" s="295">
        <f t="shared" si="68"/>
        <v>2960.0526315789475</v>
      </c>
      <c r="BM52" s="297">
        <v>168723</v>
      </c>
      <c r="BN52" s="297"/>
      <c r="BO52" s="297"/>
      <c r="BP52" s="297"/>
      <c r="BQ52" s="297"/>
      <c r="BR52" s="297">
        <v>169966</v>
      </c>
      <c r="BS52" s="293">
        <v>168671</v>
      </c>
      <c r="BT52" s="12">
        <v>59</v>
      </c>
      <c r="BU52" s="295">
        <f t="shared" si="70"/>
        <v>158859</v>
      </c>
      <c r="BV52" s="295">
        <f t="shared" si="71"/>
        <v>2692.5254237288136</v>
      </c>
      <c r="BW52" s="11">
        <v>158859</v>
      </c>
      <c r="BX52" s="11"/>
      <c r="BY52" s="11"/>
      <c r="BZ52" s="11"/>
      <c r="CA52" s="11"/>
      <c r="CB52" s="11">
        <v>156528</v>
      </c>
      <c r="CC52" s="293">
        <f t="shared" si="72"/>
        <v>156528</v>
      </c>
    </row>
    <row r="53" spans="1:81" s="308" customFormat="1" ht="15.95" customHeight="1" x14ac:dyDescent="0.2">
      <c r="A53" s="307" t="s">
        <v>115</v>
      </c>
      <c r="B53" s="298">
        <v>279</v>
      </c>
      <c r="C53" s="295">
        <f t="shared" si="49"/>
        <v>990467</v>
      </c>
      <c r="D53" s="295">
        <f t="shared" si="50"/>
        <v>3550.0609318996417</v>
      </c>
      <c r="E53" s="297">
        <v>990467</v>
      </c>
      <c r="F53" s="297">
        <v>0</v>
      </c>
      <c r="G53" s="297">
        <v>0</v>
      </c>
      <c r="H53" s="297">
        <v>0</v>
      </c>
      <c r="I53" s="297">
        <v>0</v>
      </c>
      <c r="J53" s="297">
        <v>0</v>
      </c>
      <c r="K53" s="293">
        <f t="shared" si="51"/>
        <v>0</v>
      </c>
      <c r="L53" s="294">
        <v>254</v>
      </c>
      <c r="M53" s="295">
        <f t="shared" si="52"/>
        <v>864111</v>
      </c>
      <c r="N53" s="295">
        <f t="shared" si="53"/>
        <v>3402.0118110236222</v>
      </c>
      <c r="O53" s="297">
        <v>864111</v>
      </c>
      <c r="P53" s="297">
        <v>0</v>
      </c>
      <c r="Q53" s="297">
        <v>0</v>
      </c>
      <c r="R53" s="297">
        <v>0</v>
      </c>
      <c r="S53" s="297">
        <v>0</v>
      </c>
      <c r="T53" s="297">
        <v>0</v>
      </c>
      <c r="U53" s="293">
        <f t="shared" si="54"/>
        <v>0</v>
      </c>
      <c r="V53" s="298">
        <v>338</v>
      </c>
      <c r="W53" s="295">
        <f t="shared" si="55"/>
        <v>988424</v>
      </c>
      <c r="X53" s="295">
        <f t="shared" si="56"/>
        <v>2924.3313609467455</v>
      </c>
      <c r="Y53" s="297">
        <v>968035</v>
      </c>
      <c r="Z53" s="297">
        <v>20389</v>
      </c>
      <c r="AA53" s="297">
        <v>0</v>
      </c>
      <c r="AB53" s="297">
        <v>0</v>
      </c>
      <c r="AC53" s="297">
        <v>0</v>
      </c>
      <c r="AD53" s="297">
        <v>0</v>
      </c>
      <c r="AE53" s="293">
        <f t="shared" si="57"/>
        <v>0</v>
      </c>
      <c r="AF53" s="294">
        <v>284</v>
      </c>
      <c r="AG53" s="295">
        <f t="shared" si="58"/>
        <v>997606</v>
      </c>
      <c r="AH53" s="295">
        <f t="shared" si="59"/>
        <v>3512.6971830985917</v>
      </c>
      <c r="AI53" s="297">
        <v>977158</v>
      </c>
      <c r="AJ53" s="297">
        <v>20448</v>
      </c>
      <c r="AK53" s="297">
        <v>0</v>
      </c>
      <c r="AL53" s="297">
        <v>0</v>
      </c>
      <c r="AM53" s="297">
        <v>0</v>
      </c>
      <c r="AN53" s="297">
        <v>0</v>
      </c>
      <c r="AO53" s="293">
        <f t="shared" si="60"/>
        <v>0</v>
      </c>
      <c r="AP53" s="298">
        <v>269</v>
      </c>
      <c r="AQ53" s="295">
        <f t="shared" si="61"/>
        <v>997022</v>
      </c>
      <c r="AR53" s="295">
        <f t="shared" si="62"/>
        <v>3706.4014869888474</v>
      </c>
      <c r="AS53" s="297">
        <v>972646</v>
      </c>
      <c r="AT53" s="297">
        <v>24376</v>
      </c>
      <c r="AU53" s="297">
        <v>0</v>
      </c>
      <c r="AV53" s="297">
        <v>0</v>
      </c>
      <c r="AW53" s="297">
        <v>0</v>
      </c>
      <c r="AX53" s="297">
        <v>0</v>
      </c>
      <c r="AY53" s="293">
        <f t="shared" si="63"/>
        <v>0</v>
      </c>
      <c r="AZ53" s="298">
        <v>174</v>
      </c>
      <c r="BA53" s="295">
        <f t="shared" si="64"/>
        <v>655027</v>
      </c>
      <c r="BB53" s="295">
        <f t="shared" si="65"/>
        <v>3764.522988505747</v>
      </c>
      <c r="BC53" s="297">
        <v>655027</v>
      </c>
      <c r="BD53" s="297">
        <v>0</v>
      </c>
      <c r="BE53" s="297">
        <v>0</v>
      </c>
      <c r="BF53" s="297">
        <v>0</v>
      </c>
      <c r="BG53" s="297">
        <v>0</v>
      </c>
      <c r="BH53" s="297">
        <v>0</v>
      </c>
      <c r="BI53" s="293">
        <f t="shared" si="66"/>
        <v>0</v>
      </c>
      <c r="BJ53" s="298">
        <v>231</v>
      </c>
      <c r="BK53" s="295">
        <f t="shared" si="67"/>
        <v>859958</v>
      </c>
      <c r="BL53" s="295">
        <f t="shared" si="68"/>
        <v>3722.7619047619046</v>
      </c>
      <c r="BM53" s="297">
        <v>859958</v>
      </c>
      <c r="BN53" s="297"/>
      <c r="BO53" s="297"/>
      <c r="BP53" s="297"/>
      <c r="BQ53" s="297"/>
      <c r="BR53" s="297"/>
      <c r="BS53" s="293">
        <f t="shared" si="69"/>
        <v>0</v>
      </c>
      <c r="BT53" s="12">
        <v>219</v>
      </c>
      <c r="BU53" s="295">
        <f t="shared" si="70"/>
        <v>1028559</v>
      </c>
      <c r="BV53" s="295">
        <f t="shared" si="71"/>
        <v>4696.6164383561645</v>
      </c>
      <c r="BW53" s="11">
        <v>1028559</v>
      </c>
      <c r="BX53" s="11"/>
      <c r="BY53" s="11"/>
      <c r="BZ53" s="11"/>
      <c r="CA53" s="11"/>
      <c r="CB53" s="11"/>
      <c r="CC53" s="293">
        <f t="shared" si="72"/>
        <v>0</v>
      </c>
    </row>
    <row r="54" spans="1:81" s="308" customFormat="1" ht="15.95" customHeight="1" x14ac:dyDescent="0.2">
      <c r="A54" s="307" t="s">
        <v>116</v>
      </c>
      <c r="B54" s="298">
        <v>38</v>
      </c>
      <c r="C54" s="295">
        <f t="shared" si="49"/>
        <v>240000</v>
      </c>
      <c r="D54" s="295">
        <f t="shared" si="50"/>
        <v>6315.7894736842109</v>
      </c>
      <c r="E54" s="297">
        <v>0</v>
      </c>
      <c r="F54" s="297">
        <v>240000</v>
      </c>
      <c r="G54" s="297">
        <v>0</v>
      </c>
      <c r="H54" s="297">
        <v>0</v>
      </c>
      <c r="I54" s="297">
        <v>0</v>
      </c>
      <c r="J54" s="297">
        <v>240000</v>
      </c>
      <c r="K54" s="293">
        <f t="shared" si="51"/>
        <v>0</v>
      </c>
      <c r="L54" s="294">
        <v>30</v>
      </c>
      <c r="M54" s="295">
        <f t="shared" si="52"/>
        <v>197250</v>
      </c>
      <c r="N54" s="295">
        <f t="shared" si="53"/>
        <v>6575</v>
      </c>
      <c r="O54" s="297">
        <v>0</v>
      </c>
      <c r="P54" s="297">
        <v>0</v>
      </c>
      <c r="Q54" s="297">
        <v>0</v>
      </c>
      <c r="R54" s="297">
        <v>0</v>
      </c>
      <c r="S54" s="297">
        <v>197250</v>
      </c>
      <c r="T54" s="297">
        <v>197250</v>
      </c>
      <c r="U54" s="293">
        <f t="shared" si="54"/>
        <v>0</v>
      </c>
      <c r="V54" s="298">
        <v>20</v>
      </c>
      <c r="W54" s="295">
        <f t="shared" si="55"/>
        <v>140750</v>
      </c>
      <c r="X54" s="295">
        <f t="shared" si="56"/>
        <v>7037.5</v>
      </c>
      <c r="Y54" s="297">
        <v>0</v>
      </c>
      <c r="Z54" s="297">
        <v>0</v>
      </c>
      <c r="AA54" s="297">
        <v>0</v>
      </c>
      <c r="AB54" s="297">
        <v>0</v>
      </c>
      <c r="AC54" s="297">
        <v>140750</v>
      </c>
      <c r="AD54" s="297">
        <v>140750</v>
      </c>
      <c r="AE54" s="293">
        <f t="shared" si="57"/>
        <v>0</v>
      </c>
      <c r="AF54" s="294">
        <v>12</v>
      </c>
      <c r="AG54" s="295">
        <f t="shared" si="58"/>
        <v>75125</v>
      </c>
      <c r="AH54" s="295">
        <f t="shared" si="59"/>
        <v>6260.416666666667</v>
      </c>
      <c r="AI54" s="297">
        <v>0</v>
      </c>
      <c r="AJ54" s="297">
        <v>0</v>
      </c>
      <c r="AK54" s="297">
        <v>0</v>
      </c>
      <c r="AL54" s="297">
        <v>0</v>
      </c>
      <c r="AM54" s="297">
        <v>75125</v>
      </c>
      <c r="AN54" s="297">
        <v>75125</v>
      </c>
      <c r="AO54" s="293">
        <f t="shared" si="60"/>
        <v>0</v>
      </c>
      <c r="AP54" s="298">
        <v>4</v>
      </c>
      <c r="AQ54" s="295">
        <f t="shared" si="61"/>
        <v>18750</v>
      </c>
      <c r="AR54" s="295">
        <f t="shared" si="62"/>
        <v>4687.5</v>
      </c>
      <c r="AS54" s="297">
        <v>0</v>
      </c>
      <c r="AT54" s="297">
        <v>0</v>
      </c>
      <c r="AU54" s="297">
        <v>0</v>
      </c>
      <c r="AV54" s="297">
        <v>0</v>
      </c>
      <c r="AW54" s="297">
        <v>18750</v>
      </c>
      <c r="AX54" s="297">
        <v>18750</v>
      </c>
      <c r="AY54" s="293">
        <f t="shared" si="63"/>
        <v>0</v>
      </c>
      <c r="AZ54" s="298">
        <v>0</v>
      </c>
      <c r="BA54" s="295">
        <f t="shared" si="64"/>
        <v>0</v>
      </c>
      <c r="BB54" s="295">
        <f t="shared" si="65"/>
        <v>0</v>
      </c>
      <c r="BC54" s="297">
        <v>0</v>
      </c>
      <c r="BD54" s="297">
        <v>0</v>
      </c>
      <c r="BE54" s="297">
        <v>0</v>
      </c>
      <c r="BF54" s="297">
        <v>0</v>
      </c>
      <c r="BG54" s="297">
        <v>0</v>
      </c>
      <c r="BH54" s="297">
        <v>0</v>
      </c>
      <c r="BI54" s="293">
        <f t="shared" si="66"/>
        <v>0</v>
      </c>
      <c r="BJ54" s="298">
        <v>0</v>
      </c>
      <c r="BK54" s="295">
        <f t="shared" si="67"/>
        <v>0</v>
      </c>
      <c r="BL54" s="295">
        <f t="shared" si="68"/>
        <v>0</v>
      </c>
      <c r="BM54" s="297"/>
      <c r="BN54" s="297"/>
      <c r="BO54" s="297"/>
      <c r="BP54" s="297"/>
      <c r="BQ54" s="297"/>
      <c r="BR54" s="297"/>
      <c r="BS54" s="293">
        <f t="shared" si="69"/>
        <v>0</v>
      </c>
      <c r="BT54" s="12"/>
      <c r="BU54" s="295">
        <f t="shared" si="70"/>
        <v>0</v>
      </c>
      <c r="BV54" s="295">
        <f t="shared" si="71"/>
        <v>0</v>
      </c>
      <c r="BW54" s="11"/>
      <c r="BX54" s="11"/>
      <c r="BY54" s="11"/>
      <c r="BZ54" s="11"/>
      <c r="CA54" s="11"/>
      <c r="CB54" s="11"/>
      <c r="CC54" s="293">
        <f t="shared" si="72"/>
        <v>0</v>
      </c>
    </row>
    <row r="55" spans="1:81" s="308" customFormat="1" ht="15.95" customHeight="1" x14ac:dyDescent="0.2">
      <c r="A55" s="307" t="s">
        <v>117</v>
      </c>
      <c r="B55" s="298">
        <v>8</v>
      </c>
      <c r="C55" s="295">
        <f t="shared" si="49"/>
        <v>18828</v>
      </c>
      <c r="D55" s="295">
        <f t="shared" si="50"/>
        <v>2353.5</v>
      </c>
      <c r="E55" s="297">
        <v>18828</v>
      </c>
      <c r="F55" s="297">
        <v>0</v>
      </c>
      <c r="G55" s="297">
        <v>0</v>
      </c>
      <c r="H55" s="297">
        <v>0</v>
      </c>
      <c r="I55" s="297">
        <v>0</v>
      </c>
      <c r="J55" s="297">
        <v>18828</v>
      </c>
      <c r="K55" s="293">
        <f t="shared" si="51"/>
        <v>18828</v>
      </c>
      <c r="L55" s="294">
        <v>7</v>
      </c>
      <c r="M55" s="295">
        <f t="shared" si="52"/>
        <v>9717</v>
      </c>
      <c r="N55" s="295">
        <f t="shared" si="53"/>
        <v>1388.1428571428571</v>
      </c>
      <c r="O55" s="297">
        <v>9717</v>
      </c>
      <c r="P55" s="297">
        <v>0</v>
      </c>
      <c r="Q55" s="297">
        <v>0</v>
      </c>
      <c r="R55" s="297">
        <v>0</v>
      </c>
      <c r="S55" s="297">
        <v>0</v>
      </c>
      <c r="T55" s="297">
        <v>9717</v>
      </c>
      <c r="U55" s="293">
        <f t="shared" si="54"/>
        <v>9717</v>
      </c>
      <c r="V55" s="298">
        <v>4</v>
      </c>
      <c r="W55" s="295">
        <f t="shared" si="55"/>
        <v>8028</v>
      </c>
      <c r="X55" s="295">
        <f t="shared" si="56"/>
        <v>2007</v>
      </c>
      <c r="Y55" s="297">
        <v>8028</v>
      </c>
      <c r="Z55" s="297">
        <v>0</v>
      </c>
      <c r="AA55" s="297">
        <v>0</v>
      </c>
      <c r="AB55" s="297">
        <v>0</v>
      </c>
      <c r="AC55" s="297">
        <v>0</v>
      </c>
      <c r="AD55" s="297">
        <v>8028</v>
      </c>
      <c r="AE55" s="293">
        <f t="shared" si="57"/>
        <v>8028</v>
      </c>
      <c r="AF55" s="294">
        <v>4</v>
      </c>
      <c r="AG55" s="295">
        <f t="shared" si="58"/>
        <v>11786</v>
      </c>
      <c r="AH55" s="295">
        <f t="shared" si="59"/>
        <v>2946.5</v>
      </c>
      <c r="AI55" s="297">
        <v>11786</v>
      </c>
      <c r="AJ55" s="297">
        <v>0</v>
      </c>
      <c r="AK55" s="297">
        <v>0</v>
      </c>
      <c r="AL55" s="297">
        <v>0</v>
      </c>
      <c r="AM55" s="297">
        <v>0</v>
      </c>
      <c r="AN55" s="297">
        <v>11786</v>
      </c>
      <c r="AO55" s="293">
        <f t="shared" si="60"/>
        <v>11786</v>
      </c>
      <c r="AP55" s="298">
        <v>4</v>
      </c>
      <c r="AQ55" s="295">
        <f t="shared" si="61"/>
        <v>7961</v>
      </c>
      <c r="AR55" s="295">
        <f t="shared" si="62"/>
        <v>1990.25</v>
      </c>
      <c r="AS55" s="297">
        <v>7961</v>
      </c>
      <c r="AT55" s="297">
        <v>0</v>
      </c>
      <c r="AU55" s="297">
        <v>0</v>
      </c>
      <c r="AV55" s="297">
        <v>0</v>
      </c>
      <c r="AW55" s="297">
        <v>0</v>
      </c>
      <c r="AX55" s="297">
        <v>7961</v>
      </c>
      <c r="AY55" s="293">
        <f t="shared" si="63"/>
        <v>7961</v>
      </c>
      <c r="AZ55" s="298">
        <v>0</v>
      </c>
      <c r="BA55" s="295">
        <f t="shared" si="64"/>
        <v>0</v>
      </c>
      <c r="BB55" s="295">
        <f t="shared" si="65"/>
        <v>0</v>
      </c>
      <c r="BC55" s="297">
        <v>0</v>
      </c>
      <c r="BD55" s="297">
        <v>0</v>
      </c>
      <c r="BE55" s="297">
        <v>0</v>
      </c>
      <c r="BF55" s="297">
        <v>0</v>
      </c>
      <c r="BG55" s="297">
        <v>0</v>
      </c>
      <c r="BH55" s="297">
        <v>0</v>
      </c>
      <c r="BI55" s="293">
        <f t="shared" si="66"/>
        <v>0</v>
      </c>
      <c r="BJ55" s="298">
        <v>0</v>
      </c>
      <c r="BK55" s="295">
        <f t="shared" si="67"/>
        <v>0</v>
      </c>
      <c r="BL55" s="295">
        <f t="shared" si="68"/>
        <v>0</v>
      </c>
      <c r="BM55" s="297"/>
      <c r="BN55" s="297"/>
      <c r="BO55" s="297"/>
      <c r="BP55" s="297"/>
      <c r="BQ55" s="297"/>
      <c r="BR55" s="297"/>
      <c r="BS55" s="293">
        <f t="shared" si="69"/>
        <v>0</v>
      </c>
      <c r="BT55" s="12">
        <v>2</v>
      </c>
      <c r="BU55" s="295">
        <f t="shared" si="70"/>
        <v>7010</v>
      </c>
      <c r="BV55" s="295">
        <f t="shared" si="71"/>
        <v>3505</v>
      </c>
      <c r="BW55" s="11">
        <v>7010</v>
      </c>
      <c r="BX55" s="11"/>
      <c r="BY55" s="11"/>
      <c r="BZ55" s="11"/>
      <c r="CA55" s="11"/>
      <c r="CB55" s="11">
        <v>7010</v>
      </c>
      <c r="CC55" s="293">
        <f t="shared" si="72"/>
        <v>7010</v>
      </c>
    </row>
    <row r="56" spans="1:81" s="308" customFormat="1" ht="15.95" customHeight="1" x14ac:dyDescent="0.2">
      <c r="A56" s="307" t="s">
        <v>118</v>
      </c>
      <c r="B56" s="298">
        <v>28</v>
      </c>
      <c r="C56" s="295">
        <f t="shared" si="49"/>
        <v>72021</v>
      </c>
      <c r="D56" s="295">
        <f t="shared" si="50"/>
        <v>2572.1785714285716</v>
      </c>
      <c r="E56" s="297">
        <v>0</v>
      </c>
      <c r="F56" s="297">
        <v>0</v>
      </c>
      <c r="G56" s="297">
        <v>72021</v>
      </c>
      <c r="H56" s="297">
        <v>0</v>
      </c>
      <c r="I56" s="297">
        <v>0</v>
      </c>
      <c r="J56" s="297">
        <v>72021</v>
      </c>
      <c r="K56" s="293">
        <f t="shared" si="51"/>
        <v>0</v>
      </c>
      <c r="L56" s="294">
        <v>22</v>
      </c>
      <c r="M56" s="295">
        <f t="shared" si="52"/>
        <v>45250</v>
      </c>
      <c r="N56" s="295">
        <f t="shared" si="53"/>
        <v>2056.818181818182</v>
      </c>
      <c r="O56" s="297">
        <v>0</v>
      </c>
      <c r="P56" s="297">
        <v>0</v>
      </c>
      <c r="Q56" s="297">
        <v>45250</v>
      </c>
      <c r="R56" s="297">
        <v>0</v>
      </c>
      <c r="S56" s="297">
        <v>0</v>
      </c>
      <c r="T56" s="297">
        <v>45250</v>
      </c>
      <c r="U56" s="293">
        <f t="shared" si="54"/>
        <v>0</v>
      </c>
      <c r="V56" s="298">
        <v>23</v>
      </c>
      <c r="W56" s="295">
        <f t="shared" si="55"/>
        <v>52506</v>
      </c>
      <c r="X56" s="295">
        <f t="shared" si="56"/>
        <v>2282.8695652173915</v>
      </c>
      <c r="Y56" s="297">
        <v>0</v>
      </c>
      <c r="Z56" s="297">
        <v>0</v>
      </c>
      <c r="AA56" s="297">
        <v>52506</v>
      </c>
      <c r="AB56" s="297">
        <v>0</v>
      </c>
      <c r="AC56" s="297">
        <v>0</v>
      </c>
      <c r="AD56" s="297">
        <v>52506</v>
      </c>
      <c r="AE56" s="293">
        <f t="shared" si="57"/>
        <v>0</v>
      </c>
      <c r="AF56" s="294">
        <v>13</v>
      </c>
      <c r="AG56" s="295">
        <f t="shared" si="58"/>
        <v>41715</v>
      </c>
      <c r="AH56" s="295">
        <f t="shared" si="59"/>
        <v>3208.8461538461538</v>
      </c>
      <c r="AI56" s="297">
        <v>0</v>
      </c>
      <c r="AJ56" s="297">
        <v>0</v>
      </c>
      <c r="AK56" s="297">
        <v>41715</v>
      </c>
      <c r="AL56" s="297">
        <v>0</v>
      </c>
      <c r="AM56" s="297">
        <v>0</v>
      </c>
      <c r="AN56" s="297">
        <v>41715</v>
      </c>
      <c r="AO56" s="293">
        <f t="shared" si="60"/>
        <v>0</v>
      </c>
      <c r="AP56" s="298">
        <v>12</v>
      </c>
      <c r="AQ56" s="295">
        <f t="shared" si="61"/>
        <v>40109</v>
      </c>
      <c r="AR56" s="295">
        <f t="shared" si="62"/>
        <v>3342.4166666666665</v>
      </c>
      <c r="AS56" s="297">
        <v>0</v>
      </c>
      <c r="AT56" s="297">
        <v>0</v>
      </c>
      <c r="AU56" s="297">
        <v>40109</v>
      </c>
      <c r="AV56" s="297">
        <v>0</v>
      </c>
      <c r="AW56" s="297">
        <v>0</v>
      </c>
      <c r="AX56" s="297">
        <v>40109</v>
      </c>
      <c r="AY56" s="293">
        <f t="shared" si="63"/>
        <v>0</v>
      </c>
      <c r="AZ56" s="298">
        <v>24</v>
      </c>
      <c r="BA56" s="295">
        <f t="shared" si="64"/>
        <v>59551</v>
      </c>
      <c r="BB56" s="295">
        <f t="shared" si="65"/>
        <v>2481.2916666666665</v>
      </c>
      <c r="BC56" s="297">
        <v>0</v>
      </c>
      <c r="BD56" s="297">
        <v>0</v>
      </c>
      <c r="BE56" s="297">
        <v>59551</v>
      </c>
      <c r="BF56" s="297">
        <v>0</v>
      </c>
      <c r="BG56" s="297">
        <v>0</v>
      </c>
      <c r="BH56" s="297">
        <v>59551</v>
      </c>
      <c r="BI56" s="293">
        <f t="shared" si="66"/>
        <v>0</v>
      </c>
      <c r="BJ56" s="298">
        <v>24</v>
      </c>
      <c r="BK56" s="295">
        <f t="shared" si="67"/>
        <v>118398</v>
      </c>
      <c r="BL56" s="295">
        <f t="shared" si="68"/>
        <v>4933.25</v>
      </c>
      <c r="BM56" s="297"/>
      <c r="BN56" s="297"/>
      <c r="BO56" s="297">
        <v>118398</v>
      </c>
      <c r="BP56" s="297"/>
      <c r="BQ56" s="297"/>
      <c r="BR56" s="297">
        <v>118398</v>
      </c>
      <c r="BS56" s="293">
        <f t="shared" si="69"/>
        <v>0</v>
      </c>
      <c r="BT56" s="12">
        <v>29</v>
      </c>
      <c r="BU56" s="295">
        <f t="shared" si="70"/>
        <v>108536</v>
      </c>
      <c r="BV56" s="295">
        <f t="shared" si="71"/>
        <v>3742.6206896551726</v>
      </c>
      <c r="BW56" s="11"/>
      <c r="BX56" s="11"/>
      <c r="BY56" s="11">
        <v>108536</v>
      </c>
      <c r="BZ56" s="11"/>
      <c r="CA56" s="11"/>
      <c r="CB56" s="11">
        <v>108536</v>
      </c>
      <c r="CC56" s="293">
        <f t="shared" si="72"/>
        <v>0</v>
      </c>
    </row>
    <row r="57" spans="1:81" s="308" customFormat="1" ht="15.95" customHeight="1" x14ac:dyDescent="0.2">
      <c r="A57" s="307" t="s">
        <v>119</v>
      </c>
      <c r="B57" s="298">
        <v>39</v>
      </c>
      <c r="C57" s="295">
        <f t="shared" si="49"/>
        <v>202188</v>
      </c>
      <c r="D57" s="295">
        <f t="shared" si="50"/>
        <v>5184.3076923076924</v>
      </c>
      <c r="E57" s="297">
        <v>202188</v>
      </c>
      <c r="F57" s="297">
        <v>0</v>
      </c>
      <c r="G57" s="297">
        <v>0</v>
      </c>
      <c r="H57" s="297">
        <v>0</v>
      </c>
      <c r="I57" s="297">
        <v>0</v>
      </c>
      <c r="J57" s="297">
        <v>195951</v>
      </c>
      <c r="K57" s="293">
        <f t="shared" si="51"/>
        <v>195951</v>
      </c>
      <c r="L57" s="294">
        <v>38</v>
      </c>
      <c r="M57" s="295">
        <f t="shared" si="52"/>
        <v>190782</v>
      </c>
      <c r="N57" s="295">
        <f t="shared" si="53"/>
        <v>5020.5789473684208</v>
      </c>
      <c r="O57" s="297">
        <v>190782</v>
      </c>
      <c r="P57" s="297">
        <v>0</v>
      </c>
      <c r="Q57" s="297">
        <v>0</v>
      </c>
      <c r="R57" s="297">
        <v>0</v>
      </c>
      <c r="S57" s="297">
        <v>0</v>
      </c>
      <c r="T57" s="297">
        <v>189491</v>
      </c>
      <c r="U57" s="293">
        <f t="shared" si="54"/>
        <v>189491</v>
      </c>
      <c r="V57" s="298">
        <v>40</v>
      </c>
      <c r="W57" s="295">
        <f t="shared" si="55"/>
        <v>219565</v>
      </c>
      <c r="X57" s="295">
        <f t="shared" si="56"/>
        <v>5489.125</v>
      </c>
      <c r="Y57" s="297">
        <v>209901</v>
      </c>
      <c r="Z57" s="297">
        <v>9664</v>
      </c>
      <c r="AA57" s="297">
        <v>0</v>
      </c>
      <c r="AB57" s="297">
        <v>0</v>
      </c>
      <c r="AC57" s="297">
        <v>0</v>
      </c>
      <c r="AD57" s="297">
        <v>216448</v>
      </c>
      <c r="AE57" s="293">
        <f t="shared" si="57"/>
        <v>209901</v>
      </c>
      <c r="AF57" s="294">
        <v>38</v>
      </c>
      <c r="AG57" s="295">
        <f t="shared" si="58"/>
        <v>312237</v>
      </c>
      <c r="AH57" s="295">
        <f t="shared" si="59"/>
        <v>8216.7631578947367</v>
      </c>
      <c r="AI57" s="297">
        <v>259557</v>
      </c>
      <c r="AJ57" s="297">
        <v>52680</v>
      </c>
      <c r="AK57" s="297">
        <v>0</v>
      </c>
      <c r="AL57" s="297">
        <v>0</v>
      </c>
      <c r="AM57" s="297">
        <v>0</v>
      </c>
      <c r="AN57" s="297">
        <v>306297</v>
      </c>
      <c r="AO57" s="293">
        <f t="shared" si="60"/>
        <v>259557</v>
      </c>
      <c r="AP57" s="298">
        <v>43</v>
      </c>
      <c r="AQ57" s="295">
        <f t="shared" si="61"/>
        <v>271558</v>
      </c>
      <c r="AR57" s="295">
        <f t="shared" si="62"/>
        <v>6315.3023255813951</v>
      </c>
      <c r="AS57" s="297">
        <v>168589</v>
      </c>
      <c r="AT57" s="297">
        <v>102969</v>
      </c>
      <c r="AU57" s="297">
        <v>0</v>
      </c>
      <c r="AV57" s="297">
        <v>0</v>
      </c>
      <c r="AW57" s="297">
        <v>0</v>
      </c>
      <c r="AX57" s="297">
        <v>263129</v>
      </c>
      <c r="AY57" s="293">
        <f t="shared" si="63"/>
        <v>168589</v>
      </c>
      <c r="AZ57" s="298">
        <v>0</v>
      </c>
      <c r="BA57" s="295">
        <f t="shared" si="64"/>
        <v>0</v>
      </c>
      <c r="BB57" s="295">
        <f t="shared" si="65"/>
        <v>0</v>
      </c>
      <c r="BC57" s="297">
        <v>0</v>
      </c>
      <c r="BD57" s="297">
        <v>0</v>
      </c>
      <c r="BE57" s="297">
        <v>0</v>
      </c>
      <c r="BF57" s="297">
        <v>0</v>
      </c>
      <c r="BG57" s="297">
        <v>0</v>
      </c>
      <c r="BH57" s="297">
        <v>0</v>
      </c>
      <c r="BI57" s="293">
        <f t="shared" si="66"/>
        <v>0</v>
      </c>
      <c r="BJ57" s="298">
        <v>0</v>
      </c>
      <c r="BK57" s="295">
        <f t="shared" si="67"/>
        <v>0</v>
      </c>
      <c r="BL57" s="295">
        <f t="shared" si="68"/>
        <v>0</v>
      </c>
      <c r="BM57" s="297"/>
      <c r="BN57" s="297"/>
      <c r="BO57" s="297"/>
      <c r="BP57" s="297"/>
      <c r="BQ57" s="297"/>
      <c r="BR57" s="297"/>
      <c r="BS57" s="293">
        <f t="shared" si="69"/>
        <v>0</v>
      </c>
      <c r="BT57" s="12"/>
      <c r="BU57" s="295">
        <f t="shared" si="70"/>
        <v>0</v>
      </c>
      <c r="BV57" s="295">
        <f t="shared" si="71"/>
        <v>0</v>
      </c>
      <c r="BW57" s="11"/>
      <c r="BX57" s="11"/>
      <c r="BY57" s="11"/>
      <c r="BZ57" s="11"/>
      <c r="CA57" s="11"/>
      <c r="CB57" s="11"/>
      <c r="CC57" s="293">
        <f t="shared" si="72"/>
        <v>0</v>
      </c>
    </row>
    <row r="58" spans="1:81" s="308" customFormat="1" ht="15.95" customHeight="1" x14ac:dyDescent="0.2">
      <c r="A58" s="307" t="s">
        <v>120</v>
      </c>
      <c r="B58" s="298">
        <v>100</v>
      </c>
      <c r="C58" s="295">
        <f t="shared" si="49"/>
        <v>431735</v>
      </c>
      <c r="D58" s="295">
        <f t="shared" si="50"/>
        <v>4317.3500000000004</v>
      </c>
      <c r="E58" s="297">
        <v>0</v>
      </c>
      <c r="F58" s="297">
        <v>0</v>
      </c>
      <c r="G58" s="297">
        <v>0</v>
      </c>
      <c r="H58" s="297">
        <v>431735</v>
      </c>
      <c r="I58" s="297">
        <v>0</v>
      </c>
      <c r="J58" s="297">
        <v>420112</v>
      </c>
      <c r="K58" s="293">
        <f t="shared" si="51"/>
        <v>0</v>
      </c>
      <c r="L58" s="294">
        <v>93</v>
      </c>
      <c r="M58" s="295">
        <f t="shared" si="52"/>
        <v>413175</v>
      </c>
      <c r="N58" s="295">
        <f t="shared" si="53"/>
        <v>4442.7419354838712</v>
      </c>
      <c r="O58" s="297">
        <v>0</v>
      </c>
      <c r="P58" s="297">
        <v>0</v>
      </c>
      <c r="Q58" s="297">
        <v>0</v>
      </c>
      <c r="R58" s="297">
        <v>413175</v>
      </c>
      <c r="S58" s="297">
        <v>0</v>
      </c>
      <c r="T58" s="297">
        <v>400780</v>
      </c>
      <c r="U58" s="293">
        <f t="shared" si="54"/>
        <v>0</v>
      </c>
      <c r="V58" s="298">
        <v>92</v>
      </c>
      <c r="W58" s="295">
        <f t="shared" si="55"/>
        <v>459288</v>
      </c>
      <c r="X58" s="295">
        <f t="shared" si="56"/>
        <v>4992.260869565217</v>
      </c>
      <c r="Y58" s="297">
        <v>0</v>
      </c>
      <c r="Z58" s="297">
        <v>0</v>
      </c>
      <c r="AA58" s="297">
        <v>0</v>
      </c>
      <c r="AB58" s="297">
        <v>459288</v>
      </c>
      <c r="AC58" s="297">
        <v>0</v>
      </c>
      <c r="AD58" s="297">
        <v>413360</v>
      </c>
      <c r="AE58" s="293">
        <f t="shared" si="57"/>
        <v>0</v>
      </c>
      <c r="AF58" s="294">
        <v>97</v>
      </c>
      <c r="AG58" s="295">
        <f t="shared" si="58"/>
        <v>434231</v>
      </c>
      <c r="AH58" s="295">
        <f t="shared" si="59"/>
        <v>4476.6082474226805</v>
      </c>
      <c r="AI58" s="297">
        <v>0</v>
      </c>
      <c r="AJ58" s="297">
        <v>0</v>
      </c>
      <c r="AK58" s="297">
        <v>0</v>
      </c>
      <c r="AL58" s="297">
        <v>434231</v>
      </c>
      <c r="AM58" s="297">
        <v>0</v>
      </c>
      <c r="AN58" s="297">
        <v>369096</v>
      </c>
      <c r="AO58" s="293">
        <f t="shared" si="60"/>
        <v>0</v>
      </c>
      <c r="AP58" s="298">
        <v>77</v>
      </c>
      <c r="AQ58" s="295">
        <f t="shared" si="61"/>
        <v>377277</v>
      </c>
      <c r="AR58" s="295">
        <f t="shared" si="62"/>
        <v>4899.7012987012986</v>
      </c>
      <c r="AS58" s="297">
        <v>0</v>
      </c>
      <c r="AT58" s="297">
        <v>0</v>
      </c>
      <c r="AU58" s="297">
        <v>0</v>
      </c>
      <c r="AV58" s="297">
        <v>377277</v>
      </c>
      <c r="AW58" s="297">
        <v>0</v>
      </c>
      <c r="AX58" s="297">
        <v>320685</v>
      </c>
      <c r="AY58" s="293">
        <f t="shared" si="63"/>
        <v>0</v>
      </c>
      <c r="AZ58" s="298">
        <v>74</v>
      </c>
      <c r="BA58" s="295">
        <f t="shared" si="64"/>
        <v>377414</v>
      </c>
      <c r="BB58" s="295">
        <f t="shared" si="65"/>
        <v>5100.1891891891892</v>
      </c>
      <c r="BC58" s="297">
        <v>0</v>
      </c>
      <c r="BD58" s="297">
        <v>0</v>
      </c>
      <c r="BE58" s="297">
        <v>0</v>
      </c>
      <c r="BF58" s="297">
        <v>377414</v>
      </c>
      <c r="BG58" s="297">
        <v>0</v>
      </c>
      <c r="BH58" s="297">
        <v>317028</v>
      </c>
      <c r="BI58" s="293">
        <f t="shared" si="66"/>
        <v>0</v>
      </c>
      <c r="BJ58" s="298">
        <v>70</v>
      </c>
      <c r="BK58" s="295">
        <f t="shared" si="67"/>
        <v>311741</v>
      </c>
      <c r="BL58" s="295">
        <f t="shared" si="68"/>
        <v>4453.4428571428571</v>
      </c>
      <c r="BM58" s="297"/>
      <c r="BN58" s="297"/>
      <c r="BO58" s="297"/>
      <c r="BP58" s="297">
        <v>311741</v>
      </c>
      <c r="BQ58" s="297"/>
      <c r="BR58" s="297">
        <v>293868</v>
      </c>
      <c r="BS58" s="293">
        <f t="shared" si="69"/>
        <v>0</v>
      </c>
      <c r="BT58" s="12"/>
      <c r="BU58" s="295">
        <f t="shared" si="70"/>
        <v>0</v>
      </c>
      <c r="BV58" s="295">
        <f t="shared" si="71"/>
        <v>0</v>
      </c>
      <c r="BW58" s="11"/>
      <c r="BX58" s="11"/>
      <c r="BY58" s="11"/>
      <c r="BZ58" s="11"/>
      <c r="CA58" s="11"/>
      <c r="CB58" s="11"/>
      <c r="CC58" s="293">
        <f t="shared" si="72"/>
        <v>0</v>
      </c>
    </row>
    <row r="59" spans="1:81" s="308" customFormat="1" ht="15.95" customHeight="1" x14ac:dyDescent="0.2">
      <c r="A59" s="307" t="s">
        <v>121</v>
      </c>
      <c r="B59" s="298">
        <v>2</v>
      </c>
      <c r="C59" s="295">
        <f t="shared" si="49"/>
        <v>16034</v>
      </c>
      <c r="D59" s="295">
        <f t="shared" si="50"/>
        <v>8017</v>
      </c>
      <c r="E59" s="297">
        <v>0</v>
      </c>
      <c r="F59" s="297">
        <v>0</v>
      </c>
      <c r="G59" s="297">
        <v>0</v>
      </c>
      <c r="H59" s="297">
        <v>16034</v>
      </c>
      <c r="I59" s="297">
        <v>0</v>
      </c>
      <c r="J59" s="297">
        <v>16034</v>
      </c>
      <c r="K59" s="293">
        <f t="shared" si="51"/>
        <v>0</v>
      </c>
      <c r="L59" s="294">
        <v>3</v>
      </c>
      <c r="M59" s="295">
        <f t="shared" si="52"/>
        <v>15730</v>
      </c>
      <c r="N59" s="295">
        <f t="shared" si="53"/>
        <v>5243.333333333333</v>
      </c>
      <c r="O59" s="297">
        <v>0</v>
      </c>
      <c r="P59" s="297">
        <v>0</v>
      </c>
      <c r="Q59" s="297">
        <v>0</v>
      </c>
      <c r="R59" s="297">
        <v>15730</v>
      </c>
      <c r="S59" s="297">
        <v>0</v>
      </c>
      <c r="T59" s="297">
        <v>15730</v>
      </c>
      <c r="U59" s="293">
        <f t="shared" si="54"/>
        <v>0</v>
      </c>
      <c r="V59" s="298">
        <v>0</v>
      </c>
      <c r="W59" s="295">
        <f t="shared" si="55"/>
        <v>0</v>
      </c>
      <c r="X59" s="295">
        <f t="shared" si="56"/>
        <v>0</v>
      </c>
      <c r="Y59" s="297">
        <v>0</v>
      </c>
      <c r="Z59" s="297">
        <v>0</v>
      </c>
      <c r="AA59" s="297">
        <v>0</v>
      </c>
      <c r="AB59" s="297">
        <v>0</v>
      </c>
      <c r="AC59" s="297">
        <v>0</v>
      </c>
      <c r="AD59" s="297">
        <v>0</v>
      </c>
      <c r="AE59" s="293">
        <f t="shared" si="57"/>
        <v>0</v>
      </c>
      <c r="AF59" s="294">
        <v>8</v>
      </c>
      <c r="AG59" s="295">
        <f t="shared" si="58"/>
        <v>70000</v>
      </c>
      <c r="AH59" s="295">
        <f t="shared" si="59"/>
        <v>8750</v>
      </c>
      <c r="AI59" s="297">
        <v>0</v>
      </c>
      <c r="AJ59" s="297">
        <v>0</v>
      </c>
      <c r="AK59" s="297">
        <v>0</v>
      </c>
      <c r="AL59" s="297">
        <v>70000</v>
      </c>
      <c r="AM59" s="297">
        <v>0</v>
      </c>
      <c r="AN59" s="297">
        <v>70000</v>
      </c>
      <c r="AO59" s="293">
        <f t="shared" si="60"/>
        <v>0</v>
      </c>
      <c r="AP59" s="298">
        <v>6</v>
      </c>
      <c r="AQ59" s="295">
        <f t="shared" si="61"/>
        <v>55000</v>
      </c>
      <c r="AR59" s="295">
        <f t="shared" si="62"/>
        <v>9166.6666666666661</v>
      </c>
      <c r="AS59" s="297">
        <v>0</v>
      </c>
      <c r="AT59" s="297">
        <v>0</v>
      </c>
      <c r="AU59" s="297">
        <v>0</v>
      </c>
      <c r="AV59" s="297">
        <v>55000</v>
      </c>
      <c r="AW59" s="297">
        <v>0</v>
      </c>
      <c r="AX59" s="297">
        <v>45000</v>
      </c>
      <c r="AY59" s="293">
        <f t="shared" si="63"/>
        <v>0</v>
      </c>
      <c r="AZ59" s="298">
        <v>4</v>
      </c>
      <c r="BA59" s="295">
        <f t="shared" si="64"/>
        <v>35000</v>
      </c>
      <c r="BB59" s="295">
        <f t="shared" si="65"/>
        <v>8750</v>
      </c>
      <c r="BC59" s="297">
        <v>0</v>
      </c>
      <c r="BD59" s="297">
        <v>0</v>
      </c>
      <c r="BE59" s="297">
        <v>0</v>
      </c>
      <c r="BF59" s="297">
        <v>35000</v>
      </c>
      <c r="BG59" s="297">
        <v>0</v>
      </c>
      <c r="BH59" s="297">
        <v>35000</v>
      </c>
      <c r="BI59" s="293">
        <f t="shared" si="66"/>
        <v>0</v>
      </c>
      <c r="BJ59" s="298">
        <v>0</v>
      </c>
      <c r="BK59" s="295">
        <f t="shared" si="67"/>
        <v>0</v>
      </c>
      <c r="BL59" s="295">
        <f t="shared" si="68"/>
        <v>0</v>
      </c>
      <c r="BM59" s="297"/>
      <c r="BN59" s="297"/>
      <c r="BO59" s="297"/>
      <c r="BP59" s="297"/>
      <c r="BQ59" s="297"/>
      <c r="BR59" s="297"/>
      <c r="BS59" s="293">
        <f t="shared" si="69"/>
        <v>0</v>
      </c>
      <c r="BT59" s="12"/>
      <c r="BU59" s="295">
        <f t="shared" si="70"/>
        <v>0</v>
      </c>
      <c r="BV59" s="295">
        <f t="shared" si="71"/>
        <v>0</v>
      </c>
      <c r="BW59" s="11"/>
      <c r="BX59" s="11"/>
      <c r="BY59" s="11"/>
      <c r="BZ59" s="11"/>
      <c r="CA59" s="11"/>
      <c r="CB59" s="11"/>
      <c r="CC59" s="293">
        <f t="shared" si="72"/>
        <v>0</v>
      </c>
    </row>
    <row r="60" spans="1:81" s="308" customFormat="1" ht="15.95" customHeight="1" x14ac:dyDescent="0.2">
      <c r="A60" s="307" t="s">
        <v>122</v>
      </c>
      <c r="B60" s="298">
        <v>22</v>
      </c>
      <c r="C60" s="295">
        <f t="shared" si="49"/>
        <v>43223</v>
      </c>
      <c r="D60" s="295">
        <f t="shared" si="50"/>
        <v>1964.6818181818182</v>
      </c>
      <c r="E60" s="297">
        <v>43223</v>
      </c>
      <c r="F60" s="297">
        <v>0</v>
      </c>
      <c r="G60" s="297">
        <v>0</v>
      </c>
      <c r="H60" s="297">
        <v>0</v>
      </c>
      <c r="I60" s="297">
        <v>0</v>
      </c>
      <c r="J60" s="297">
        <v>43223</v>
      </c>
      <c r="K60" s="293">
        <f t="shared" si="51"/>
        <v>43223</v>
      </c>
      <c r="L60" s="294">
        <v>21</v>
      </c>
      <c r="M60" s="295">
        <f t="shared" si="52"/>
        <v>41342</v>
      </c>
      <c r="N60" s="295">
        <f t="shared" si="53"/>
        <v>1968.6666666666667</v>
      </c>
      <c r="O60" s="297">
        <v>41342</v>
      </c>
      <c r="P60" s="297">
        <v>0</v>
      </c>
      <c r="Q60" s="297">
        <v>0</v>
      </c>
      <c r="R60" s="297">
        <v>0</v>
      </c>
      <c r="S60" s="297">
        <v>0</v>
      </c>
      <c r="T60" s="297">
        <v>41342</v>
      </c>
      <c r="U60" s="293">
        <f t="shared" si="54"/>
        <v>41342</v>
      </c>
      <c r="V60" s="298">
        <v>22</v>
      </c>
      <c r="W60" s="295">
        <f t="shared" si="55"/>
        <v>22065</v>
      </c>
      <c r="X60" s="295">
        <f t="shared" si="56"/>
        <v>1002.9545454545455</v>
      </c>
      <c r="Y60" s="297">
        <v>22065</v>
      </c>
      <c r="Z60" s="297">
        <v>0</v>
      </c>
      <c r="AA60" s="297">
        <v>0</v>
      </c>
      <c r="AB60" s="297">
        <v>0</v>
      </c>
      <c r="AC60" s="297">
        <v>0</v>
      </c>
      <c r="AD60" s="297">
        <v>22065</v>
      </c>
      <c r="AE60" s="293">
        <f t="shared" si="57"/>
        <v>22065</v>
      </c>
      <c r="AF60" s="294">
        <v>14</v>
      </c>
      <c r="AG60" s="295">
        <f t="shared" si="58"/>
        <v>21804</v>
      </c>
      <c r="AH60" s="295">
        <f t="shared" si="59"/>
        <v>1557.4285714285713</v>
      </c>
      <c r="AI60" s="297">
        <v>21804</v>
      </c>
      <c r="AJ60" s="297">
        <v>0</v>
      </c>
      <c r="AK60" s="297">
        <v>0</v>
      </c>
      <c r="AL60" s="297">
        <v>0</v>
      </c>
      <c r="AM60" s="297">
        <v>0</v>
      </c>
      <c r="AN60" s="297">
        <v>21804</v>
      </c>
      <c r="AO60" s="293">
        <f t="shared" si="60"/>
        <v>21804</v>
      </c>
      <c r="AP60" s="298">
        <v>13</v>
      </c>
      <c r="AQ60" s="295">
        <f t="shared" si="61"/>
        <v>24671</v>
      </c>
      <c r="AR60" s="295">
        <f t="shared" si="62"/>
        <v>1897.7692307692307</v>
      </c>
      <c r="AS60" s="297">
        <v>24671</v>
      </c>
      <c r="AT60" s="297">
        <v>0</v>
      </c>
      <c r="AU60" s="297">
        <v>0</v>
      </c>
      <c r="AV60" s="297">
        <v>0</v>
      </c>
      <c r="AW60" s="297">
        <v>0</v>
      </c>
      <c r="AX60" s="297">
        <v>24671</v>
      </c>
      <c r="AY60" s="293">
        <f t="shared" si="63"/>
        <v>24671</v>
      </c>
      <c r="AZ60" s="298">
        <v>13</v>
      </c>
      <c r="BA60" s="295">
        <f t="shared" si="64"/>
        <v>22513</v>
      </c>
      <c r="BB60" s="295">
        <f t="shared" si="65"/>
        <v>1731.7692307692307</v>
      </c>
      <c r="BC60" s="297">
        <v>22513</v>
      </c>
      <c r="BD60" s="297">
        <v>0</v>
      </c>
      <c r="BE60" s="297">
        <v>0</v>
      </c>
      <c r="BF60" s="297">
        <v>0</v>
      </c>
      <c r="BG60" s="297">
        <v>0</v>
      </c>
      <c r="BH60" s="297">
        <v>22513</v>
      </c>
      <c r="BI60" s="293">
        <f t="shared" si="66"/>
        <v>22513</v>
      </c>
      <c r="BJ60" s="298">
        <v>11</v>
      </c>
      <c r="BK60" s="295">
        <f t="shared" si="67"/>
        <v>15480</v>
      </c>
      <c r="BL60" s="295">
        <f t="shared" si="68"/>
        <v>1407.2727272727273</v>
      </c>
      <c r="BM60" s="297">
        <v>15480</v>
      </c>
      <c r="BN60" s="297"/>
      <c r="BO60" s="297"/>
      <c r="BP60" s="297"/>
      <c r="BQ60" s="297"/>
      <c r="BR60" s="297">
        <v>16102</v>
      </c>
      <c r="BS60" s="293">
        <f t="shared" si="69"/>
        <v>15480</v>
      </c>
      <c r="BT60" s="12">
        <v>9</v>
      </c>
      <c r="BU60" s="295">
        <f t="shared" si="70"/>
        <v>20686</v>
      </c>
      <c r="BV60" s="295">
        <f t="shared" si="71"/>
        <v>2298.4444444444443</v>
      </c>
      <c r="BW60" s="11">
        <v>20686</v>
      </c>
      <c r="BX60" s="11"/>
      <c r="BY60" s="11"/>
      <c r="BZ60" s="11"/>
      <c r="CA60" s="11"/>
      <c r="CB60" s="11">
        <v>20686</v>
      </c>
      <c r="CC60" s="293">
        <f t="shared" si="72"/>
        <v>20686</v>
      </c>
    </row>
    <row r="61" spans="1:81" s="308" customFormat="1" ht="15.95" customHeight="1" x14ac:dyDescent="0.2">
      <c r="A61" s="307" t="s">
        <v>123</v>
      </c>
      <c r="B61" s="298">
        <v>89</v>
      </c>
      <c r="C61" s="295">
        <f t="shared" si="49"/>
        <v>152462</v>
      </c>
      <c r="D61" s="295">
        <f t="shared" si="50"/>
        <v>1713.056179775281</v>
      </c>
      <c r="E61" s="297">
        <v>152462</v>
      </c>
      <c r="F61" s="297">
        <v>0</v>
      </c>
      <c r="G61" s="297">
        <v>0</v>
      </c>
      <c r="H61" s="297">
        <v>0</v>
      </c>
      <c r="I61" s="297">
        <v>0</v>
      </c>
      <c r="J61" s="297">
        <v>152462</v>
      </c>
      <c r="K61" s="293">
        <f t="shared" si="51"/>
        <v>152462</v>
      </c>
      <c r="L61" s="294">
        <v>82</v>
      </c>
      <c r="M61" s="295">
        <f t="shared" si="52"/>
        <v>175677</v>
      </c>
      <c r="N61" s="295">
        <f t="shared" si="53"/>
        <v>2142.4024390243903</v>
      </c>
      <c r="O61" s="297">
        <v>175677</v>
      </c>
      <c r="P61" s="297">
        <v>0</v>
      </c>
      <c r="Q61" s="297">
        <v>0</v>
      </c>
      <c r="R61" s="297">
        <v>0</v>
      </c>
      <c r="S61" s="297">
        <v>0</v>
      </c>
      <c r="T61" s="297">
        <v>172677</v>
      </c>
      <c r="U61" s="293">
        <f t="shared" si="54"/>
        <v>172677</v>
      </c>
      <c r="V61" s="298">
        <v>92</v>
      </c>
      <c r="W61" s="295">
        <f t="shared" si="55"/>
        <v>190422</v>
      </c>
      <c r="X61" s="295">
        <f t="shared" si="56"/>
        <v>2069.804347826087</v>
      </c>
      <c r="Y61" s="297">
        <v>190422</v>
      </c>
      <c r="Z61" s="297">
        <v>0</v>
      </c>
      <c r="AA61" s="297">
        <v>0</v>
      </c>
      <c r="AB61" s="297">
        <v>0</v>
      </c>
      <c r="AC61" s="297">
        <v>0</v>
      </c>
      <c r="AD61" s="297">
        <v>190422</v>
      </c>
      <c r="AE61" s="293">
        <f t="shared" si="57"/>
        <v>190422</v>
      </c>
      <c r="AF61" s="294">
        <v>85</v>
      </c>
      <c r="AG61" s="295">
        <f t="shared" si="58"/>
        <v>164970</v>
      </c>
      <c r="AH61" s="295">
        <f t="shared" si="59"/>
        <v>1940.8235294117646</v>
      </c>
      <c r="AI61" s="297">
        <v>164970</v>
      </c>
      <c r="AJ61" s="297">
        <v>0</v>
      </c>
      <c r="AK61" s="297">
        <v>0</v>
      </c>
      <c r="AL61" s="297">
        <v>0</v>
      </c>
      <c r="AM61" s="297">
        <v>0</v>
      </c>
      <c r="AN61" s="297">
        <v>164970</v>
      </c>
      <c r="AO61" s="293">
        <f t="shared" si="60"/>
        <v>164970</v>
      </c>
      <c r="AP61" s="298">
        <v>155</v>
      </c>
      <c r="AQ61" s="295">
        <f t="shared" si="61"/>
        <v>253595</v>
      </c>
      <c r="AR61" s="295">
        <f t="shared" si="62"/>
        <v>1636.0967741935483</v>
      </c>
      <c r="AS61" s="297">
        <v>253595</v>
      </c>
      <c r="AT61" s="297">
        <v>0</v>
      </c>
      <c r="AU61" s="297">
        <v>0</v>
      </c>
      <c r="AV61" s="297">
        <v>0</v>
      </c>
      <c r="AW61" s="297">
        <v>0</v>
      </c>
      <c r="AX61" s="297">
        <v>253595</v>
      </c>
      <c r="AY61" s="293">
        <f t="shared" si="63"/>
        <v>253595</v>
      </c>
      <c r="AZ61" s="298">
        <v>101</v>
      </c>
      <c r="BA61" s="295">
        <f t="shared" si="64"/>
        <v>254311</v>
      </c>
      <c r="BB61" s="295">
        <f t="shared" si="65"/>
        <v>2517.9306930693069</v>
      </c>
      <c r="BC61" s="297">
        <v>254311</v>
      </c>
      <c r="BD61" s="297">
        <v>0</v>
      </c>
      <c r="BE61" s="297">
        <v>0</v>
      </c>
      <c r="BF61" s="297">
        <v>0</v>
      </c>
      <c r="BG61" s="297">
        <v>0</v>
      </c>
      <c r="BH61" s="297">
        <v>254311</v>
      </c>
      <c r="BI61" s="293">
        <f t="shared" si="66"/>
        <v>254311</v>
      </c>
      <c r="BJ61" s="298">
        <v>102</v>
      </c>
      <c r="BK61" s="295">
        <f t="shared" si="67"/>
        <v>213885</v>
      </c>
      <c r="BL61" s="295">
        <f t="shared" si="68"/>
        <v>2096.9117647058824</v>
      </c>
      <c r="BM61" s="297">
        <v>213885</v>
      </c>
      <c r="BN61" s="297"/>
      <c r="BO61" s="297"/>
      <c r="BP61" s="297"/>
      <c r="BQ61" s="297"/>
      <c r="BR61" s="297">
        <v>23316</v>
      </c>
      <c r="BS61" s="293">
        <f t="shared" si="69"/>
        <v>23316</v>
      </c>
      <c r="BT61" s="12">
        <v>105</v>
      </c>
      <c r="BU61" s="295">
        <f t="shared" si="70"/>
        <v>236725</v>
      </c>
      <c r="BV61" s="295">
        <f t="shared" si="71"/>
        <v>2254.5238095238096</v>
      </c>
      <c r="BW61" s="11">
        <v>236725</v>
      </c>
      <c r="BX61" s="11"/>
      <c r="BY61" s="11"/>
      <c r="BZ61" s="11"/>
      <c r="CA61" s="11"/>
      <c r="CB61" s="11">
        <v>236725</v>
      </c>
      <c r="CC61" s="293">
        <f t="shared" si="72"/>
        <v>236725</v>
      </c>
    </row>
    <row r="62" spans="1:81" s="308" customFormat="1" ht="15.95" customHeight="1" x14ac:dyDescent="0.2">
      <c r="A62" s="307" t="s">
        <v>124</v>
      </c>
      <c r="B62" s="298">
        <v>13</v>
      </c>
      <c r="C62" s="295">
        <f t="shared" si="49"/>
        <v>13464</v>
      </c>
      <c r="D62" s="295">
        <f t="shared" si="50"/>
        <v>1035.6923076923076</v>
      </c>
      <c r="E62" s="297">
        <v>13464</v>
      </c>
      <c r="F62" s="297">
        <v>0</v>
      </c>
      <c r="G62" s="297">
        <v>0</v>
      </c>
      <c r="H62" s="297">
        <v>0</v>
      </c>
      <c r="I62" s="297">
        <v>0</v>
      </c>
      <c r="J62" s="297">
        <v>0</v>
      </c>
      <c r="K62" s="293">
        <f t="shared" si="51"/>
        <v>0</v>
      </c>
      <c r="L62" s="294">
        <v>13</v>
      </c>
      <c r="M62" s="295">
        <f t="shared" si="52"/>
        <v>10665</v>
      </c>
      <c r="N62" s="295">
        <f t="shared" si="53"/>
        <v>820.38461538461536</v>
      </c>
      <c r="O62" s="297">
        <v>10665</v>
      </c>
      <c r="P62" s="297">
        <v>0</v>
      </c>
      <c r="Q62" s="297">
        <v>0</v>
      </c>
      <c r="R62" s="297">
        <v>0</v>
      </c>
      <c r="S62" s="297">
        <v>0</v>
      </c>
      <c r="T62" s="297">
        <v>0</v>
      </c>
      <c r="U62" s="293">
        <f t="shared" si="54"/>
        <v>0</v>
      </c>
      <c r="V62" s="298">
        <v>19</v>
      </c>
      <c r="W62" s="295">
        <f t="shared" si="55"/>
        <v>16150</v>
      </c>
      <c r="X62" s="295">
        <f t="shared" si="56"/>
        <v>850</v>
      </c>
      <c r="Y62" s="297">
        <v>16150</v>
      </c>
      <c r="Z62" s="297">
        <v>0</v>
      </c>
      <c r="AA62" s="297">
        <v>0</v>
      </c>
      <c r="AB62" s="297">
        <v>0</v>
      </c>
      <c r="AC62" s="297">
        <v>0</v>
      </c>
      <c r="AD62" s="297">
        <v>0</v>
      </c>
      <c r="AE62" s="293">
        <f t="shared" si="57"/>
        <v>0</v>
      </c>
      <c r="AF62" s="294">
        <v>14</v>
      </c>
      <c r="AG62" s="295">
        <f t="shared" si="58"/>
        <v>27910</v>
      </c>
      <c r="AH62" s="295">
        <f t="shared" si="59"/>
        <v>1993.5714285714287</v>
      </c>
      <c r="AI62" s="297">
        <v>13856</v>
      </c>
      <c r="AJ62" s="297">
        <v>0</v>
      </c>
      <c r="AK62" s="297">
        <v>0</v>
      </c>
      <c r="AL62" s="297">
        <v>14054</v>
      </c>
      <c r="AM62" s="297">
        <v>0</v>
      </c>
      <c r="AN62" s="297">
        <v>0</v>
      </c>
      <c r="AO62" s="293">
        <f t="shared" si="60"/>
        <v>0</v>
      </c>
      <c r="AP62" s="298">
        <v>12</v>
      </c>
      <c r="AQ62" s="295">
        <f t="shared" si="61"/>
        <v>15210</v>
      </c>
      <c r="AR62" s="295">
        <f t="shared" si="62"/>
        <v>1267.5</v>
      </c>
      <c r="AS62" s="297">
        <v>15210</v>
      </c>
      <c r="AT62" s="297">
        <v>0</v>
      </c>
      <c r="AU62" s="297">
        <v>0</v>
      </c>
      <c r="AV62" s="297">
        <v>0</v>
      </c>
      <c r="AW62" s="297">
        <v>0</v>
      </c>
      <c r="AX62" s="297">
        <v>0</v>
      </c>
      <c r="AY62" s="293">
        <f t="shared" si="63"/>
        <v>0</v>
      </c>
      <c r="AZ62" s="298">
        <v>13</v>
      </c>
      <c r="BA62" s="295">
        <f t="shared" si="64"/>
        <v>14506</v>
      </c>
      <c r="BB62" s="295">
        <f t="shared" si="65"/>
        <v>1115.8461538461538</v>
      </c>
      <c r="BC62" s="297">
        <v>14506</v>
      </c>
      <c r="BD62" s="297">
        <v>0</v>
      </c>
      <c r="BE62" s="297">
        <v>0</v>
      </c>
      <c r="BF62" s="297">
        <v>0</v>
      </c>
      <c r="BG62" s="297">
        <v>0</v>
      </c>
      <c r="BH62" s="297">
        <v>0</v>
      </c>
      <c r="BI62" s="293">
        <f t="shared" si="66"/>
        <v>0</v>
      </c>
      <c r="BJ62" s="298">
        <v>5</v>
      </c>
      <c r="BK62" s="295">
        <f t="shared" si="67"/>
        <v>6731</v>
      </c>
      <c r="BL62" s="295">
        <f t="shared" si="68"/>
        <v>1346.2</v>
      </c>
      <c r="BM62" s="297">
        <v>6731</v>
      </c>
      <c r="BN62" s="297"/>
      <c r="BO62" s="297"/>
      <c r="BP62" s="297"/>
      <c r="BQ62" s="297"/>
      <c r="BR62" s="297"/>
      <c r="BS62" s="293">
        <f t="shared" si="69"/>
        <v>0</v>
      </c>
      <c r="BT62" s="12">
        <v>7</v>
      </c>
      <c r="BU62" s="295">
        <f t="shared" si="70"/>
        <v>8249</v>
      </c>
      <c r="BV62" s="295">
        <f t="shared" si="71"/>
        <v>1178.4285714285713</v>
      </c>
      <c r="BW62" s="11">
        <v>8249</v>
      </c>
      <c r="BX62" s="11"/>
      <c r="BY62" s="11"/>
      <c r="BZ62" s="11"/>
      <c r="CA62" s="11"/>
      <c r="CB62" s="11">
        <v>8249</v>
      </c>
      <c r="CC62" s="293">
        <f t="shared" si="72"/>
        <v>8249</v>
      </c>
    </row>
    <row r="63" spans="1:81" s="308" customFormat="1" ht="15.95" customHeight="1" x14ac:dyDescent="0.2">
      <c r="A63" s="307" t="s">
        <v>125</v>
      </c>
      <c r="B63" s="298">
        <v>28</v>
      </c>
      <c r="C63" s="295">
        <f t="shared" si="49"/>
        <v>117300</v>
      </c>
      <c r="D63" s="295">
        <f t="shared" si="50"/>
        <v>4189.2857142857147</v>
      </c>
      <c r="E63" s="297">
        <v>117300</v>
      </c>
      <c r="F63" s="297">
        <v>0</v>
      </c>
      <c r="G63" s="297">
        <v>0</v>
      </c>
      <c r="H63" s="297">
        <v>0</v>
      </c>
      <c r="I63" s="297">
        <v>0</v>
      </c>
      <c r="J63" s="297">
        <v>117300</v>
      </c>
      <c r="K63" s="293">
        <f t="shared" si="51"/>
        <v>117300</v>
      </c>
      <c r="L63" s="294">
        <v>18</v>
      </c>
      <c r="M63" s="295">
        <f t="shared" si="52"/>
        <v>99178</v>
      </c>
      <c r="N63" s="295">
        <f t="shared" si="53"/>
        <v>5509.8888888888887</v>
      </c>
      <c r="O63" s="297">
        <v>99178</v>
      </c>
      <c r="P63" s="297">
        <v>0</v>
      </c>
      <c r="Q63" s="297">
        <v>0</v>
      </c>
      <c r="R63" s="297">
        <v>0</v>
      </c>
      <c r="S63" s="297">
        <v>0</v>
      </c>
      <c r="T63" s="297">
        <v>98178</v>
      </c>
      <c r="U63" s="293">
        <f t="shared" si="54"/>
        <v>98178</v>
      </c>
      <c r="V63" s="298">
        <v>25</v>
      </c>
      <c r="W63" s="295">
        <f t="shared" si="55"/>
        <v>136106</v>
      </c>
      <c r="X63" s="295">
        <f t="shared" si="56"/>
        <v>5444.24</v>
      </c>
      <c r="Y63" s="297">
        <v>136106</v>
      </c>
      <c r="Z63" s="297">
        <v>0</v>
      </c>
      <c r="AA63" s="297">
        <v>0</v>
      </c>
      <c r="AB63" s="297">
        <v>0</v>
      </c>
      <c r="AC63" s="297">
        <v>0</v>
      </c>
      <c r="AD63" s="297">
        <v>136106</v>
      </c>
      <c r="AE63" s="293">
        <f t="shared" si="57"/>
        <v>136106</v>
      </c>
      <c r="AF63" s="294">
        <v>26</v>
      </c>
      <c r="AG63" s="295">
        <f t="shared" si="58"/>
        <v>147108</v>
      </c>
      <c r="AH63" s="295">
        <f t="shared" si="59"/>
        <v>5658</v>
      </c>
      <c r="AI63" s="297">
        <v>147108</v>
      </c>
      <c r="AJ63" s="297">
        <v>0</v>
      </c>
      <c r="AK63" s="297">
        <v>0</v>
      </c>
      <c r="AL63" s="297">
        <v>0</v>
      </c>
      <c r="AM63" s="297">
        <v>0</v>
      </c>
      <c r="AN63" s="297">
        <v>147108</v>
      </c>
      <c r="AO63" s="293">
        <f t="shared" si="60"/>
        <v>147108</v>
      </c>
      <c r="AP63" s="298">
        <v>36</v>
      </c>
      <c r="AQ63" s="295">
        <f t="shared" si="61"/>
        <v>189542</v>
      </c>
      <c r="AR63" s="295">
        <f t="shared" si="62"/>
        <v>5265.0555555555557</v>
      </c>
      <c r="AS63" s="297">
        <v>189542</v>
      </c>
      <c r="AT63" s="297">
        <v>0</v>
      </c>
      <c r="AU63" s="297">
        <v>0</v>
      </c>
      <c r="AV63" s="297">
        <v>0</v>
      </c>
      <c r="AW63" s="297">
        <v>0</v>
      </c>
      <c r="AX63" s="297">
        <v>189542</v>
      </c>
      <c r="AY63" s="293">
        <f t="shared" si="63"/>
        <v>189542</v>
      </c>
      <c r="AZ63" s="298">
        <v>42</v>
      </c>
      <c r="BA63" s="295">
        <f t="shared" si="64"/>
        <v>248972</v>
      </c>
      <c r="BB63" s="295">
        <f t="shared" si="65"/>
        <v>5927.9047619047615</v>
      </c>
      <c r="BC63" s="297">
        <v>248972</v>
      </c>
      <c r="BD63" s="297">
        <v>0</v>
      </c>
      <c r="BE63" s="297">
        <v>0</v>
      </c>
      <c r="BF63" s="297">
        <v>0</v>
      </c>
      <c r="BG63" s="297">
        <v>0</v>
      </c>
      <c r="BH63" s="297">
        <v>248972</v>
      </c>
      <c r="BI63" s="293">
        <f t="shared" si="66"/>
        <v>248972</v>
      </c>
      <c r="BJ63" s="298">
        <v>44</v>
      </c>
      <c r="BK63" s="295">
        <f t="shared" si="67"/>
        <v>252270</v>
      </c>
      <c r="BL63" s="295">
        <f t="shared" si="68"/>
        <v>5733.409090909091</v>
      </c>
      <c r="BM63" s="297">
        <v>252270</v>
      </c>
      <c r="BN63" s="297"/>
      <c r="BO63" s="297"/>
      <c r="BP63" s="297"/>
      <c r="BQ63" s="297"/>
      <c r="BR63" s="297">
        <v>252270</v>
      </c>
      <c r="BS63" s="293">
        <f t="shared" si="69"/>
        <v>252270</v>
      </c>
      <c r="BT63" s="365">
        <v>49</v>
      </c>
      <c r="BU63" s="295">
        <f t="shared" si="70"/>
        <v>292551</v>
      </c>
      <c r="BV63" s="295">
        <f>IFERROR(BU63/BT64,0)</f>
        <v>73137.75</v>
      </c>
      <c r="BW63" s="11">
        <v>292551</v>
      </c>
      <c r="BX63" s="11"/>
      <c r="BY63" s="11"/>
      <c r="BZ63" s="11"/>
      <c r="CA63" s="11"/>
      <c r="CB63" s="11">
        <v>292551</v>
      </c>
      <c r="CC63" s="293">
        <f t="shared" si="72"/>
        <v>292551</v>
      </c>
    </row>
    <row r="64" spans="1:81" s="308" customFormat="1" ht="15.95" customHeight="1" x14ac:dyDescent="0.2">
      <c r="A64" s="307" t="s">
        <v>126</v>
      </c>
      <c r="B64" s="298"/>
      <c r="C64" s="295">
        <f t="shared" si="49"/>
        <v>0</v>
      </c>
      <c r="D64" s="295">
        <f t="shared" si="50"/>
        <v>0</v>
      </c>
      <c r="E64" s="297"/>
      <c r="F64" s="297"/>
      <c r="G64" s="297"/>
      <c r="H64" s="297"/>
      <c r="I64" s="297"/>
      <c r="J64" s="297"/>
      <c r="K64" s="293">
        <f t="shared" si="51"/>
        <v>0</v>
      </c>
      <c r="L64" s="294"/>
      <c r="M64" s="295">
        <f t="shared" si="52"/>
        <v>0</v>
      </c>
      <c r="N64" s="295">
        <f t="shared" si="53"/>
        <v>0</v>
      </c>
      <c r="O64" s="297"/>
      <c r="P64" s="297"/>
      <c r="Q64" s="297"/>
      <c r="R64" s="297"/>
      <c r="S64" s="297"/>
      <c r="T64" s="297"/>
      <c r="U64" s="293">
        <f t="shared" si="54"/>
        <v>0</v>
      </c>
      <c r="V64" s="298"/>
      <c r="W64" s="295">
        <f t="shared" si="55"/>
        <v>0</v>
      </c>
      <c r="X64" s="295">
        <f t="shared" si="56"/>
        <v>0</v>
      </c>
      <c r="Y64" s="297"/>
      <c r="Z64" s="297"/>
      <c r="AA64" s="297"/>
      <c r="AB64" s="297"/>
      <c r="AC64" s="297"/>
      <c r="AD64" s="297"/>
      <c r="AE64" s="293">
        <f t="shared" si="57"/>
        <v>0</v>
      </c>
      <c r="AF64" s="294">
        <v>2</v>
      </c>
      <c r="AG64" s="295">
        <f t="shared" si="58"/>
        <v>10390</v>
      </c>
      <c r="AH64" s="295">
        <f t="shared" si="59"/>
        <v>5195</v>
      </c>
      <c r="AI64" s="297">
        <v>10390</v>
      </c>
      <c r="AJ64" s="297">
        <v>0</v>
      </c>
      <c r="AK64" s="297">
        <v>0</v>
      </c>
      <c r="AL64" s="297">
        <v>0</v>
      </c>
      <c r="AM64" s="297">
        <v>0</v>
      </c>
      <c r="AN64" s="297">
        <v>1759</v>
      </c>
      <c r="AO64" s="293">
        <f t="shared" si="60"/>
        <v>1759</v>
      </c>
      <c r="AP64" s="298">
        <v>1</v>
      </c>
      <c r="AQ64" s="295">
        <f t="shared" si="61"/>
        <v>2668</v>
      </c>
      <c r="AR64" s="295">
        <f t="shared" si="62"/>
        <v>2668</v>
      </c>
      <c r="AS64" s="297">
        <v>2668</v>
      </c>
      <c r="AT64" s="297">
        <v>0</v>
      </c>
      <c r="AU64" s="297">
        <v>0</v>
      </c>
      <c r="AV64" s="297">
        <v>0</v>
      </c>
      <c r="AW64" s="297">
        <v>0</v>
      </c>
      <c r="AX64" s="297">
        <v>0</v>
      </c>
      <c r="AY64" s="293">
        <f t="shared" si="63"/>
        <v>0</v>
      </c>
      <c r="AZ64" s="298">
        <v>1</v>
      </c>
      <c r="BA64" s="295">
        <f t="shared" si="64"/>
        <v>1087</v>
      </c>
      <c r="BB64" s="295">
        <f t="shared" si="65"/>
        <v>1087</v>
      </c>
      <c r="BC64" s="297">
        <v>1087</v>
      </c>
      <c r="BD64" s="297">
        <v>0</v>
      </c>
      <c r="BE64" s="297">
        <v>0</v>
      </c>
      <c r="BF64" s="297">
        <v>0</v>
      </c>
      <c r="BG64" s="297">
        <v>0</v>
      </c>
      <c r="BH64" s="297">
        <v>0</v>
      </c>
      <c r="BI64" s="293">
        <f t="shared" si="66"/>
        <v>0</v>
      </c>
      <c r="BJ64" s="298">
        <v>1</v>
      </c>
      <c r="BK64" s="295">
        <f t="shared" si="67"/>
        <v>699</v>
      </c>
      <c r="BL64" s="295">
        <f t="shared" si="68"/>
        <v>699</v>
      </c>
      <c r="BM64" s="297">
        <v>699</v>
      </c>
      <c r="BN64" s="297"/>
      <c r="BO64" s="297"/>
      <c r="BP64" s="297"/>
      <c r="BQ64" s="297"/>
      <c r="BR64" s="297">
        <v>699</v>
      </c>
      <c r="BS64" s="293">
        <f t="shared" si="69"/>
        <v>699</v>
      </c>
      <c r="BT64" s="12">
        <v>4</v>
      </c>
      <c r="BU64" s="295">
        <f t="shared" si="70"/>
        <v>17312</v>
      </c>
      <c r="BV64" s="295">
        <f>IFERROR(BU64/#REF!,0)</f>
        <v>0</v>
      </c>
      <c r="BW64" s="11">
        <v>17312</v>
      </c>
      <c r="BX64" s="11"/>
      <c r="BY64" s="11"/>
      <c r="BZ64" s="11"/>
      <c r="CA64" s="11"/>
      <c r="CB64" s="11">
        <v>17312</v>
      </c>
      <c r="CC64" s="293">
        <f t="shared" si="72"/>
        <v>17312</v>
      </c>
    </row>
    <row r="65" spans="1:81" s="308" customFormat="1" ht="15.95" customHeight="1" x14ac:dyDescent="0.2">
      <c r="A65" s="307" t="s">
        <v>252</v>
      </c>
      <c r="B65" s="298"/>
      <c r="C65" s="295">
        <f t="shared" ref="C65:C69" si="73">SUM(E65:I65)</f>
        <v>0</v>
      </c>
      <c r="D65" s="295">
        <f t="shared" si="50"/>
        <v>0</v>
      </c>
      <c r="E65" s="297"/>
      <c r="F65" s="297"/>
      <c r="G65" s="297"/>
      <c r="H65" s="297"/>
      <c r="I65" s="297"/>
      <c r="J65" s="297"/>
      <c r="K65" s="293">
        <f t="shared" si="51"/>
        <v>0</v>
      </c>
      <c r="L65" s="294"/>
      <c r="M65" s="295">
        <f t="shared" si="52"/>
        <v>0</v>
      </c>
      <c r="N65" s="295">
        <f t="shared" si="53"/>
        <v>0</v>
      </c>
      <c r="O65" s="297"/>
      <c r="P65" s="297"/>
      <c r="Q65" s="297"/>
      <c r="R65" s="297"/>
      <c r="S65" s="297"/>
      <c r="T65" s="297"/>
      <c r="U65" s="293">
        <f t="shared" si="54"/>
        <v>0</v>
      </c>
      <c r="V65" s="298"/>
      <c r="W65" s="295">
        <f t="shared" si="55"/>
        <v>0</v>
      </c>
      <c r="X65" s="295">
        <f t="shared" si="56"/>
        <v>0</v>
      </c>
      <c r="Y65" s="297"/>
      <c r="Z65" s="297"/>
      <c r="AA65" s="297"/>
      <c r="AB65" s="297"/>
      <c r="AC65" s="297"/>
      <c r="AD65" s="297"/>
      <c r="AE65" s="293">
        <f t="shared" si="57"/>
        <v>0</v>
      </c>
      <c r="AF65" s="294"/>
      <c r="AG65" s="295">
        <f t="shared" si="58"/>
        <v>0</v>
      </c>
      <c r="AH65" s="295">
        <f t="shared" si="59"/>
        <v>0</v>
      </c>
      <c r="AI65" s="297"/>
      <c r="AJ65" s="297"/>
      <c r="AK65" s="297"/>
      <c r="AL65" s="297"/>
      <c r="AM65" s="297"/>
      <c r="AN65" s="297"/>
      <c r="AO65" s="293">
        <f t="shared" si="60"/>
        <v>0</v>
      </c>
      <c r="AP65" s="298"/>
      <c r="AQ65" s="295">
        <f t="shared" si="61"/>
        <v>0</v>
      </c>
      <c r="AR65" s="295">
        <f t="shared" si="62"/>
        <v>0</v>
      </c>
      <c r="AS65" s="297"/>
      <c r="AT65" s="297"/>
      <c r="AU65" s="297"/>
      <c r="AV65" s="297"/>
      <c r="AW65" s="297"/>
      <c r="AX65" s="297"/>
      <c r="AY65" s="293">
        <f t="shared" si="63"/>
        <v>0</v>
      </c>
      <c r="AZ65" s="298">
        <v>51</v>
      </c>
      <c r="BA65" s="295">
        <f t="shared" si="64"/>
        <v>380666</v>
      </c>
      <c r="BB65" s="295">
        <f t="shared" si="65"/>
        <v>7464.0392156862745</v>
      </c>
      <c r="BC65" s="297">
        <v>205658</v>
      </c>
      <c r="BD65" s="297">
        <v>175008</v>
      </c>
      <c r="BE65" s="297">
        <v>0</v>
      </c>
      <c r="BF65" s="297">
        <v>0</v>
      </c>
      <c r="BG65" s="297">
        <v>0</v>
      </c>
      <c r="BH65" s="297">
        <v>354424</v>
      </c>
      <c r="BI65" s="293">
        <f t="shared" si="66"/>
        <v>205658</v>
      </c>
      <c r="BJ65" s="298">
        <v>55</v>
      </c>
      <c r="BK65" s="295">
        <f t="shared" si="67"/>
        <v>397278</v>
      </c>
      <c r="BL65" s="295">
        <f t="shared" si="68"/>
        <v>7223.2363636363634</v>
      </c>
      <c r="BM65" s="297">
        <v>183911</v>
      </c>
      <c r="BN65" s="297">
        <v>213367</v>
      </c>
      <c r="BO65" s="297"/>
      <c r="BP65" s="297"/>
      <c r="BQ65" s="297"/>
      <c r="BR65" s="297">
        <v>360730</v>
      </c>
      <c r="BS65" s="293">
        <f t="shared" si="69"/>
        <v>183911</v>
      </c>
      <c r="BT65" s="12"/>
      <c r="BU65" s="295">
        <f t="shared" si="70"/>
        <v>407823</v>
      </c>
      <c r="BV65" s="295">
        <f t="shared" si="71"/>
        <v>0</v>
      </c>
      <c r="BW65" s="11">
        <v>175272</v>
      </c>
      <c r="BX65" s="11">
        <v>232551</v>
      </c>
      <c r="BY65" s="11"/>
      <c r="BZ65" s="11"/>
      <c r="CA65" s="11"/>
      <c r="CB65" s="11">
        <v>372426</v>
      </c>
      <c r="CC65" s="293">
        <f t="shared" si="72"/>
        <v>175272</v>
      </c>
    </row>
    <row r="66" spans="1:81" s="308" customFormat="1" ht="15.95" customHeight="1" x14ac:dyDescent="0.2">
      <c r="A66" s="307" t="s">
        <v>258</v>
      </c>
      <c r="B66" s="298"/>
      <c r="C66" s="295">
        <f t="shared" si="73"/>
        <v>0</v>
      </c>
      <c r="D66" s="295">
        <f t="shared" si="50"/>
        <v>0</v>
      </c>
      <c r="E66" s="297"/>
      <c r="F66" s="297"/>
      <c r="G66" s="297"/>
      <c r="H66" s="297"/>
      <c r="I66" s="297"/>
      <c r="J66" s="297"/>
      <c r="K66" s="293">
        <f t="shared" si="51"/>
        <v>0</v>
      </c>
      <c r="L66" s="294"/>
      <c r="M66" s="295">
        <f t="shared" si="52"/>
        <v>0</v>
      </c>
      <c r="N66" s="295">
        <f t="shared" si="53"/>
        <v>0</v>
      </c>
      <c r="O66" s="297"/>
      <c r="P66" s="297"/>
      <c r="Q66" s="297"/>
      <c r="R66" s="297"/>
      <c r="S66" s="297"/>
      <c r="T66" s="297"/>
      <c r="U66" s="293">
        <f t="shared" si="54"/>
        <v>0</v>
      </c>
      <c r="V66" s="298"/>
      <c r="W66" s="295">
        <f t="shared" si="55"/>
        <v>0</v>
      </c>
      <c r="X66" s="295">
        <f t="shared" si="56"/>
        <v>0</v>
      </c>
      <c r="Y66" s="297"/>
      <c r="Z66" s="297"/>
      <c r="AA66" s="297"/>
      <c r="AB66" s="297"/>
      <c r="AC66" s="297"/>
      <c r="AD66" s="297"/>
      <c r="AE66" s="293">
        <f t="shared" si="57"/>
        <v>0</v>
      </c>
      <c r="AF66" s="294"/>
      <c r="AG66" s="295">
        <f t="shared" si="58"/>
        <v>0</v>
      </c>
      <c r="AH66" s="295">
        <f t="shared" si="59"/>
        <v>0</v>
      </c>
      <c r="AI66" s="297"/>
      <c r="AJ66" s="297"/>
      <c r="AK66" s="297"/>
      <c r="AL66" s="297"/>
      <c r="AM66" s="297"/>
      <c r="AN66" s="297"/>
      <c r="AO66" s="293">
        <f t="shared" si="60"/>
        <v>0</v>
      </c>
      <c r="AP66" s="298"/>
      <c r="AQ66" s="295">
        <f t="shared" si="61"/>
        <v>0</v>
      </c>
      <c r="AR66" s="295">
        <f t="shared" si="62"/>
        <v>0</v>
      </c>
      <c r="AS66" s="297"/>
      <c r="AT66" s="297"/>
      <c r="AU66" s="297"/>
      <c r="AV66" s="297"/>
      <c r="AW66" s="297"/>
      <c r="AX66" s="297"/>
      <c r="AY66" s="293">
        <f t="shared" si="63"/>
        <v>0</v>
      </c>
      <c r="AZ66" s="298"/>
      <c r="BA66" s="295">
        <f t="shared" si="64"/>
        <v>0</v>
      </c>
      <c r="BB66" s="295">
        <f t="shared" si="65"/>
        <v>0</v>
      </c>
      <c r="BC66" s="297"/>
      <c r="BD66" s="297"/>
      <c r="BE66" s="297"/>
      <c r="BF66" s="297"/>
      <c r="BG66" s="297"/>
      <c r="BH66" s="297"/>
      <c r="BI66" s="293">
        <f t="shared" si="66"/>
        <v>0</v>
      </c>
      <c r="BJ66" s="298">
        <v>35</v>
      </c>
      <c r="BK66" s="295">
        <f t="shared" si="67"/>
        <v>491878</v>
      </c>
      <c r="BL66" s="295">
        <f t="shared" si="68"/>
        <v>14053.657142857142</v>
      </c>
      <c r="BM66" s="297"/>
      <c r="BN66" s="297">
        <v>491878</v>
      </c>
      <c r="BO66" s="297"/>
      <c r="BP66" s="297"/>
      <c r="BQ66" s="297"/>
      <c r="BR66" s="297"/>
      <c r="BS66" s="293">
        <f t="shared" si="69"/>
        <v>0</v>
      </c>
      <c r="BT66" s="12">
        <v>74</v>
      </c>
      <c r="BU66" s="295">
        <f t="shared" si="70"/>
        <v>1002119</v>
      </c>
      <c r="BV66" s="295">
        <f t="shared" si="71"/>
        <v>13542.148648648648</v>
      </c>
      <c r="BW66" s="11"/>
      <c r="BX66" s="11"/>
      <c r="BY66" s="11"/>
      <c r="BZ66" s="11"/>
      <c r="CA66" s="11">
        <v>1002119</v>
      </c>
      <c r="CB66" s="11">
        <v>941522</v>
      </c>
      <c r="CC66" s="293">
        <f t="shared" si="72"/>
        <v>0</v>
      </c>
    </row>
    <row r="67" spans="1:81" s="308" customFormat="1" ht="15.95" customHeight="1" x14ac:dyDescent="0.2">
      <c r="A67" s="56"/>
      <c r="B67" s="298"/>
      <c r="C67" s="295">
        <f t="shared" si="73"/>
        <v>0</v>
      </c>
      <c r="D67" s="295">
        <f t="shared" si="50"/>
        <v>0</v>
      </c>
      <c r="E67" s="297"/>
      <c r="F67" s="297"/>
      <c r="G67" s="297"/>
      <c r="H67" s="297"/>
      <c r="I67" s="297"/>
      <c r="J67" s="297"/>
      <c r="K67" s="293">
        <f t="shared" si="51"/>
        <v>0</v>
      </c>
      <c r="L67" s="294"/>
      <c r="M67" s="295">
        <f t="shared" si="52"/>
        <v>0</v>
      </c>
      <c r="N67" s="295">
        <f t="shared" si="53"/>
        <v>0</v>
      </c>
      <c r="O67" s="297"/>
      <c r="P67" s="297"/>
      <c r="Q67" s="297"/>
      <c r="R67" s="297"/>
      <c r="S67" s="297"/>
      <c r="T67" s="297"/>
      <c r="U67" s="293">
        <f t="shared" si="54"/>
        <v>0</v>
      </c>
      <c r="V67" s="298"/>
      <c r="W67" s="295">
        <f t="shared" si="55"/>
        <v>0</v>
      </c>
      <c r="X67" s="295">
        <f t="shared" si="56"/>
        <v>0</v>
      </c>
      <c r="Y67" s="297"/>
      <c r="Z67" s="297"/>
      <c r="AA67" s="297"/>
      <c r="AB67" s="297"/>
      <c r="AC67" s="297"/>
      <c r="AD67" s="297"/>
      <c r="AE67" s="293">
        <f t="shared" si="57"/>
        <v>0</v>
      </c>
      <c r="AF67" s="294"/>
      <c r="AG67" s="295">
        <f t="shared" si="58"/>
        <v>0</v>
      </c>
      <c r="AH67" s="295">
        <f t="shared" si="59"/>
        <v>0</v>
      </c>
      <c r="AI67" s="297"/>
      <c r="AJ67" s="297"/>
      <c r="AK67" s="297"/>
      <c r="AL67" s="297"/>
      <c r="AM67" s="297"/>
      <c r="AN67" s="297"/>
      <c r="AO67" s="293">
        <f t="shared" si="60"/>
        <v>0</v>
      </c>
      <c r="AP67" s="298"/>
      <c r="AQ67" s="295">
        <f t="shared" si="61"/>
        <v>0</v>
      </c>
      <c r="AR67" s="295">
        <f t="shared" si="62"/>
        <v>0</v>
      </c>
      <c r="AS67" s="297"/>
      <c r="AT67" s="297"/>
      <c r="AU67" s="297"/>
      <c r="AV67" s="297"/>
      <c r="AW67" s="297"/>
      <c r="AX67" s="297"/>
      <c r="AY67" s="293">
        <f t="shared" si="63"/>
        <v>0</v>
      </c>
      <c r="AZ67" s="298"/>
      <c r="BA67" s="295">
        <f t="shared" si="64"/>
        <v>0</v>
      </c>
      <c r="BB67" s="295">
        <f t="shared" si="65"/>
        <v>0</v>
      </c>
      <c r="BC67" s="297"/>
      <c r="BD67" s="297"/>
      <c r="BE67" s="297"/>
      <c r="BF67" s="297"/>
      <c r="BG67" s="297"/>
      <c r="BH67" s="297"/>
      <c r="BI67" s="293">
        <f t="shared" si="66"/>
        <v>0</v>
      </c>
      <c r="BJ67" s="298"/>
      <c r="BK67" s="295">
        <f t="shared" si="67"/>
        <v>0</v>
      </c>
      <c r="BL67" s="295">
        <f t="shared" si="68"/>
        <v>0</v>
      </c>
      <c r="BM67" s="297"/>
      <c r="BN67" s="297"/>
      <c r="BO67" s="297"/>
      <c r="BP67" s="297"/>
      <c r="BQ67" s="297"/>
      <c r="BR67" s="297"/>
      <c r="BS67" s="293">
        <f t="shared" si="69"/>
        <v>0</v>
      </c>
      <c r="BT67" s="12"/>
      <c r="BU67" s="295">
        <f t="shared" si="70"/>
        <v>0</v>
      </c>
      <c r="BV67" s="295">
        <f t="shared" si="71"/>
        <v>0</v>
      </c>
      <c r="BW67" s="11"/>
      <c r="BX67" s="11"/>
      <c r="BY67" s="11"/>
      <c r="BZ67" s="11"/>
      <c r="CA67" s="11"/>
      <c r="CB67" s="11"/>
      <c r="CC67" s="293">
        <f t="shared" si="72"/>
        <v>0</v>
      </c>
    </row>
    <row r="68" spans="1:81" s="308" customFormat="1" ht="15.95" customHeight="1" x14ac:dyDescent="0.2">
      <c r="A68" s="56"/>
      <c r="B68" s="298"/>
      <c r="C68" s="295">
        <f t="shared" si="73"/>
        <v>0</v>
      </c>
      <c r="D68" s="295">
        <f t="shared" si="50"/>
        <v>0</v>
      </c>
      <c r="E68" s="297"/>
      <c r="F68" s="297"/>
      <c r="G68" s="297"/>
      <c r="H68" s="297"/>
      <c r="I68" s="297"/>
      <c r="J68" s="297"/>
      <c r="K68" s="293">
        <f t="shared" si="51"/>
        <v>0</v>
      </c>
      <c r="L68" s="294"/>
      <c r="M68" s="295">
        <f t="shared" si="52"/>
        <v>0</v>
      </c>
      <c r="N68" s="295">
        <f t="shared" si="53"/>
        <v>0</v>
      </c>
      <c r="O68" s="297"/>
      <c r="P68" s="297"/>
      <c r="Q68" s="297"/>
      <c r="R68" s="297"/>
      <c r="S68" s="297"/>
      <c r="T68" s="297"/>
      <c r="U68" s="293">
        <f t="shared" si="54"/>
        <v>0</v>
      </c>
      <c r="V68" s="298"/>
      <c r="W68" s="295">
        <f t="shared" si="55"/>
        <v>0</v>
      </c>
      <c r="X68" s="295">
        <f t="shared" si="56"/>
        <v>0</v>
      </c>
      <c r="Y68" s="297"/>
      <c r="Z68" s="297"/>
      <c r="AA68" s="297"/>
      <c r="AB68" s="297"/>
      <c r="AC68" s="297"/>
      <c r="AD68" s="297"/>
      <c r="AE68" s="293">
        <f t="shared" si="57"/>
        <v>0</v>
      </c>
      <c r="AF68" s="294"/>
      <c r="AG68" s="295">
        <f t="shared" si="58"/>
        <v>0</v>
      </c>
      <c r="AH68" s="295">
        <f t="shared" si="59"/>
        <v>0</v>
      </c>
      <c r="AI68" s="297"/>
      <c r="AJ68" s="297"/>
      <c r="AK68" s="297"/>
      <c r="AL68" s="297"/>
      <c r="AM68" s="297"/>
      <c r="AN68" s="297"/>
      <c r="AO68" s="293">
        <f t="shared" si="60"/>
        <v>0</v>
      </c>
      <c r="AP68" s="298"/>
      <c r="AQ68" s="295">
        <f t="shared" si="61"/>
        <v>0</v>
      </c>
      <c r="AR68" s="295">
        <f t="shared" si="62"/>
        <v>0</v>
      </c>
      <c r="AS68" s="297"/>
      <c r="AT68" s="297"/>
      <c r="AU68" s="297"/>
      <c r="AV68" s="297"/>
      <c r="AW68" s="297"/>
      <c r="AX68" s="297"/>
      <c r="AY68" s="293">
        <f t="shared" si="63"/>
        <v>0</v>
      </c>
      <c r="AZ68" s="298"/>
      <c r="BA68" s="295">
        <f t="shared" si="64"/>
        <v>0</v>
      </c>
      <c r="BB68" s="295">
        <f t="shared" si="65"/>
        <v>0</v>
      </c>
      <c r="BC68" s="297"/>
      <c r="BD68" s="297"/>
      <c r="BE68" s="297"/>
      <c r="BF68" s="297"/>
      <c r="BG68" s="297"/>
      <c r="BH68" s="297"/>
      <c r="BI68" s="293">
        <f t="shared" si="66"/>
        <v>0</v>
      </c>
      <c r="BJ68" s="298"/>
      <c r="BK68" s="295">
        <f t="shared" si="67"/>
        <v>0</v>
      </c>
      <c r="BL68" s="295">
        <f t="shared" si="68"/>
        <v>0</v>
      </c>
      <c r="BM68" s="297"/>
      <c r="BN68" s="297"/>
      <c r="BO68" s="297"/>
      <c r="BP68" s="297"/>
      <c r="BQ68" s="297"/>
      <c r="BR68" s="297"/>
      <c r="BS68" s="293">
        <f t="shared" si="69"/>
        <v>0</v>
      </c>
      <c r="BT68" s="12"/>
      <c r="BU68" s="295">
        <f t="shared" si="70"/>
        <v>0</v>
      </c>
      <c r="BV68" s="295">
        <f t="shared" si="71"/>
        <v>0</v>
      </c>
      <c r="BW68" s="11"/>
      <c r="BX68" s="11"/>
      <c r="BY68" s="11"/>
      <c r="BZ68" s="11"/>
      <c r="CA68" s="11"/>
      <c r="CB68" s="11"/>
      <c r="CC68" s="293">
        <f t="shared" si="72"/>
        <v>0</v>
      </c>
    </row>
    <row r="69" spans="1:81" s="308" customFormat="1" ht="15.95" customHeight="1" x14ac:dyDescent="0.2">
      <c r="A69" s="56"/>
      <c r="B69" s="298"/>
      <c r="C69" s="295">
        <f t="shared" si="73"/>
        <v>0</v>
      </c>
      <c r="D69" s="295">
        <f t="shared" si="50"/>
        <v>0</v>
      </c>
      <c r="E69" s="297"/>
      <c r="F69" s="297"/>
      <c r="G69" s="297"/>
      <c r="H69" s="297"/>
      <c r="I69" s="297"/>
      <c r="J69" s="297"/>
      <c r="K69" s="293">
        <f t="shared" si="51"/>
        <v>0</v>
      </c>
      <c r="L69" s="294"/>
      <c r="M69" s="295">
        <f t="shared" si="52"/>
        <v>0</v>
      </c>
      <c r="N69" s="295">
        <f t="shared" si="53"/>
        <v>0</v>
      </c>
      <c r="O69" s="297"/>
      <c r="P69" s="297"/>
      <c r="Q69" s="297"/>
      <c r="R69" s="297"/>
      <c r="S69" s="297"/>
      <c r="T69" s="297"/>
      <c r="U69" s="293">
        <f t="shared" si="54"/>
        <v>0</v>
      </c>
      <c r="V69" s="298"/>
      <c r="W69" s="295">
        <f t="shared" si="55"/>
        <v>0</v>
      </c>
      <c r="X69" s="295">
        <f t="shared" si="56"/>
        <v>0</v>
      </c>
      <c r="Y69" s="297"/>
      <c r="Z69" s="297"/>
      <c r="AA69" s="297"/>
      <c r="AB69" s="297"/>
      <c r="AC69" s="297"/>
      <c r="AD69" s="297"/>
      <c r="AE69" s="293">
        <f t="shared" si="57"/>
        <v>0</v>
      </c>
      <c r="AF69" s="294"/>
      <c r="AG69" s="295">
        <f t="shared" si="58"/>
        <v>0</v>
      </c>
      <c r="AH69" s="295">
        <f t="shared" si="59"/>
        <v>0</v>
      </c>
      <c r="AI69" s="297"/>
      <c r="AJ69" s="297"/>
      <c r="AK69" s="297"/>
      <c r="AL69" s="297"/>
      <c r="AM69" s="297"/>
      <c r="AN69" s="297"/>
      <c r="AO69" s="293">
        <f t="shared" si="60"/>
        <v>0</v>
      </c>
      <c r="AP69" s="298"/>
      <c r="AQ69" s="295">
        <f t="shared" si="61"/>
        <v>0</v>
      </c>
      <c r="AR69" s="295">
        <f t="shared" si="62"/>
        <v>0</v>
      </c>
      <c r="AS69" s="297"/>
      <c r="AT69" s="297"/>
      <c r="AU69" s="297"/>
      <c r="AV69" s="297"/>
      <c r="AW69" s="297"/>
      <c r="AX69" s="297"/>
      <c r="AY69" s="293">
        <f t="shared" si="63"/>
        <v>0</v>
      </c>
      <c r="AZ69" s="298"/>
      <c r="BA69" s="295">
        <f t="shared" si="64"/>
        <v>0</v>
      </c>
      <c r="BB69" s="295">
        <f t="shared" si="65"/>
        <v>0</v>
      </c>
      <c r="BC69" s="297"/>
      <c r="BD69" s="297"/>
      <c r="BE69" s="297"/>
      <c r="BF69" s="297"/>
      <c r="BG69" s="297"/>
      <c r="BH69" s="297"/>
      <c r="BI69" s="293">
        <f t="shared" si="66"/>
        <v>0</v>
      </c>
      <c r="BJ69" s="298"/>
      <c r="BK69" s="295">
        <f t="shared" si="67"/>
        <v>0</v>
      </c>
      <c r="BL69" s="295">
        <f t="shared" si="68"/>
        <v>0</v>
      </c>
      <c r="BM69" s="297"/>
      <c r="BN69" s="297"/>
      <c r="BO69" s="297"/>
      <c r="BP69" s="297"/>
      <c r="BQ69" s="297"/>
      <c r="BR69" s="297"/>
      <c r="BS69" s="293">
        <f t="shared" si="69"/>
        <v>0</v>
      </c>
      <c r="BT69" s="12"/>
      <c r="BU69" s="295">
        <f t="shared" si="70"/>
        <v>0</v>
      </c>
      <c r="BV69" s="295">
        <f t="shared" si="71"/>
        <v>0</v>
      </c>
      <c r="BW69" s="11"/>
      <c r="BX69" s="11"/>
      <c r="BY69" s="11"/>
      <c r="BZ69" s="11"/>
      <c r="CA69" s="11"/>
      <c r="CB69" s="11"/>
      <c r="CC69" s="293">
        <f t="shared" si="72"/>
        <v>0</v>
      </c>
    </row>
    <row r="70" spans="1:81" s="308" customFormat="1" ht="15.95" customHeight="1" x14ac:dyDescent="0.2">
      <c r="A70" s="56"/>
      <c r="B70" s="298"/>
      <c r="C70" s="295">
        <f>SUM(E70:I70)</f>
        <v>0</v>
      </c>
      <c r="D70" s="295">
        <f>IFERROR(C70/B70,0)</f>
        <v>0</v>
      </c>
      <c r="E70" s="297"/>
      <c r="F70" s="297"/>
      <c r="G70" s="297"/>
      <c r="H70" s="297"/>
      <c r="I70" s="297"/>
      <c r="J70" s="297"/>
      <c r="K70" s="293">
        <f t="shared" si="51"/>
        <v>0</v>
      </c>
      <c r="L70" s="294"/>
      <c r="M70" s="295">
        <f t="shared" si="52"/>
        <v>0</v>
      </c>
      <c r="N70" s="295">
        <f t="shared" si="53"/>
        <v>0</v>
      </c>
      <c r="O70" s="297"/>
      <c r="P70" s="297"/>
      <c r="Q70" s="297"/>
      <c r="R70" s="297"/>
      <c r="S70" s="297"/>
      <c r="T70" s="297"/>
      <c r="U70" s="293">
        <f t="shared" si="54"/>
        <v>0</v>
      </c>
      <c r="V70" s="298"/>
      <c r="W70" s="295">
        <f t="shared" si="55"/>
        <v>0</v>
      </c>
      <c r="X70" s="295">
        <f t="shared" si="56"/>
        <v>0</v>
      </c>
      <c r="Y70" s="297"/>
      <c r="Z70" s="297"/>
      <c r="AA70" s="297"/>
      <c r="AB70" s="297"/>
      <c r="AC70" s="297"/>
      <c r="AD70" s="297"/>
      <c r="AE70" s="293">
        <f t="shared" si="57"/>
        <v>0</v>
      </c>
      <c r="AF70" s="294"/>
      <c r="AG70" s="295">
        <f t="shared" ref="AG70:AG71" si="74">SUM(AI70:AM70)</f>
        <v>0</v>
      </c>
      <c r="AH70" s="295">
        <f t="shared" si="59"/>
        <v>0</v>
      </c>
      <c r="AI70" s="297"/>
      <c r="AJ70" s="297"/>
      <c r="AK70" s="297"/>
      <c r="AL70" s="297"/>
      <c r="AM70" s="297"/>
      <c r="AN70" s="297"/>
      <c r="AO70" s="293">
        <f t="shared" si="60"/>
        <v>0</v>
      </c>
      <c r="AP70" s="298"/>
      <c r="AQ70" s="295">
        <f t="shared" ref="AQ70:AQ71" si="75">SUM(AS70:AW70)</f>
        <v>0</v>
      </c>
      <c r="AR70" s="295">
        <f t="shared" si="62"/>
        <v>0</v>
      </c>
      <c r="AS70" s="297"/>
      <c r="AT70" s="297"/>
      <c r="AU70" s="297"/>
      <c r="AV70" s="297"/>
      <c r="AW70" s="297"/>
      <c r="AX70" s="297"/>
      <c r="AY70" s="293">
        <f t="shared" si="63"/>
        <v>0</v>
      </c>
      <c r="AZ70" s="298"/>
      <c r="BA70" s="295">
        <f t="shared" ref="BA70:BA71" si="76">SUM(BC70:BG70)</f>
        <v>0</v>
      </c>
      <c r="BB70" s="295">
        <f t="shared" si="65"/>
        <v>0</v>
      </c>
      <c r="BC70" s="297"/>
      <c r="BD70" s="297"/>
      <c r="BE70" s="297"/>
      <c r="BF70" s="297"/>
      <c r="BG70" s="297"/>
      <c r="BH70" s="297"/>
      <c r="BI70" s="293">
        <f t="shared" si="66"/>
        <v>0</v>
      </c>
      <c r="BJ70" s="298"/>
      <c r="BK70" s="295">
        <f t="shared" si="67"/>
        <v>0</v>
      </c>
      <c r="BL70" s="295">
        <f t="shared" si="68"/>
        <v>0</v>
      </c>
      <c r="BM70" s="297"/>
      <c r="BN70" s="297"/>
      <c r="BO70" s="297"/>
      <c r="BP70" s="297"/>
      <c r="BQ70" s="297"/>
      <c r="BR70" s="297"/>
      <c r="BS70" s="293">
        <f t="shared" si="69"/>
        <v>0</v>
      </c>
      <c r="BT70" s="12"/>
      <c r="BU70" s="295">
        <f t="shared" si="70"/>
        <v>0</v>
      </c>
      <c r="BV70" s="295">
        <f t="shared" si="71"/>
        <v>0</v>
      </c>
      <c r="BW70" s="11"/>
      <c r="BX70" s="11"/>
      <c r="BY70" s="11"/>
      <c r="BZ70" s="11"/>
      <c r="CA70" s="11"/>
      <c r="CB70" s="11"/>
      <c r="CC70" s="293">
        <f t="shared" si="72"/>
        <v>0</v>
      </c>
    </row>
    <row r="71" spans="1:81" s="308" customFormat="1" ht="15.95" customHeight="1" x14ac:dyDescent="0.2">
      <c r="A71" s="56"/>
      <c r="B71" s="298"/>
      <c r="C71" s="295">
        <f>SUM(E71:I71)</f>
        <v>0</v>
      </c>
      <c r="D71" s="295">
        <f>IFERROR(C71/B71,0)</f>
        <v>0</v>
      </c>
      <c r="E71" s="297"/>
      <c r="F71" s="297"/>
      <c r="G71" s="297"/>
      <c r="H71" s="297"/>
      <c r="I71" s="297"/>
      <c r="J71" s="297"/>
      <c r="K71" s="293">
        <f t="shared" si="51"/>
        <v>0</v>
      </c>
      <c r="L71" s="294"/>
      <c r="M71" s="295">
        <f t="shared" si="52"/>
        <v>0</v>
      </c>
      <c r="N71" s="295">
        <f t="shared" si="53"/>
        <v>0</v>
      </c>
      <c r="O71" s="297"/>
      <c r="P71" s="297"/>
      <c r="Q71" s="297"/>
      <c r="R71" s="297"/>
      <c r="S71" s="297"/>
      <c r="T71" s="297"/>
      <c r="U71" s="293">
        <f t="shared" si="54"/>
        <v>0</v>
      </c>
      <c r="V71" s="298"/>
      <c r="W71" s="295">
        <f t="shared" si="55"/>
        <v>0</v>
      </c>
      <c r="X71" s="295">
        <f t="shared" si="56"/>
        <v>0</v>
      </c>
      <c r="Y71" s="297"/>
      <c r="Z71" s="297"/>
      <c r="AA71" s="297"/>
      <c r="AB71" s="297"/>
      <c r="AC71" s="297"/>
      <c r="AD71" s="297"/>
      <c r="AE71" s="293">
        <f t="shared" si="57"/>
        <v>0</v>
      </c>
      <c r="AF71" s="294"/>
      <c r="AG71" s="295">
        <f t="shared" si="74"/>
        <v>0</v>
      </c>
      <c r="AH71" s="295">
        <f t="shared" si="59"/>
        <v>0</v>
      </c>
      <c r="AI71" s="297"/>
      <c r="AJ71" s="297"/>
      <c r="AK71" s="297"/>
      <c r="AL71" s="297"/>
      <c r="AM71" s="297"/>
      <c r="AN71" s="297"/>
      <c r="AO71" s="293">
        <f t="shared" si="60"/>
        <v>0</v>
      </c>
      <c r="AP71" s="298"/>
      <c r="AQ71" s="295">
        <f t="shared" si="75"/>
        <v>0</v>
      </c>
      <c r="AR71" s="295">
        <f t="shared" si="62"/>
        <v>0</v>
      </c>
      <c r="AS71" s="297"/>
      <c r="AT71" s="297"/>
      <c r="AU71" s="297"/>
      <c r="AV71" s="297"/>
      <c r="AW71" s="297"/>
      <c r="AX71" s="297"/>
      <c r="AY71" s="293">
        <f t="shared" si="63"/>
        <v>0</v>
      </c>
      <c r="AZ71" s="298"/>
      <c r="BA71" s="295">
        <f t="shared" si="76"/>
        <v>0</v>
      </c>
      <c r="BB71" s="295">
        <f t="shared" si="65"/>
        <v>0</v>
      </c>
      <c r="BC71" s="297"/>
      <c r="BD71" s="297"/>
      <c r="BE71" s="297"/>
      <c r="BF71" s="297"/>
      <c r="BG71" s="297"/>
      <c r="BH71" s="297"/>
      <c r="BI71" s="293">
        <f t="shared" si="66"/>
        <v>0</v>
      </c>
      <c r="BJ71" s="298"/>
      <c r="BK71" s="295">
        <f t="shared" si="67"/>
        <v>0</v>
      </c>
      <c r="BL71" s="295">
        <f t="shared" si="68"/>
        <v>0</v>
      </c>
      <c r="BM71" s="297"/>
      <c r="BN71" s="297"/>
      <c r="BO71" s="297"/>
      <c r="BP71" s="297"/>
      <c r="BQ71" s="297"/>
      <c r="BR71" s="297"/>
      <c r="BS71" s="293">
        <f t="shared" si="69"/>
        <v>0</v>
      </c>
      <c r="BT71" s="12"/>
      <c r="BU71" s="295">
        <f t="shared" si="70"/>
        <v>0</v>
      </c>
      <c r="BV71" s="295">
        <f t="shared" si="71"/>
        <v>0</v>
      </c>
      <c r="BW71" s="11"/>
      <c r="BX71" s="11"/>
      <c r="BY71" s="11"/>
      <c r="BZ71" s="11"/>
      <c r="CA71" s="11"/>
      <c r="CB71" s="11"/>
      <c r="CC71" s="293">
        <f t="shared" si="72"/>
        <v>0</v>
      </c>
    </row>
    <row r="72" spans="1:81" ht="15.95" customHeight="1" x14ac:dyDescent="0.2">
      <c r="A72" s="309" t="s">
        <v>102</v>
      </c>
      <c r="B72" s="306"/>
      <c r="C72" s="290"/>
      <c r="D72" s="290"/>
      <c r="E72" s="292"/>
      <c r="F72" s="292"/>
      <c r="G72" s="292"/>
      <c r="H72" s="292"/>
      <c r="I72" s="292"/>
      <c r="J72" s="292"/>
      <c r="K72" s="293"/>
      <c r="L72" s="294"/>
      <c r="M72" s="295"/>
      <c r="N72" s="295"/>
      <c r="O72" s="297"/>
      <c r="P72" s="297"/>
      <c r="Q72" s="297"/>
      <c r="R72" s="297"/>
      <c r="S72" s="297"/>
      <c r="T72" s="297"/>
      <c r="U72" s="293"/>
      <c r="V72" s="298"/>
      <c r="W72" s="295"/>
      <c r="X72" s="295"/>
      <c r="Y72" s="297"/>
      <c r="Z72" s="297"/>
      <c r="AA72" s="297"/>
      <c r="AB72" s="297"/>
      <c r="AC72" s="297"/>
      <c r="AD72" s="297"/>
      <c r="AE72" s="293"/>
      <c r="AF72" s="294"/>
      <c r="AG72" s="295"/>
      <c r="AH72" s="295"/>
      <c r="AI72" s="297"/>
      <c r="AJ72" s="297"/>
      <c r="AK72" s="297"/>
      <c r="AL72" s="297"/>
      <c r="AM72" s="297"/>
      <c r="AN72" s="297"/>
      <c r="AO72" s="293"/>
      <c r="AP72" s="298"/>
      <c r="AQ72" s="295"/>
      <c r="AR72" s="295"/>
      <c r="AS72" s="297"/>
      <c r="AT72" s="297"/>
      <c r="AU72" s="297"/>
      <c r="AV72" s="297"/>
      <c r="AW72" s="297"/>
      <c r="AX72" s="297"/>
      <c r="AY72" s="293"/>
      <c r="AZ72" s="298"/>
      <c r="BA72" s="295"/>
      <c r="BB72" s="295"/>
      <c r="BC72" s="297"/>
      <c r="BD72" s="297"/>
      <c r="BE72" s="297"/>
      <c r="BF72" s="297"/>
      <c r="BG72" s="297"/>
      <c r="BH72" s="297"/>
      <c r="BI72" s="293"/>
      <c r="BJ72" s="298"/>
      <c r="BK72" s="295"/>
      <c r="BL72" s="295"/>
      <c r="BM72" s="297"/>
      <c r="BN72" s="297"/>
      <c r="BO72" s="297"/>
      <c r="BP72" s="297"/>
      <c r="BQ72" s="297"/>
      <c r="BR72" s="297"/>
      <c r="BS72" s="293"/>
      <c r="BT72" s="298"/>
      <c r="BU72" s="295"/>
      <c r="BV72" s="295"/>
      <c r="BW72" s="297"/>
      <c r="BX72" s="297"/>
      <c r="BY72" s="297"/>
      <c r="BZ72" s="297"/>
      <c r="CA72" s="297"/>
      <c r="CB72" s="297"/>
      <c r="CC72" s="293"/>
    </row>
    <row r="73" spans="1:81" s="308" customFormat="1" ht="15.95" customHeight="1" x14ac:dyDescent="0.2">
      <c r="A73" s="310" t="s">
        <v>127</v>
      </c>
      <c r="B73" s="311">
        <f>SUM(B$50:B72)</f>
        <v>906</v>
      </c>
      <c r="C73" s="295">
        <f>SUM(C$50:C72)</f>
        <v>2716475</v>
      </c>
      <c r="D73" s="295">
        <f>IFERROR(C73/B73,0)</f>
        <v>2998.3167770419427</v>
      </c>
      <c r="E73" s="312">
        <f>SUM(E$50:E72)</f>
        <v>1830947</v>
      </c>
      <c r="F73" s="312">
        <f>SUM(F$50:F72)</f>
        <v>240000</v>
      </c>
      <c r="G73" s="312">
        <f>SUM(G$50:G72)</f>
        <v>197759</v>
      </c>
      <c r="H73" s="312">
        <f>SUM(H$50:H72)</f>
        <v>447769</v>
      </c>
      <c r="I73" s="312">
        <f>SUM(I$50:I72)</f>
        <v>0</v>
      </c>
      <c r="J73" s="312">
        <f>SUM(J$50:J72)</f>
        <v>1694684</v>
      </c>
      <c r="K73" s="293">
        <f>SUM(K$50:K72)</f>
        <v>820779</v>
      </c>
      <c r="L73" s="313">
        <f>SUM(L$50:L72)</f>
        <v>920</v>
      </c>
      <c r="M73" s="295">
        <f>SUM(M$50:M72)</f>
        <v>2649116</v>
      </c>
      <c r="N73" s="295">
        <f>IFERROR(M73/L73,0)</f>
        <v>2879.4739130434782</v>
      </c>
      <c r="O73" s="312">
        <f>SUM(O$50:O72)</f>
        <v>1703093</v>
      </c>
      <c r="P73" s="312">
        <f>SUM(P$50:P72)</f>
        <v>0</v>
      </c>
      <c r="Q73" s="312">
        <f>SUM(Q$50:Q72)</f>
        <v>319868</v>
      </c>
      <c r="R73" s="312">
        <f>SUM(R$50:R72)</f>
        <v>428905</v>
      </c>
      <c r="S73" s="312">
        <f>SUM(S$50:S72)</f>
        <v>197250</v>
      </c>
      <c r="T73" s="312">
        <f>SUM(T$50:T72)</f>
        <v>1744576</v>
      </c>
      <c r="U73" s="293">
        <f>SUM(U$50:U72)</f>
        <v>819026</v>
      </c>
      <c r="V73" s="311">
        <f>SUM(V$50:V72)</f>
        <v>1034</v>
      </c>
      <c r="W73" s="295">
        <f>SUM(W$50:W72)</f>
        <v>2928751</v>
      </c>
      <c r="X73" s="295">
        <f>IFERROR(W73/V73,0)</f>
        <v>2832.4477756286269</v>
      </c>
      <c r="Y73" s="312">
        <f>SUM(Y$50:Y72)</f>
        <v>1820745</v>
      </c>
      <c r="Z73" s="312">
        <f>SUM(Z$50:Z72)</f>
        <v>122014</v>
      </c>
      <c r="AA73" s="312">
        <f>SUM(AA$50:AA72)</f>
        <v>375456</v>
      </c>
      <c r="AB73" s="312">
        <f>SUM(AB$50:AB72)</f>
        <v>469786</v>
      </c>
      <c r="AC73" s="312">
        <f>SUM(AC$50:AC72)</f>
        <v>140750</v>
      </c>
      <c r="AD73" s="312">
        <f>SUM(AD$50:AD72)</f>
        <v>1857274</v>
      </c>
      <c r="AE73" s="293">
        <f>SUM(AE$50:AE72)</f>
        <v>836560</v>
      </c>
      <c r="AF73" s="313">
        <f>SUM(AF$50:AF72)</f>
        <v>955</v>
      </c>
      <c r="AG73" s="295">
        <f>SUM(AG$50:AG72)</f>
        <v>2972397</v>
      </c>
      <c r="AH73" s="295">
        <f>IFERROR(AG73/AF73,0)</f>
        <v>3112.4575916230365</v>
      </c>
      <c r="AI73" s="312">
        <f>SUM(AI$50:AI72)</f>
        <v>1934560</v>
      </c>
      <c r="AJ73" s="312">
        <f>SUM(AJ$50:AJ72)</f>
        <v>73128</v>
      </c>
      <c r="AK73" s="312">
        <f>SUM(AK$50:AK72)</f>
        <v>329953</v>
      </c>
      <c r="AL73" s="312">
        <f>SUM(AL$50:AL72)</f>
        <v>518285</v>
      </c>
      <c r="AM73" s="312">
        <f>SUM(AM$50:AM72)</f>
        <v>116471</v>
      </c>
      <c r="AN73" s="312">
        <f>SUM(AN$50:AN72)</f>
        <v>1859501</v>
      </c>
      <c r="AO73" s="293">
        <f>SUM(AO$50:AO72)</f>
        <v>934915</v>
      </c>
      <c r="AP73" s="311">
        <f>SUM(AP$50:AP72)</f>
        <v>1009</v>
      </c>
      <c r="AQ73" s="295">
        <f>SUM(AQ$50:AQ72)</f>
        <v>2912758</v>
      </c>
      <c r="AR73" s="295">
        <f>IFERROR(AQ73/AP73,0)</f>
        <v>2886.777006937562</v>
      </c>
      <c r="AS73" s="312">
        <f>SUM(AS$50:AS72)</f>
        <v>1965593</v>
      </c>
      <c r="AT73" s="312">
        <f>SUM(AT$50:AT72)</f>
        <v>127345</v>
      </c>
      <c r="AU73" s="312">
        <f>SUM(AU$50:AU72)</f>
        <v>263172</v>
      </c>
      <c r="AV73" s="312">
        <f>SUM(AV$50:AV72)</f>
        <v>432277</v>
      </c>
      <c r="AW73" s="312">
        <f>SUM(AW$50:AW72)</f>
        <v>124371</v>
      </c>
      <c r="AX73" s="312">
        <f>SUM(AX$50:AX72)</f>
        <v>1822081</v>
      </c>
      <c r="AY73" s="293">
        <f>SUM(AY$50:AY72)</f>
        <v>975069</v>
      </c>
      <c r="AZ73" s="311">
        <f>SUM(AZ$50:AZ72)</f>
        <v>870</v>
      </c>
      <c r="BA73" s="295">
        <f>SUM(BA$50:BA72)</f>
        <v>2654118</v>
      </c>
      <c r="BB73" s="295">
        <f>IFERROR(BA73/AZ73,0)</f>
        <v>3050.7103448275861</v>
      </c>
      <c r="BC73" s="312">
        <f>SUM(BC$50:BC72)</f>
        <v>1696728</v>
      </c>
      <c r="BD73" s="312">
        <f>SUM(BD$50:BD72)</f>
        <v>175008</v>
      </c>
      <c r="BE73" s="312">
        <f>SUM(BE$50:BE72)</f>
        <v>321626</v>
      </c>
      <c r="BF73" s="312">
        <f>SUM(BF$50:BF72)</f>
        <v>412414</v>
      </c>
      <c r="BG73" s="312">
        <f>SUM(BG$50:BG72)</f>
        <v>48342</v>
      </c>
      <c r="BH73" s="312">
        <f>SUM(BH$50:BH72)</f>
        <v>1896870</v>
      </c>
      <c r="BI73" s="293">
        <f>SUM(BI$50:BI72)</f>
        <v>1026108</v>
      </c>
      <c r="BJ73" s="311">
        <f>SUM(BJ$50:BJ72)</f>
        <v>886</v>
      </c>
      <c r="BK73" s="295">
        <f>SUM(BK$50:BK72)</f>
        <v>3210327</v>
      </c>
      <c r="BL73" s="295">
        <f>IFERROR(BK73/BJ73,0)</f>
        <v>3623.3939051918737</v>
      </c>
      <c r="BM73" s="312">
        <f>SUM(BM$50:BM72)</f>
        <v>1819302</v>
      </c>
      <c r="BN73" s="312">
        <f>SUM(BN$50:BN72)</f>
        <v>705245</v>
      </c>
      <c r="BO73" s="312">
        <f>SUM(BO$50:BO72)</f>
        <v>323498</v>
      </c>
      <c r="BP73" s="312">
        <f>SUM(BP$50:BP72)</f>
        <v>311741</v>
      </c>
      <c r="BQ73" s="312">
        <f>SUM(BQ$50:BQ72)</f>
        <v>50541</v>
      </c>
      <c r="BR73" s="312">
        <f>SUM(BR$50:BR72)</f>
        <v>1608635</v>
      </c>
      <c r="BS73" s="293">
        <f>SUM(BS$50:BS72)</f>
        <v>761992</v>
      </c>
      <c r="BT73" s="311">
        <f>SUM(BT$50:BT72)</f>
        <v>932</v>
      </c>
      <c r="BU73" s="295">
        <f>SUM(BU$50:BU72)</f>
        <v>3929334</v>
      </c>
      <c r="BV73" s="295">
        <f>IFERROR(BU73/BT73,0)</f>
        <v>4216.0236051502143</v>
      </c>
      <c r="BW73" s="312">
        <f>SUM(BW$50:BW72)</f>
        <v>2067158</v>
      </c>
      <c r="BX73" s="312">
        <f>SUM(BX$50:BX72)</f>
        <v>232551</v>
      </c>
      <c r="BY73" s="312">
        <f>SUM(BY$50:BY72)</f>
        <v>519136</v>
      </c>
      <c r="BZ73" s="312">
        <f>SUM(BZ$50:BZ72)</f>
        <v>0</v>
      </c>
      <c r="CA73" s="312">
        <f>SUM(CA$50:CA72)</f>
        <v>1110489</v>
      </c>
      <c r="CB73" s="312">
        <f>SUM(CB$50:CB72)</f>
        <v>2796788</v>
      </c>
      <c r="CC73" s="293">
        <f>SUM(CC$50:CC72)</f>
        <v>1036268</v>
      </c>
    </row>
    <row r="74" spans="1:81" s="308" customFormat="1" ht="15.95" customHeight="1" x14ac:dyDescent="0.2">
      <c r="A74" s="304"/>
      <c r="B74" s="298"/>
      <c r="C74" s="295"/>
      <c r="D74" s="295"/>
      <c r="E74" s="297"/>
      <c r="F74" s="297"/>
      <c r="G74" s="297"/>
      <c r="H74" s="297"/>
      <c r="I74" s="297"/>
      <c r="J74" s="297"/>
      <c r="K74" s="293"/>
      <c r="L74" s="294"/>
      <c r="M74" s="295"/>
      <c r="N74" s="295"/>
      <c r="O74" s="297"/>
      <c r="P74" s="297"/>
      <c r="Q74" s="297"/>
      <c r="R74" s="297"/>
      <c r="S74" s="297"/>
      <c r="T74" s="297"/>
      <c r="U74" s="293"/>
      <c r="V74" s="298"/>
      <c r="W74" s="295"/>
      <c r="X74" s="295"/>
      <c r="Y74" s="297"/>
      <c r="Z74" s="297"/>
      <c r="AA74" s="297"/>
      <c r="AB74" s="297"/>
      <c r="AC74" s="297"/>
      <c r="AD74" s="297"/>
      <c r="AE74" s="293"/>
      <c r="AF74" s="294"/>
      <c r="AG74" s="295"/>
      <c r="AH74" s="295"/>
      <c r="AI74" s="297"/>
      <c r="AJ74" s="297"/>
      <c r="AK74" s="297"/>
      <c r="AL74" s="297"/>
      <c r="AM74" s="297"/>
      <c r="AN74" s="297"/>
      <c r="AO74" s="293"/>
      <c r="AP74" s="298"/>
      <c r="AQ74" s="295"/>
      <c r="AR74" s="295"/>
      <c r="AS74" s="297"/>
      <c r="AT74" s="297"/>
      <c r="AU74" s="297"/>
      <c r="AV74" s="297"/>
      <c r="AW74" s="297"/>
      <c r="AX74" s="297"/>
      <c r="AY74" s="293"/>
      <c r="AZ74" s="298"/>
      <c r="BA74" s="295"/>
      <c r="BB74" s="295"/>
      <c r="BC74" s="297"/>
      <c r="BD74" s="297"/>
      <c r="BE74" s="297"/>
      <c r="BF74" s="297"/>
      <c r="BG74" s="297"/>
      <c r="BH74" s="297"/>
      <c r="BI74" s="293"/>
      <c r="BJ74" s="298"/>
      <c r="BK74" s="295"/>
      <c r="BL74" s="295"/>
      <c r="BM74" s="297"/>
      <c r="BN74" s="297"/>
      <c r="BO74" s="297"/>
      <c r="BP74" s="297"/>
      <c r="BQ74" s="297"/>
      <c r="BR74" s="297"/>
      <c r="BS74" s="293"/>
      <c r="BT74" s="298"/>
      <c r="BU74" s="295"/>
      <c r="BV74" s="295"/>
      <c r="BW74" s="297"/>
      <c r="BX74" s="297"/>
      <c r="BY74" s="297"/>
      <c r="BZ74" s="297"/>
      <c r="CA74" s="297"/>
      <c r="CB74" s="297"/>
      <c r="CC74" s="293"/>
    </row>
    <row r="75" spans="1:81" s="308" customFormat="1" ht="15.95" customHeight="1" x14ac:dyDescent="0.2">
      <c r="A75" s="310" t="s">
        <v>128</v>
      </c>
      <c r="B75" s="311">
        <f>SUM(B32+B48+B73)</f>
        <v>9692</v>
      </c>
      <c r="C75" s="295">
        <f>SUM(C32+C48+C73)</f>
        <v>32815349.23</v>
      </c>
      <c r="D75" s="295">
        <f>IFERROR(C75/B75,0)</f>
        <v>3385.8181211308297</v>
      </c>
      <c r="E75" s="312">
        <f t="shared" ref="E75:M75" si="77">SUM(E32+E48+E73)</f>
        <v>7050653.2300000004</v>
      </c>
      <c r="F75" s="312">
        <f t="shared" si="77"/>
        <v>2021050</v>
      </c>
      <c r="G75" s="312">
        <f t="shared" si="77"/>
        <v>1383539</v>
      </c>
      <c r="H75" s="312">
        <f t="shared" si="77"/>
        <v>15755602</v>
      </c>
      <c r="I75" s="312">
        <f t="shared" si="77"/>
        <v>6604505</v>
      </c>
      <c r="J75" s="312">
        <f t="shared" si="77"/>
        <v>28718269</v>
      </c>
      <c r="K75" s="293">
        <f t="shared" si="77"/>
        <v>4650538</v>
      </c>
      <c r="L75" s="313">
        <f t="shared" si="77"/>
        <v>9791</v>
      </c>
      <c r="M75" s="295">
        <f t="shared" si="77"/>
        <v>32532843</v>
      </c>
      <c r="N75" s="295">
        <f>IFERROR(M75/L75,0)</f>
        <v>3322.7293432744359</v>
      </c>
      <c r="O75" s="312">
        <f t="shared" ref="O75:W75" si="78">SUM(O32+O48+O73)</f>
        <v>6797889</v>
      </c>
      <c r="P75" s="312">
        <f t="shared" si="78"/>
        <v>1873425</v>
      </c>
      <c r="Q75" s="312">
        <f t="shared" si="78"/>
        <v>1541649</v>
      </c>
      <c r="R75" s="312">
        <f t="shared" si="78"/>
        <v>15082177</v>
      </c>
      <c r="S75" s="312">
        <f t="shared" si="78"/>
        <v>7237703</v>
      </c>
      <c r="T75" s="312">
        <f t="shared" si="78"/>
        <v>29055970</v>
      </c>
      <c r="U75" s="293">
        <f t="shared" si="78"/>
        <v>4678897</v>
      </c>
      <c r="V75" s="311">
        <f t="shared" si="78"/>
        <v>9538</v>
      </c>
      <c r="W75" s="295">
        <f t="shared" si="78"/>
        <v>33795087</v>
      </c>
      <c r="X75" s="295">
        <f>IFERROR(W75/V75,0)</f>
        <v>3543.2047599077373</v>
      </c>
      <c r="Y75" s="312">
        <f t="shared" ref="Y75:AG75" si="79">SUM(Y32+Y48+Y73)</f>
        <v>7220010</v>
      </c>
      <c r="Z75" s="312">
        <f t="shared" si="79"/>
        <v>2126996</v>
      </c>
      <c r="AA75" s="312">
        <f t="shared" si="79"/>
        <v>1635943</v>
      </c>
      <c r="AB75" s="312">
        <f t="shared" si="79"/>
        <v>15615847</v>
      </c>
      <c r="AC75" s="312">
        <f t="shared" si="79"/>
        <v>7196291</v>
      </c>
      <c r="AD75" s="312">
        <f t="shared" si="79"/>
        <v>29967937</v>
      </c>
      <c r="AE75" s="293">
        <f t="shared" si="79"/>
        <v>4911917</v>
      </c>
      <c r="AF75" s="313">
        <f t="shared" si="79"/>
        <v>9889</v>
      </c>
      <c r="AG75" s="295">
        <f t="shared" si="79"/>
        <v>34493792</v>
      </c>
      <c r="AH75" s="295">
        <f>IFERROR(AG75/AF75,0)</f>
        <v>3488.0970775609262</v>
      </c>
      <c r="AI75" s="312">
        <f t="shared" ref="AI75:AQ75" si="80">SUM(AI32+AI48+AI73)</f>
        <v>7894316</v>
      </c>
      <c r="AJ75" s="312">
        <f t="shared" si="80"/>
        <v>3274408</v>
      </c>
      <c r="AK75" s="312">
        <f t="shared" si="80"/>
        <v>1663408</v>
      </c>
      <c r="AL75" s="312">
        <f t="shared" si="80"/>
        <v>14692037</v>
      </c>
      <c r="AM75" s="312">
        <f t="shared" si="80"/>
        <v>6969623</v>
      </c>
      <c r="AN75" s="312">
        <f t="shared" si="80"/>
        <v>30142033</v>
      </c>
      <c r="AO75" s="293">
        <f t="shared" si="80"/>
        <v>4888944</v>
      </c>
      <c r="AP75" s="311">
        <f t="shared" si="80"/>
        <v>9234</v>
      </c>
      <c r="AQ75" s="295">
        <f t="shared" si="80"/>
        <v>32526879</v>
      </c>
      <c r="AR75" s="295">
        <f>IFERROR(AQ75/AP75,0)</f>
        <v>3522.5123456790125</v>
      </c>
      <c r="AS75" s="312">
        <f t="shared" ref="AS75:AY75" si="81">SUM(AS32+AS48+AS73)</f>
        <v>8128423</v>
      </c>
      <c r="AT75" s="312">
        <f t="shared" si="81"/>
        <v>2232999</v>
      </c>
      <c r="AU75" s="312">
        <f t="shared" si="81"/>
        <v>1722612</v>
      </c>
      <c r="AV75" s="312">
        <f t="shared" si="81"/>
        <v>14208284</v>
      </c>
      <c r="AW75" s="312">
        <f t="shared" si="81"/>
        <v>6234561</v>
      </c>
      <c r="AX75" s="312">
        <f t="shared" si="81"/>
        <v>28252211</v>
      </c>
      <c r="AY75" s="293">
        <f t="shared" si="81"/>
        <v>5325502</v>
      </c>
      <c r="AZ75" s="311">
        <f t="shared" ref="AZ75:BA75" si="82">SUM(AZ32+AZ48+AZ73)</f>
        <v>9636</v>
      </c>
      <c r="BA75" s="295">
        <f t="shared" si="82"/>
        <v>33636704</v>
      </c>
      <c r="BB75" s="295">
        <f>IFERROR(BA75/AZ75,0)</f>
        <v>3490.7330842673309</v>
      </c>
      <c r="BC75" s="312">
        <f t="shared" ref="BC75:BI75" si="83">SUM(BC32+BC48+BC73)</f>
        <v>7577929</v>
      </c>
      <c r="BD75" s="312">
        <f t="shared" si="83"/>
        <v>3769366</v>
      </c>
      <c r="BE75" s="312">
        <f t="shared" si="83"/>
        <v>1864633</v>
      </c>
      <c r="BF75" s="312">
        <f t="shared" si="83"/>
        <v>13900530</v>
      </c>
      <c r="BG75" s="312">
        <f t="shared" si="83"/>
        <v>6524246</v>
      </c>
      <c r="BH75" s="312">
        <f t="shared" si="83"/>
        <v>29420677</v>
      </c>
      <c r="BI75" s="293">
        <f t="shared" si="83"/>
        <v>5340041</v>
      </c>
      <c r="BJ75" s="311">
        <f t="shared" ref="BJ75:BK75" si="84">SUM(BJ32+BJ48+BJ73)</f>
        <v>9189</v>
      </c>
      <c r="BK75" s="295">
        <f t="shared" si="84"/>
        <v>34617204</v>
      </c>
      <c r="BL75" s="295">
        <f>IFERROR(BK75/BJ75,0)</f>
        <v>3767.243878550441</v>
      </c>
      <c r="BM75" s="312">
        <f t="shared" ref="BM75:BS75" si="85">SUM(BM32+BM48+BM73)</f>
        <v>8140022</v>
      </c>
      <c r="BN75" s="312">
        <f t="shared" si="85"/>
        <v>3655772</v>
      </c>
      <c r="BO75" s="312">
        <f t="shared" si="85"/>
        <v>2143122</v>
      </c>
      <c r="BP75" s="312">
        <f t="shared" si="85"/>
        <v>13499115</v>
      </c>
      <c r="BQ75" s="312">
        <f t="shared" si="85"/>
        <v>7179173</v>
      </c>
      <c r="BR75" s="312">
        <f t="shared" si="85"/>
        <v>28994341</v>
      </c>
      <c r="BS75" s="293">
        <f t="shared" si="85"/>
        <v>4878804</v>
      </c>
      <c r="BT75" s="311">
        <f t="shared" ref="BT75:BU75" si="86">SUM(BT32+BT48+BT73)</f>
        <v>8950</v>
      </c>
      <c r="BU75" s="295">
        <f t="shared" si="86"/>
        <v>34520622</v>
      </c>
      <c r="BV75" s="295">
        <f>IFERROR(BU75/BT75,0)</f>
        <v>3857.0527374301678</v>
      </c>
      <c r="BW75" s="312">
        <f t="shared" ref="BW75:CC75" si="87">SUM(BW32+BW48+BW73)</f>
        <v>8997931</v>
      </c>
      <c r="BX75" s="312">
        <f t="shared" si="87"/>
        <v>2930000</v>
      </c>
      <c r="BY75" s="312">
        <f t="shared" si="87"/>
        <v>2749999</v>
      </c>
      <c r="BZ75" s="312">
        <f t="shared" si="87"/>
        <v>12550834</v>
      </c>
      <c r="CA75" s="312">
        <f t="shared" si="87"/>
        <v>7291858</v>
      </c>
      <c r="CB75" s="312">
        <f t="shared" si="87"/>
        <v>29239526.25</v>
      </c>
      <c r="CC75" s="293">
        <f t="shared" si="87"/>
        <v>5547495</v>
      </c>
    </row>
    <row r="76" spans="1:81" ht="15.95" customHeight="1" x14ac:dyDescent="0.2">
      <c r="A76" s="304"/>
      <c r="B76" s="306"/>
      <c r="C76" s="290"/>
      <c r="D76" s="290"/>
      <c r="E76" s="292"/>
      <c r="F76" s="292"/>
      <c r="G76" s="292"/>
      <c r="H76" s="292"/>
      <c r="I76" s="292"/>
      <c r="J76" s="292"/>
      <c r="K76" s="293"/>
      <c r="L76" s="294"/>
      <c r="M76" s="295"/>
      <c r="N76" s="295"/>
      <c r="O76" s="297"/>
      <c r="P76" s="297"/>
      <c r="Q76" s="297"/>
      <c r="R76" s="297"/>
      <c r="S76" s="297"/>
      <c r="T76" s="297"/>
      <c r="U76" s="293"/>
      <c r="V76" s="298"/>
      <c r="W76" s="295"/>
      <c r="X76" s="295"/>
      <c r="Y76" s="297"/>
      <c r="Z76" s="297"/>
      <c r="AA76" s="297"/>
      <c r="AB76" s="297"/>
      <c r="AC76" s="297"/>
      <c r="AD76" s="297"/>
      <c r="AE76" s="293"/>
      <c r="AF76" s="294"/>
      <c r="AG76" s="295"/>
      <c r="AH76" s="295"/>
      <c r="AI76" s="297"/>
      <c r="AJ76" s="297"/>
      <c r="AK76" s="297"/>
      <c r="AL76" s="297"/>
      <c r="AM76" s="297"/>
      <c r="AN76" s="297"/>
      <c r="AO76" s="293"/>
      <c r="AP76" s="298"/>
      <c r="AQ76" s="295"/>
      <c r="AR76" s="295"/>
      <c r="AS76" s="297"/>
      <c r="AT76" s="297"/>
      <c r="AU76" s="297"/>
      <c r="AV76" s="297"/>
      <c r="AW76" s="297"/>
      <c r="AX76" s="297"/>
      <c r="AY76" s="293"/>
      <c r="AZ76" s="298"/>
      <c r="BA76" s="295"/>
      <c r="BB76" s="295"/>
      <c r="BC76" s="297"/>
      <c r="BD76" s="297"/>
      <c r="BE76" s="297"/>
      <c r="BF76" s="297"/>
      <c r="BG76" s="297"/>
      <c r="BH76" s="297"/>
      <c r="BI76" s="293"/>
      <c r="BJ76" s="298"/>
      <c r="BK76" s="295"/>
      <c r="BL76" s="295"/>
      <c r="BM76" s="297"/>
      <c r="BN76" s="297"/>
      <c r="BO76" s="297"/>
      <c r="BP76" s="297"/>
      <c r="BQ76" s="297"/>
      <c r="BR76" s="297"/>
      <c r="BS76" s="293"/>
      <c r="BT76" s="298"/>
      <c r="BU76" s="295"/>
      <c r="BV76" s="295"/>
      <c r="BW76" s="297"/>
      <c r="BX76" s="297"/>
      <c r="BY76" s="297"/>
      <c r="BZ76" s="297"/>
      <c r="CA76" s="297"/>
      <c r="CB76" s="297"/>
      <c r="CC76" s="293"/>
    </row>
    <row r="77" spans="1:81" ht="15.95" customHeight="1" x14ac:dyDescent="0.25">
      <c r="A77" s="299" t="s">
        <v>129</v>
      </c>
      <c r="B77" s="306"/>
      <c r="C77" s="290"/>
      <c r="D77" s="290"/>
      <c r="E77" s="292"/>
      <c r="F77" s="292"/>
      <c r="G77" s="292"/>
      <c r="H77" s="292"/>
      <c r="I77" s="292"/>
      <c r="J77" s="292"/>
      <c r="K77" s="293"/>
      <c r="L77" s="294"/>
      <c r="M77" s="295"/>
      <c r="N77" s="295"/>
      <c r="O77" s="297"/>
      <c r="P77" s="297"/>
      <c r="Q77" s="297"/>
      <c r="R77" s="297"/>
      <c r="S77" s="297"/>
      <c r="T77" s="297"/>
      <c r="U77" s="293"/>
      <c r="V77" s="298"/>
      <c r="W77" s="295"/>
      <c r="X77" s="295"/>
      <c r="Y77" s="297"/>
      <c r="Z77" s="297"/>
      <c r="AA77" s="297"/>
      <c r="AB77" s="297"/>
      <c r="AC77" s="297"/>
      <c r="AD77" s="297"/>
      <c r="AE77" s="293"/>
      <c r="AF77" s="294"/>
      <c r="AG77" s="295"/>
      <c r="AH77" s="295"/>
      <c r="AI77" s="297"/>
      <c r="AJ77" s="297"/>
      <c r="AK77" s="297"/>
      <c r="AL77" s="297"/>
      <c r="AM77" s="297"/>
      <c r="AN77" s="297"/>
      <c r="AO77" s="293"/>
      <c r="AP77" s="298"/>
      <c r="AQ77" s="295"/>
      <c r="AR77" s="295"/>
      <c r="AS77" s="297"/>
      <c r="AT77" s="297"/>
      <c r="AU77" s="297"/>
      <c r="AV77" s="297"/>
      <c r="AW77" s="297"/>
      <c r="AX77" s="297"/>
      <c r="AY77" s="293"/>
      <c r="AZ77" s="298"/>
      <c r="BA77" s="295"/>
      <c r="BB77" s="295"/>
      <c r="BC77" s="297"/>
      <c r="BD77" s="297"/>
      <c r="BE77" s="297"/>
      <c r="BF77" s="297"/>
      <c r="BG77" s="297"/>
      <c r="BH77" s="297"/>
      <c r="BI77" s="293"/>
      <c r="BJ77" s="298"/>
      <c r="BK77" s="295"/>
      <c r="BL77" s="295"/>
      <c r="BM77" s="297"/>
      <c r="BN77" s="297"/>
      <c r="BO77" s="297"/>
      <c r="BP77" s="297"/>
      <c r="BQ77" s="297"/>
      <c r="BR77" s="297"/>
      <c r="BS77" s="293"/>
      <c r="BT77" s="298"/>
      <c r="BU77" s="295"/>
      <c r="BV77" s="295"/>
      <c r="BW77" s="297"/>
      <c r="BX77" s="297"/>
      <c r="BY77" s="297"/>
      <c r="BZ77" s="297"/>
      <c r="CA77" s="297"/>
      <c r="CB77" s="297"/>
      <c r="CC77" s="293"/>
    </row>
    <row r="78" spans="1:81" ht="15.95" customHeight="1" x14ac:dyDescent="0.2">
      <c r="A78" s="304"/>
      <c r="B78" s="306"/>
      <c r="C78" s="290"/>
      <c r="D78" s="290"/>
      <c r="E78" s="292"/>
      <c r="F78" s="292"/>
      <c r="G78" s="292"/>
      <c r="H78" s="292"/>
      <c r="I78" s="292"/>
      <c r="J78" s="292"/>
      <c r="K78" s="293"/>
      <c r="L78" s="294"/>
      <c r="M78" s="295"/>
      <c r="N78" s="295"/>
      <c r="O78" s="297"/>
      <c r="P78" s="297"/>
      <c r="Q78" s="297"/>
      <c r="R78" s="297"/>
      <c r="S78" s="297"/>
      <c r="T78" s="297"/>
      <c r="U78" s="293"/>
      <c r="V78" s="298"/>
      <c r="W78" s="295"/>
      <c r="X78" s="295"/>
      <c r="Y78" s="297"/>
      <c r="Z78" s="297"/>
      <c r="AA78" s="297"/>
      <c r="AB78" s="297"/>
      <c r="AC78" s="297"/>
      <c r="AD78" s="297"/>
      <c r="AE78" s="293"/>
      <c r="AF78" s="294"/>
      <c r="AG78" s="295"/>
      <c r="AH78" s="295"/>
      <c r="AI78" s="297"/>
      <c r="AJ78" s="297"/>
      <c r="AK78" s="297"/>
      <c r="AL78" s="297"/>
      <c r="AM78" s="297"/>
      <c r="AN78" s="297"/>
      <c r="AO78" s="293"/>
      <c r="AP78" s="298"/>
      <c r="AQ78" s="295"/>
      <c r="AR78" s="295"/>
      <c r="AS78" s="297"/>
      <c r="AT78" s="297"/>
      <c r="AU78" s="297"/>
      <c r="AV78" s="297"/>
      <c r="AW78" s="297"/>
      <c r="AX78" s="297"/>
      <c r="AY78" s="293"/>
      <c r="AZ78" s="298"/>
      <c r="BA78" s="295"/>
      <c r="BB78" s="295"/>
      <c r="BC78" s="297"/>
      <c r="BD78" s="297"/>
      <c r="BE78" s="297"/>
      <c r="BF78" s="297"/>
      <c r="BG78" s="297"/>
      <c r="BH78" s="297"/>
      <c r="BI78" s="293"/>
      <c r="BJ78" s="298"/>
      <c r="BK78" s="295"/>
      <c r="BL78" s="295"/>
      <c r="BM78" s="297"/>
      <c r="BN78" s="297"/>
      <c r="BO78" s="297"/>
      <c r="BP78" s="297"/>
      <c r="BQ78" s="297"/>
      <c r="BR78" s="297"/>
      <c r="BS78" s="293"/>
      <c r="BT78" s="298"/>
      <c r="BU78" s="295"/>
      <c r="BV78" s="295"/>
      <c r="BW78" s="297"/>
      <c r="BX78" s="297"/>
      <c r="BY78" s="297"/>
      <c r="BZ78" s="297"/>
      <c r="CA78" s="297"/>
      <c r="CB78" s="297"/>
      <c r="CC78" s="293"/>
    </row>
    <row r="79" spans="1:81" ht="15.95" customHeight="1" x14ac:dyDescent="0.2">
      <c r="A79" s="305" t="s">
        <v>88</v>
      </c>
      <c r="B79" s="306"/>
      <c r="C79" s="290"/>
      <c r="D79" s="290"/>
      <c r="E79" s="292"/>
      <c r="F79" s="292"/>
      <c r="G79" s="292"/>
      <c r="H79" s="292"/>
      <c r="I79" s="292"/>
      <c r="J79" s="292"/>
      <c r="K79" s="293"/>
      <c r="L79" s="294"/>
      <c r="M79" s="295"/>
      <c r="N79" s="295"/>
      <c r="O79" s="297"/>
      <c r="P79" s="297"/>
      <c r="Q79" s="297"/>
      <c r="R79" s="297"/>
      <c r="S79" s="297"/>
      <c r="T79" s="297"/>
      <c r="U79" s="293"/>
      <c r="V79" s="298"/>
      <c r="W79" s="295"/>
      <c r="X79" s="295"/>
      <c r="Y79" s="297"/>
      <c r="Z79" s="297"/>
      <c r="AA79" s="297"/>
      <c r="AB79" s="297"/>
      <c r="AC79" s="297"/>
      <c r="AD79" s="297"/>
      <c r="AE79" s="293"/>
      <c r="AF79" s="294"/>
      <c r="AG79" s="295"/>
      <c r="AH79" s="295"/>
      <c r="AI79" s="297"/>
      <c r="AJ79" s="297"/>
      <c r="AK79" s="297"/>
      <c r="AL79" s="297"/>
      <c r="AM79" s="297"/>
      <c r="AN79" s="297"/>
      <c r="AO79" s="293"/>
      <c r="AP79" s="298"/>
      <c r="AQ79" s="295"/>
      <c r="AR79" s="295"/>
      <c r="AS79" s="297"/>
      <c r="AT79" s="297"/>
      <c r="AU79" s="297"/>
      <c r="AV79" s="297"/>
      <c r="AW79" s="297"/>
      <c r="AX79" s="297"/>
      <c r="AY79" s="293"/>
      <c r="AZ79" s="298"/>
      <c r="BA79" s="295"/>
      <c r="BB79" s="295"/>
      <c r="BC79" s="297"/>
      <c r="BD79" s="297"/>
      <c r="BE79" s="297"/>
      <c r="BF79" s="297"/>
      <c r="BG79" s="297"/>
      <c r="BH79" s="297"/>
      <c r="BI79" s="293"/>
      <c r="BJ79" s="298"/>
      <c r="BK79" s="295"/>
      <c r="BL79" s="295"/>
      <c r="BM79" s="297"/>
      <c r="BN79" s="297"/>
      <c r="BO79" s="297"/>
      <c r="BP79" s="297"/>
      <c r="BQ79" s="297"/>
      <c r="BR79" s="297"/>
      <c r="BS79" s="293"/>
      <c r="BT79" s="298"/>
      <c r="BU79" s="295"/>
      <c r="BV79" s="295"/>
      <c r="BW79" s="297"/>
      <c r="BX79" s="297"/>
      <c r="BY79" s="297"/>
      <c r="BZ79" s="297"/>
      <c r="CA79" s="297"/>
      <c r="CB79" s="297"/>
      <c r="CC79" s="293"/>
    </row>
    <row r="80" spans="1:81" s="308" customFormat="1" ht="15.75" customHeight="1" x14ac:dyDescent="0.2">
      <c r="A80" s="307" t="s">
        <v>130</v>
      </c>
      <c r="B80" s="298">
        <v>262</v>
      </c>
      <c r="C80" s="295">
        <f t="shared" ref="C80:C87" si="88">SUM(E80:I80)</f>
        <v>327268</v>
      </c>
      <c r="D80" s="295">
        <f t="shared" ref="D80:D87" si="89">IFERROR(C80/B80,0)</f>
        <v>1249.1145038167938</v>
      </c>
      <c r="E80" s="297">
        <v>0</v>
      </c>
      <c r="F80" s="297">
        <v>0</v>
      </c>
      <c r="G80" s="297">
        <v>0</v>
      </c>
      <c r="H80" s="297">
        <v>327268</v>
      </c>
      <c r="I80" s="297">
        <v>0</v>
      </c>
      <c r="J80" s="297">
        <v>294541</v>
      </c>
      <c r="K80" s="293">
        <f t="shared" ref="K80:K87" si="90">IF(J80=0,0,(IF(E80&lt;=J80,E80,J80)))</f>
        <v>0</v>
      </c>
      <c r="L80" s="294">
        <v>261</v>
      </c>
      <c r="M80" s="295">
        <f t="shared" ref="M80:M87" si="91">SUM(O80:S80)</f>
        <v>395879</v>
      </c>
      <c r="N80" s="295">
        <f t="shared" ref="N80:N87" si="92">IFERROR(M80/L80,0)</f>
        <v>1516.7777777777778</v>
      </c>
      <c r="O80" s="297">
        <v>0</v>
      </c>
      <c r="P80" s="297">
        <v>0</v>
      </c>
      <c r="Q80" s="297">
        <v>0</v>
      </c>
      <c r="R80" s="297">
        <v>395879</v>
      </c>
      <c r="S80" s="297">
        <v>0</v>
      </c>
      <c r="T80" s="297">
        <v>365972</v>
      </c>
      <c r="U80" s="293">
        <f t="shared" ref="U80:U87" si="93">IF(T80=0,0,(IF(O80&lt;=T80,O80,T80)))</f>
        <v>0</v>
      </c>
      <c r="V80" s="298">
        <v>257</v>
      </c>
      <c r="W80" s="295">
        <f t="shared" ref="W80:W87" si="94">SUM(Y80:AC80)</f>
        <v>381992</v>
      </c>
      <c r="X80" s="295">
        <f t="shared" ref="X80:X87" si="95">IFERROR(W80/V80,0)</f>
        <v>1486.3501945525293</v>
      </c>
      <c r="Y80" s="297">
        <v>0</v>
      </c>
      <c r="Z80" s="297">
        <v>0</v>
      </c>
      <c r="AA80" s="297">
        <v>0</v>
      </c>
      <c r="AB80" s="297">
        <v>381992</v>
      </c>
      <c r="AC80" s="297">
        <v>0</v>
      </c>
      <c r="AD80" s="297">
        <v>351433</v>
      </c>
      <c r="AE80" s="293">
        <f t="shared" ref="AE80:AE87" si="96">IF(AD80=0,0,(IF(Y80&lt;=AD80,Y80,AD80)))</f>
        <v>0</v>
      </c>
      <c r="AF80" s="294">
        <v>267</v>
      </c>
      <c r="AG80" s="295">
        <f t="shared" ref="AG80:AG87" si="97">SUM(AI80:AM80)</f>
        <v>396920</v>
      </c>
      <c r="AH80" s="295">
        <f t="shared" ref="AH80:AH87" si="98">IFERROR(AG80/AF80,0)</f>
        <v>1486.5917602996255</v>
      </c>
      <c r="AI80" s="297">
        <v>0</v>
      </c>
      <c r="AJ80" s="297">
        <v>0</v>
      </c>
      <c r="AK80" s="297">
        <v>0</v>
      </c>
      <c r="AL80" s="297">
        <v>396920</v>
      </c>
      <c r="AM80" s="297">
        <v>0</v>
      </c>
      <c r="AN80" s="297">
        <v>360296</v>
      </c>
      <c r="AO80" s="293">
        <f t="shared" ref="AO80:AO87" si="99">IF(AN80=0,0,(IF(AI80&lt;=AN80,AI80,AN80)))</f>
        <v>0</v>
      </c>
      <c r="AP80" s="298">
        <v>228</v>
      </c>
      <c r="AQ80" s="295">
        <f t="shared" ref="AQ80:AQ87" si="100">SUM(AS80:AW80)</f>
        <v>335783</v>
      </c>
      <c r="AR80" s="295">
        <f t="shared" ref="AR80:AR87" si="101">IFERROR(AQ80/AP80,0)</f>
        <v>1472.7324561403509</v>
      </c>
      <c r="AS80" s="297">
        <v>0</v>
      </c>
      <c r="AT80" s="297">
        <v>0</v>
      </c>
      <c r="AU80" s="297">
        <v>0</v>
      </c>
      <c r="AV80" s="297">
        <v>335783</v>
      </c>
      <c r="AW80" s="297">
        <v>0</v>
      </c>
      <c r="AX80" s="297">
        <v>302205</v>
      </c>
      <c r="AY80" s="293">
        <f t="shared" ref="AY80:AY87" si="102">IF(AX80=0,0,(IF(AS80&lt;=AX80,AS80,AX80)))</f>
        <v>0</v>
      </c>
      <c r="AZ80" s="298">
        <v>181</v>
      </c>
      <c r="BA80" s="295">
        <f t="shared" ref="BA80:BA87" si="103">SUM(BC80:BG80)</f>
        <v>235413</v>
      </c>
      <c r="BB80" s="295">
        <f t="shared" ref="BB80:BB87" si="104">IFERROR(BA80/AZ80,0)</f>
        <v>1300.6243093922651</v>
      </c>
      <c r="BC80" s="297">
        <v>0</v>
      </c>
      <c r="BD80" s="297">
        <v>0</v>
      </c>
      <c r="BE80" s="297">
        <v>0</v>
      </c>
      <c r="BF80" s="297">
        <v>235413</v>
      </c>
      <c r="BG80" s="297">
        <v>0</v>
      </c>
      <c r="BH80" s="297">
        <v>218934</v>
      </c>
      <c r="BI80" s="293">
        <f t="shared" ref="BI80:BI87" si="105">IF(BH80=0,0,(IF(BC80&lt;=BH80,BC80,BH80)))</f>
        <v>0</v>
      </c>
      <c r="BJ80" s="298">
        <v>194</v>
      </c>
      <c r="BK80" s="295">
        <f t="shared" ref="BK80:BK87" si="106">SUM(BM80:BQ80)</f>
        <v>312036</v>
      </c>
      <c r="BL80" s="295">
        <f t="shared" ref="BL80:BL87" si="107">IFERROR(BK80/BJ80,0)</f>
        <v>1608.4329896907216</v>
      </c>
      <c r="BM80" s="297"/>
      <c r="BN80" s="297"/>
      <c r="BO80" s="297"/>
      <c r="BP80" s="297">
        <v>312036</v>
      </c>
      <c r="BQ80" s="297"/>
      <c r="BR80" s="297">
        <v>302818</v>
      </c>
      <c r="BS80" s="293">
        <f t="shared" ref="BS80:BS87" si="108">IF(BR80=0,0,(IF(BM80&lt;=BR80,BM80,BR80)))</f>
        <v>0</v>
      </c>
      <c r="BT80" s="12">
        <v>166</v>
      </c>
      <c r="BU80" s="295">
        <f t="shared" ref="BU80:BU87" si="109">SUM(BW80:CA80)</f>
        <v>277631</v>
      </c>
      <c r="BV80" s="295">
        <f t="shared" ref="BV80:BV87" si="110">IFERROR(BU80/BT80,0)</f>
        <v>1672.4759036144578</v>
      </c>
      <c r="BW80" s="11"/>
      <c r="BX80" s="11"/>
      <c r="BY80" s="11"/>
      <c r="BZ80" s="11">
        <v>277631</v>
      </c>
      <c r="CA80" s="11"/>
      <c r="CB80" s="11">
        <v>257946</v>
      </c>
      <c r="CC80" s="293">
        <f t="shared" ref="CC80:CC87" si="111">IF(CB80=0,0,(IF(BW80&lt;=CB80,BW80,CB80)))</f>
        <v>0</v>
      </c>
    </row>
    <row r="81" spans="1:81" s="308" customFormat="1" ht="15.95" customHeight="1" x14ac:dyDescent="0.2">
      <c r="A81" s="307" t="s">
        <v>131</v>
      </c>
      <c r="B81" s="298">
        <v>37</v>
      </c>
      <c r="C81" s="295">
        <f t="shared" si="88"/>
        <v>83053</v>
      </c>
      <c r="D81" s="295">
        <f t="shared" si="89"/>
        <v>2244.6756756756758</v>
      </c>
      <c r="E81" s="297">
        <v>0</v>
      </c>
      <c r="F81" s="297">
        <v>0</v>
      </c>
      <c r="G81" s="297">
        <v>83053</v>
      </c>
      <c r="H81" s="297">
        <v>0</v>
      </c>
      <c r="I81" s="297">
        <v>0</v>
      </c>
      <c r="J81" s="297">
        <v>83053</v>
      </c>
      <c r="K81" s="293">
        <f t="shared" si="90"/>
        <v>0</v>
      </c>
      <c r="L81" s="294">
        <v>37</v>
      </c>
      <c r="M81" s="295">
        <f t="shared" si="91"/>
        <v>86061</v>
      </c>
      <c r="N81" s="295">
        <f t="shared" si="92"/>
        <v>2325.9729729729729</v>
      </c>
      <c r="O81" s="297">
        <v>0</v>
      </c>
      <c r="P81" s="297">
        <v>0</v>
      </c>
      <c r="Q81" s="297">
        <v>86061</v>
      </c>
      <c r="R81" s="297">
        <v>0</v>
      </c>
      <c r="S81" s="297">
        <v>0</v>
      </c>
      <c r="T81" s="297">
        <v>86061</v>
      </c>
      <c r="U81" s="293">
        <f t="shared" si="93"/>
        <v>0</v>
      </c>
      <c r="V81" s="298">
        <v>37</v>
      </c>
      <c r="W81" s="295">
        <f t="shared" si="94"/>
        <v>95457</v>
      </c>
      <c r="X81" s="295">
        <f t="shared" si="95"/>
        <v>2579.9189189189187</v>
      </c>
      <c r="Y81" s="297">
        <v>0</v>
      </c>
      <c r="Z81" s="297">
        <v>0</v>
      </c>
      <c r="AA81" s="297">
        <v>95457</v>
      </c>
      <c r="AB81" s="297">
        <v>0</v>
      </c>
      <c r="AC81" s="297">
        <v>0</v>
      </c>
      <c r="AD81" s="297">
        <v>95457</v>
      </c>
      <c r="AE81" s="293">
        <f t="shared" si="96"/>
        <v>0</v>
      </c>
      <c r="AF81" s="294">
        <v>29</v>
      </c>
      <c r="AG81" s="295">
        <f t="shared" si="97"/>
        <v>93056</v>
      </c>
      <c r="AH81" s="295">
        <f t="shared" si="98"/>
        <v>3208.8275862068967</v>
      </c>
      <c r="AI81" s="297">
        <v>0</v>
      </c>
      <c r="AJ81" s="297">
        <v>0</v>
      </c>
      <c r="AK81" s="297">
        <v>93056</v>
      </c>
      <c r="AL81" s="297">
        <v>0</v>
      </c>
      <c r="AM81" s="297">
        <v>0</v>
      </c>
      <c r="AN81" s="297">
        <v>87274</v>
      </c>
      <c r="AO81" s="293">
        <f t="shared" si="99"/>
        <v>0</v>
      </c>
      <c r="AP81" s="298">
        <v>21</v>
      </c>
      <c r="AQ81" s="295">
        <f t="shared" si="100"/>
        <v>67056</v>
      </c>
      <c r="AR81" s="295">
        <f t="shared" si="101"/>
        <v>3193.1428571428573</v>
      </c>
      <c r="AS81" s="297">
        <v>0</v>
      </c>
      <c r="AT81" s="297">
        <v>0</v>
      </c>
      <c r="AU81" s="297">
        <v>67056</v>
      </c>
      <c r="AV81" s="297">
        <v>0</v>
      </c>
      <c r="AW81" s="297">
        <v>0</v>
      </c>
      <c r="AX81" s="297">
        <v>67056</v>
      </c>
      <c r="AY81" s="293">
        <f t="shared" si="102"/>
        <v>0</v>
      </c>
      <c r="AZ81" s="298">
        <v>14</v>
      </c>
      <c r="BA81" s="295">
        <f t="shared" si="103"/>
        <v>44663</v>
      </c>
      <c r="BB81" s="295">
        <f t="shared" si="104"/>
        <v>3190.2142857142858</v>
      </c>
      <c r="BC81" s="297">
        <v>0</v>
      </c>
      <c r="BD81" s="297">
        <v>0</v>
      </c>
      <c r="BE81" s="297">
        <v>44663</v>
      </c>
      <c r="BF81" s="297">
        <v>0</v>
      </c>
      <c r="BG81" s="297">
        <v>0</v>
      </c>
      <c r="BH81" s="297">
        <v>44663</v>
      </c>
      <c r="BI81" s="293">
        <f t="shared" si="105"/>
        <v>0</v>
      </c>
      <c r="BJ81" s="298">
        <v>5</v>
      </c>
      <c r="BK81" s="295">
        <f t="shared" si="106"/>
        <v>12642</v>
      </c>
      <c r="BL81" s="295">
        <f t="shared" si="107"/>
        <v>2528.4</v>
      </c>
      <c r="BM81" s="297"/>
      <c r="BN81" s="297"/>
      <c r="BO81" s="297">
        <v>12642</v>
      </c>
      <c r="BP81" s="297"/>
      <c r="BQ81" s="297"/>
      <c r="BR81" s="297">
        <v>10987</v>
      </c>
      <c r="BS81" s="293">
        <f t="shared" si="108"/>
        <v>0</v>
      </c>
      <c r="BT81" s="12">
        <v>13</v>
      </c>
      <c r="BU81" s="295">
        <f t="shared" si="109"/>
        <v>40341</v>
      </c>
      <c r="BV81" s="295">
        <f t="shared" si="110"/>
        <v>3103.1538461538462</v>
      </c>
      <c r="BW81" s="11"/>
      <c r="BX81" s="11"/>
      <c r="BY81" s="11">
        <v>40341</v>
      </c>
      <c r="BZ81" s="11"/>
      <c r="CA81" s="11"/>
      <c r="CB81" s="11">
        <v>39335</v>
      </c>
      <c r="CC81" s="293">
        <f t="shared" si="111"/>
        <v>0</v>
      </c>
    </row>
    <row r="82" spans="1:81" s="308" customFormat="1" ht="15.95" customHeight="1" x14ac:dyDescent="0.2">
      <c r="A82" s="307" t="s">
        <v>132</v>
      </c>
      <c r="B82" s="298">
        <v>8</v>
      </c>
      <c r="C82" s="295">
        <f t="shared" si="88"/>
        <v>11600</v>
      </c>
      <c r="D82" s="295">
        <f t="shared" si="89"/>
        <v>1450</v>
      </c>
      <c r="E82" s="297">
        <v>0</v>
      </c>
      <c r="F82" s="297">
        <v>0</v>
      </c>
      <c r="G82" s="297">
        <v>11600</v>
      </c>
      <c r="H82" s="297">
        <v>0</v>
      </c>
      <c r="I82" s="297">
        <v>0</v>
      </c>
      <c r="J82" s="297">
        <v>11600</v>
      </c>
      <c r="K82" s="293">
        <f t="shared" si="90"/>
        <v>0</v>
      </c>
      <c r="L82" s="294">
        <v>7</v>
      </c>
      <c r="M82" s="295">
        <f t="shared" si="91"/>
        <v>8191</v>
      </c>
      <c r="N82" s="295">
        <f t="shared" si="92"/>
        <v>1170.1428571428571</v>
      </c>
      <c r="O82" s="297">
        <v>0</v>
      </c>
      <c r="P82" s="297">
        <v>0</v>
      </c>
      <c r="Q82" s="297">
        <v>8191</v>
      </c>
      <c r="R82" s="297">
        <v>0</v>
      </c>
      <c r="S82" s="297">
        <v>0</v>
      </c>
      <c r="T82" s="297">
        <v>8191</v>
      </c>
      <c r="U82" s="293">
        <f t="shared" si="93"/>
        <v>0</v>
      </c>
      <c r="V82" s="298">
        <v>6</v>
      </c>
      <c r="W82" s="295">
        <f t="shared" si="94"/>
        <v>15139</v>
      </c>
      <c r="X82" s="295">
        <f t="shared" si="95"/>
        <v>2523.1666666666665</v>
      </c>
      <c r="Y82" s="297">
        <v>0</v>
      </c>
      <c r="Z82" s="297">
        <v>0</v>
      </c>
      <c r="AA82" s="297">
        <v>15139</v>
      </c>
      <c r="AB82" s="297">
        <v>0</v>
      </c>
      <c r="AC82" s="297">
        <v>0</v>
      </c>
      <c r="AD82" s="297">
        <v>15139</v>
      </c>
      <c r="AE82" s="293">
        <f t="shared" si="96"/>
        <v>0</v>
      </c>
      <c r="AF82" s="294">
        <v>0</v>
      </c>
      <c r="AG82" s="295">
        <f t="shared" si="97"/>
        <v>0</v>
      </c>
      <c r="AH82" s="295">
        <f t="shared" si="98"/>
        <v>0</v>
      </c>
      <c r="AI82" s="297">
        <v>0</v>
      </c>
      <c r="AJ82" s="297">
        <v>0</v>
      </c>
      <c r="AK82" s="297">
        <v>0</v>
      </c>
      <c r="AL82" s="297">
        <v>0</v>
      </c>
      <c r="AM82" s="297">
        <v>0</v>
      </c>
      <c r="AN82" s="297">
        <v>0</v>
      </c>
      <c r="AO82" s="293">
        <f t="shared" si="99"/>
        <v>0</v>
      </c>
      <c r="AP82" s="298">
        <v>0</v>
      </c>
      <c r="AQ82" s="295">
        <f t="shared" si="100"/>
        <v>0</v>
      </c>
      <c r="AR82" s="295">
        <f t="shared" si="101"/>
        <v>0</v>
      </c>
      <c r="AS82" s="297">
        <v>0</v>
      </c>
      <c r="AT82" s="297">
        <v>0</v>
      </c>
      <c r="AU82" s="297">
        <v>0</v>
      </c>
      <c r="AV82" s="297">
        <v>0</v>
      </c>
      <c r="AW82" s="297">
        <v>0</v>
      </c>
      <c r="AX82" s="297">
        <v>0</v>
      </c>
      <c r="AY82" s="293">
        <f t="shared" si="102"/>
        <v>0</v>
      </c>
      <c r="AZ82" s="298">
        <v>0</v>
      </c>
      <c r="BA82" s="295">
        <f t="shared" si="103"/>
        <v>0</v>
      </c>
      <c r="BB82" s="295">
        <f t="shared" si="104"/>
        <v>0</v>
      </c>
      <c r="BC82" s="297">
        <v>0</v>
      </c>
      <c r="BD82" s="297">
        <v>0</v>
      </c>
      <c r="BE82" s="297">
        <v>0</v>
      </c>
      <c r="BF82" s="297">
        <v>0</v>
      </c>
      <c r="BG82" s="297">
        <v>0</v>
      </c>
      <c r="BH82" s="297">
        <v>0</v>
      </c>
      <c r="BI82" s="293">
        <f t="shared" si="105"/>
        <v>0</v>
      </c>
      <c r="BJ82" s="298"/>
      <c r="BK82" s="295">
        <f t="shared" si="106"/>
        <v>0</v>
      </c>
      <c r="BL82" s="295">
        <f t="shared" si="107"/>
        <v>0</v>
      </c>
      <c r="BM82" s="297"/>
      <c r="BN82" s="297"/>
      <c r="BO82" s="297"/>
      <c r="BP82" s="297"/>
      <c r="BQ82" s="297"/>
      <c r="BR82" s="297"/>
      <c r="BS82" s="293">
        <f t="shared" si="108"/>
        <v>0</v>
      </c>
      <c r="BT82" s="12"/>
      <c r="BU82" s="295">
        <f t="shared" si="109"/>
        <v>0</v>
      </c>
      <c r="BV82" s="295">
        <f t="shared" si="110"/>
        <v>0</v>
      </c>
      <c r="BW82" s="11"/>
      <c r="BX82" s="11"/>
      <c r="BY82" s="11"/>
      <c r="BZ82" s="11"/>
      <c r="CA82" s="11"/>
      <c r="CB82" s="11"/>
      <c r="CC82" s="293">
        <f t="shared" si="111"/>
        <v>0</v>
      </c>
    </row>
    <row r="83" spans="1:81" s="308" customFormat="1" ht="15.95" customHeight="1" x14ac:dyDescent="0.2">
      <c r="A83" s="56"/>
      <c r="B83" s="298"/>
      <c r="C83" s="295">
        <f t="shared" ref="C83:C84" si="112">SUM(E83:I83)</f>
        <v>0</v>
      </c>
      <c r="D83" s="295">
        <f t="shared" si="89"/>
        <v>0</v>
      </c>
      <c r="E83" s="297"/>
      <c r="F83" s="297"/>
      <c r="G83" s="297"/>
      <c r="H83" s="297"/>
      <c r="I83" s="297"/>
      <c r="J83" s="297"/>
      <c r="K83" s="293">
        <f t="shared" si="90"/>
        <v>0</v>
      </c>
      <c r="L83" s="294"/>
      <c r="M83" s="295">
        <f t="shared" si="91"/>
        <v>0</v>
      </c>
      <c r="N83" s="295">
        <f t="shared" si="92"/>
        <v>0</v>
      </c>
      <c r="O83" s="297"/>
      <c r="P83" s="297"/>
      <c r="Q83" s="297"/>
      <c r="R83" s="297"/>
      <c r="S83" s="297"/>
      <c r="T83" s="297"/>
      <c r="U83" s="293">
        <f t="shared" si="93"/>
        <v>0</v>
      </c>
      <c r="V83" s="298"/>
      <c r="W83" s="295">
        <f t="shared" si="94"/>
        <v>0</v>
      </c>
      <c r="X83" s="295">
        <f t="shared" si="95"/>
        <v>0</v>
      </c>
      <c r="Y83" s="297"/>
      <c r="Z83" s="297"/>
      <c r="AA83" s="297"/>
      <c r="AB83" s="297"/>
      <c r="AC83" s="297"/>
      <c r="AD83" s="297"/>
      <c r="AE83" s="293">
        <f t="shared" si="96"/>
        <v>0</v>
      </c>
      <c r="AF83" s="294"/>
      <c r="AG83" s="295">
        <f t="shared" si="97"/>
        <v>0</v>
      </c>
      <c r="AH83" s="295">
        <f t="shared" si="98"/>
        <v>0</v>
      </c>
      <c r="AI83" s="297"/>
      <c r="AJ83" s="297"/>
      <c r="AK83" s="297"/>
      <c r="AL83" s="297"/>
      <c r="AM83" s="297"/>
      <c r="AN83" s="297"/>
      <c r="AO83" s="293">
        <f t="shared" si="99"/>
        <v>0</v>
      </c>
      <c r="AP83" s="298"/>
      <c r="AQ83" s="295">
        <f t="shared" si="100"/>
        <v>0</v>
      </c>
      <c r="AR83" s="295">
        <f t="shared" si="101"/>
        <v>0</v>
      </c>
      <c r="AS83" s="297"/>
      <c r="AT83" s="297"/>
      <c r="AU83" s="297"/>
      <c r="AV83" s="297"/>
      <c r="AW83" s="297"/>
      <c r="AX83" s="297"/>
      <c r="AY83" s="293">
        <f t="shared" si="102"/>
        <v>0</v>
      </c>
      <c r="AZ83" s="298"/>
      <c r="BA83" s="295">
        <f t="shared" si="103"/>
        <v>0</v>
      </c>
      <c r="BB83" s="295">
        <f t="shared" si="104"/>
        <v>0</v>
      </c>
      <c r="BC83" s="297"/>
      <c r="BD83" s="297"/>
      <c r="BE83" s="297"/>
      <c r="BF83" s="297"/>
      <c r="BG83" s="297"/>
      <c r="BH83" s="297"/>
      <c r="BI83" s="293">
        <f t="shared" si="105"/>
        <v>0</v>
      </c>
      <c r="BJ83" s="298"/>
      <c r="BK83" s="295">
        <f t="shared" si="106"/>
        <v>0</v>
      </c>
      <c r="BL83" s="295">
        <f t="shared" si="107"/>
        <v>0</v>
      </c>
      <c r="BM83" s="297"/>
      <c r="BN83" s="297"/>
      <c r="BO83" s="297"/>
      <c r="BP83" s="297"/>
      <c r="BQ83" s="297"/>
      <c r="BR83" s="297"/>
      <c r="BS83" s="293">
        <f t="shared" si="108"/>
        <v>0</v>
      </c>
      <c r="BT83" s="12"/>
      <c r="BU83" s="295">
        <f t="shared" si="109"/>
        <v>0</v>
      </c>
      <c r="BV83" s="295">
        <f t="shared" si="110"/>
        <v>0</v>
      </c>
      <c r="BW83" s="11"/>
      <c r="BX83" s="11"/>
      <c r="BY83" s="11"/>
      <c r="BZ83" s="11"/>
      <c r="CA83" s="11"/>
      <c r="CB83" s="11"/>
      <c r="CC83" s="293">
        <f t="shared" si="111"/>
        <v>0</v>
      </c>
    </row>
    <row r="84" spans="1:81" s="308" customFormat="1" ht="15.95" customHeight="1" x14ac:dyDescent="0.2">
      <c r="A84" s="56"/>
      <c r="B84" s="298"/>
      <c r="C84" s="295">
        <f t="shared" si="112"/>
        <v>0</v>
      </c>
      <c r="D84" s="295">
        <f t="shared" si="89"/>
        <v>0</v>
      </c>
      <c r="E84" s="297"/>
      <c r="F84" s="297"/>
      <c r="G84" s="297"/>
      <c r="H84" s="297"/>
      <c r="I84" s="297"/>
      <c r="J84" s="297"/>
      <c r="K84" s="293">
        <f t="shared" si="90"/>
        <v>0</v>
      </c>
      <c r="L84" s="294"/>
      <c r="M84" s="295">
        <f t="shared" si="91"/>
        <v>0</v>
      </c>
      <c r="N84" s="295">
        <f t="shared" si="92"/>
        <v>0</v>
      </c>
      <c r="O84" s="297"/>
      <c r="P84" s="297"/>
      <c r="Q84" s="297"/>
      <c r="R84" s="297"/>
      <c r="S84" s="297"/>
      <c r="T84" s="297"/>
      <c r="U84" s="293">
        <f t="shared" si="93"/>
        <v>0</v>
      </c>
      <c r="V84" s="298"/>
      <c r="W84" s="295">
        <f t="shared" si="94"/>
        <v>0</v>
      </c>
      <c r="X84" s="295">
        <f t="shared" si="95"/>
        <v>0</v>
      </c>
      <c r="Y84" s="297"/>
      <c r="Z84" s="297"/>
      <c r="AA84" s="297"/>
      <c r="AB84" s="297"/>
      <c r="AC84" s="297"/>
      <c r="AD84" s="297"/>
      <c r="AE84" s="293">
        <f t="shared" si="96"/>
        <v>0</v>
      </c>
      <c r="AF84" s="294"/>
      <c r="AG84" s="295">
        <f t="shared" si="97"/>
        <v>0</v>
      </c>
      <c r="AH84" s="295">
        <f t="shared" si="98"/>
        <v>0</v>
      </c>
      <c r="AI84" s="297"/>
      <c r="AJ84" s="297"/>
      <c r="AK84" s="297"/>
      <c r="AL84" s="297"/>
      <c r="AM84" s="297"/>
      <c r="AN84" s="297"/>
      <c r="AO84" s="293">
        <f t="shared" si="99"/>
        <v>0</v>
      </c>
      <c r="AP84" s="298"/>
      <c r="AQ84" s="295">
        <f t="shared" si="100"/>
        <v>0</v>
      </c>
      <c r="AR84" s="295">
        <f t="shared" si="101"/>
        <v>0</v>
      </c>
      <c r="AS84" s="297"/>
      <c r="AT84" s="297"/>
      <c r="AU84" s="297"/>
      <c r="AV84" s="297"/>
      <c r="AW84" s="297"/>
      <c r="AX84" s="297"/>
      <c r="AY84" s="293">
        <f t="shared" si="102"/>
        <v>0</v>
      </c>
      <c r="AZ84" s="298"/>
      <c r="BA84" s="295">
        <f t="shared" si="103"/>
        <v>0</v>
      </c>
      <c r="BB84" s="295">
        <f t="shared" si="104"/>
        <v>0</v>
      </c>
      <c r="BC84" s="297"/>
      <c r="BD84" s="297"/>
      <c r="BE84" s="297"/>
      <c r="BF84" s="297"/>
      <c r="BG84" s="297"/>
      <c r="BH84" s="297"/>
      <c r="BI84" s="293">
        <f t="shared" si="105"/>
        <v>0</v>
      </c>
      <c r="BJ84" s="298"/>
      <c r="BK84" s="295">
        <f t="shared" si="106"/>
        <v>0</v>
      </c>
      <c r="BL84" s="295">
        <f t="shared" si="107"/>
        <v>0</v>
      </c>
      <c r="BM84" s="297"/>
      <c r="BN84" s="297"/>
      <c r="BO84" s="297"/>
      <c r="BP84" s="297"/>
      <c r="BQ84" s="297"/>
      <c r="BR84" s="297"/>
      <c r="BS84" s="293">
        <f t="shared" si="108"/>
        <v>0</v>
      </c>
      <c r="BT84" s="12"/>
      <c r="BU84" s="295">
        <f t="shared" si="109"/>
        <v>0</v>
      </c>
      <c r="BV84" s="295">
        <f t="shared" si="110"/>
        <v>0</v>
      </c>
      <c r="BW84" s="11"/>
      <c r="BX84" s="11"/>
      <c r="BY84" s="11"/>
      <c r="BZ84" s="11"/>
      <c r="CA84" s="11"/>
      <c r="CB84" s="11"/>
      <c r="CC84" s="293">
        <f t="shared" si="111"/>
        <v>0</v>
      </c>
    </row>
    <row r="85" spans="1:81" s="308" customFormat="1" ht="15.95" customHeight="1" x14ac:dyDescent="0.2">
      <c r="A85" s="56"/>
      <c r="B85" s="298"/>
      <c r="C85" s="295">
        <f t="shared" si="88"/>
        <v>0</v>
      </c>
      <c r="D85" s="295">
        <f t="shared" si="89"/>
        <v>0</v>
      </c>
      <c r="E85" s="297"/>
      <c r="F85" s="297"/>
      <c r="G85" s="297"/>
      <c r="H85" s="297"/>
      <c r="I85" s="297"/>
      <c r="J85" s="297"/>
      <c r="K85" s="293">
        <f t="shared" si="90"/>
        <v>0</v>
      </c>
      <c r="L85" s="294"/>
      <c r="M85" s="295">
        <f t="shared" si="91"/>
        <v>0</v>
      </c>
      <c r="N85" s="295">
        <f t="shared" si="92"/>
        <v>0</v>
      </c>
      <c r="O85" s="297"/>
      <c r="P85" s="297"/>
      <c r="Q85" s="297"/>
      <c r="R85" s="297"/>
      <c r="S85" s="297"/>
      <c r="T85" s="297"/>
      <c r="U85" s="293">
        <f t="shared" si="93"/>
        <v>0</v>
      </c>
      <c r="V85" s="298"/>
      <c r="W85" s="295">
        <f t="shared" si="94"/>
        <v>0</v>
      </c>
      <c r="X85" s="295">
        <f t="shared" si="95"/>
        <v>0</v>
      </c>
      <c r="Y85" s="297"/>
      <c r="Z85" s="297"/>
      <c r="AA85" s="297"/>
      <c r="AB85" s="297"/>
      <c r="AC85" s="297"/>
      <c r="AD85" s="297"/>
      <c r="AE85" s="293">
        <f t="shared" si="96"/>
        <v>0</v>
      </c>
      <c r="AF85" s="294"/>
      <c r="AG85" s="295">
        <f t="shared" si="97"/>
        <v>0</v>
      </c>
      <c r="AH85" s="295">
        <f t="shared" si="98"/>
        <v>0</v>
      </c>
      <c r="AI85" s="297"/>
      <c r="AJ85" s="297"/>
      <c r="AK85" s="297"/>
      <c r="AL85" s="297"/>
      <c r="AM85" s="297"/>
      <c r="AN85" s="297"/>
      <c r="AO85" s="293">
        <f t="shared" si="99"/>
        <v>0</v>
      </c>
      <c r="AP85" s="298"/>
      <c r="AQ85" s="295">
        <f t="shared" si="100"/>
        <v>0</v>
      </c>
      <c r="AR85" s="295">
        <f t="shared" si="101"/>
        <v>0</v>
      </c>
      <c r="AS85" s="297"/>
      <c r="AT85" s="297"/>
      <c r="AU85" s="297"/>
      <c r="AV85" s="297"/>
      <c r="AW85" s="297"/>
      <c r="AX85" s="297"/>
      <c r="AY85" s="293">
        <f t="shared" si="102"/>
        <v>0</v>
      </c>
      <c r="AZ85" s="298"/>
      <c r="BA85" s="295">
        <f t="shared" si="103"/>
        <v>0</v>
      </c>
      <c r="BB85" s="295">
        <f t="shared" si="104"/>
        <v>0</v>
      </c>
      <c r="BC85" s="297"/>
      <c r="BD85" s="297"/>
      <c r="BE85" s="297"/>
      <c r="BF85" s="297"/>
      <c r="BG85" s="297"/>
      <c r="BH85" s="297"/>
      <c r="BI85" s="293">
        <f t="shared" si="105"/>
        <v>0</v>
      </c>
      <c r="BJ85" s="298"/>
      <c r="BK85" s="295">
        <f t="shared" si="106"/>
        <v>0</v>
      </c>
      <c r="BL85" s="295">
        <f t="shared" si="107"/>
        <v>0</v>
      </c>
      <c r="BM85" s="297"/>
      <c r="BN85" s="297"/>
      <c r="BO85" s="297"/>
      <c r="BP85" s="297"/>
      <c r="BQ85" s="297"/>
      <c r="BR85" s="297"/>
      <c r="BS85" s="293">
        <f t="shared" si="108"/>
        <v>0</v>
      </c>
      <c r="BT85" s="12"/>
      <c r="BU85" s="295">
        <f t="shared" si="109"/>
        <v>0</v>
      </c>
      <c r="BV85" s="295">
        <f t="shared" si="110"/>
        <v>0</v>
      </c>
      <c r="BW85" s="11"/>
      <c r="BX85" s="11"/>
      <c r="BY85" s="11"/>
      <c r="BZ85" s="11"/>
      <c r="CA85" s="11"/>
      <c r="CB85" s="11"/>
      <c r="CC85" s="293">
        <f t="shared" si="111"/>
        <v>0</v>
      </c>
    </row>
    <row r="86" spans="1:81" s="308" customFormat="1" ht="15.95" customHeight="1" x14ac:dyDescent="0.2">
      <c r="A86" s="56"/>
      <c r="B86" s="298"/>
      <c r="C86" s="295">
        <f t="shared" si="88"/>
        <v>0</v>
      </c>
      <c r="D86" s="295">
        <f t="shared" si="89"/>
        <v>0</v>
      </c>
      <c r="E86" s="297"/>
      <c r="F86" s="297"/>
      <c r="G86" s="297"/>
      <c r="H86" s="297"/>
      <c r="I86" s="297"/>
      <c r="J86" s="297"/>
      <c r="K86" s="293">
        <f t="shared" si="90"/>
        <v>0</v>
      </c>
      <c r="L86" s="294"/>
      <c r="M86" s="295">
        <f t="shared" si="91"/>
        <v>0</v>
      </c>
      <c r="N86" s="295">
        <f t="shared" si="92"/>
        <v>0</v>
      </c>
      <c r="O86" s="297"/>
      <c r="P86" s="297"/>
      <c r="Q86" s="297"/>
      <c r="R86" s="297"/>
      <c r="S86" s="297"/>
      <c r="T86" s="297"/>
      <c r="U86" s="293">
        <f t="shared" si="93"/>
        <v>0</v>
      </c>
      <c r="V86" s="298"/>
      <c r="W86" s="295">
        <f t="shared" si="94"/>
        <v>0</v>
      </c>
      <c r="X86" s="295">
        <f t="shared" si="95"/>
        <v>0</v>
      </c>
      <c r="Y86" s="297"/>
      <c r="Z86" s="297"/>
      <c r="AA86" s="297"/>
      <c r="AB86" s="297"/>
      <c r="AC86" s="297"/>
      <c r="AD86" s="297"/>
      <c r="AE86" s="293">
        <f t="shared" si="96"/>
        <v>0</v>
      </c>
      <c r="AF86" s="294"/>
      <c r="AG86" s="295">
        <f t="shared" si="97"/>
        <v>0</v>
      </c>
      <c r="AH86" s="295">
        <f t="shared" si="98"/>
        <v>0</v>
      </c>
      <c r="AI86" s="297"/>
      <c r="AJ86" s="297"/>
      <c r="AK86" s="297"/>
      <c r="AL86" s="297"/>
      <c r="AM86" s="297"/>
      <c r="AN86" s="297"/>
      <c r="AO86" s="293">
        <f t="shared" si="99"/>
        <v>0</v>
      </c>
      <c r="AP86" s="298"/>
      <c r="AQ86" s="295">
        <f t="shared" si="100"/>
        <v>0</v>
      </c>
      <c r="AR86" s="295">
        <f t="shared" si="101"/>
        <v>0</v>
      </c>
      <c r="AS86" s="297"/>
      <c r="AT86" s="297"/>
      <c r="AU86" s="297"/>
      <c r="AV86" s="297"/>
      <c r="AW86" s="297"/>
      <c r="AX86" s="297"/>
      <c r="AY86" s="293">
        <f t="shared" si="102"/>
        <v>0</v>
      </c>
      <c r="AZ86" s="298"/>
      <c r="BA86" s="295">
        <f t="shared" si="103"/>
        <v>0</v>
      </c>
      <c r="BB86" s="295">
        <f t="shared" si="104"/>
        <v>0</v>
      </c>
      <c r="BC86" s="297"/>
      <c r="BD86" s="297"/>
      <c r="BE86" s="297"/>
      <c r="BF86" s="297"/>
      <c r="BG86" s="297"/>
      <c r="BH86" s="297"/>
      <c r="BI86" s="293">
        <f t="shared" si="105"/>
        <v>0</v>
      </c>
      <c r="BJ86" s="298"/>
      <c r="BK86" s="295">
        <f t="shared" si="106"/>
        <v>0</v>
      </c>
      <c r="BL86" s="295">
        <f t="shared" si="107"/>
        <v>0</v>
      </c>
      <c r="BM86" s="297"/>
      <c r="BN86" s="297"/>
      <c r="BO86" s="297"/>
      <c r="BP86" s="297"/>
      <c r="BQ86" s="297"/>
      <c r="BR86" s="297"/>
      <c r="BS86" s="293">
        <f t="shared" si="108"/>
        <v>0</v>
      </c>
      <c r="BT86" s="12"/>
      <c r="BU86" s="295">
        <f t="shared" si="109"/>
        <v>0</v>
      </c>
      <c r="BV86" s="295">
        <f t="shared" si="110"/>
        <v>0</v>
      </c>
      <c r="BW86" s="11"/>
      <c r="BX86" s="11"/>
      <c r="BY86" s="11"/>
      <c r="BZ86" s="11"/>
      <c r="CA86" s="11"/>
      <c r="CB86" s="11"/>
      <c r="CC86" s="293">
        <f t="shared" si="111"/>
        <v>0</v>
      </c>
    </row>
    <row r="87" spans="1:81" s="308" customFormat="1" ht="15.95" customHeight="1" x14ac:dyDescent="0.2">
      <c r="A87" s="56"/>
      <c r="B87" s="298"/>
      <c r="C87" s="295">
        <f t="shared" si="88"/>
        <v>0</v>
      </c>
      <c r="D87" s="295">
        <f t="shared" si="89"/>
        <v>0</v>
      </c>
      <c r="E87" s="297"/>
      <c r="F87" s="297"/>
      <c r="G87" s="297"/>
      <c r="H87" s="297"/>
      <c r="I87" s="297"/>
      <c r="J87" s="297"/>
      <c r="K87" s="293">
        <f t="shared" si="90"/>
        <v>0</v>
      </c>
      <c r="L87" s="294"/>
      <c r="M87" s="295">
        <f t="shared" si="91"/>
        <v>0</v>
      </c>
      <c r="N87" s="295">
        <f t="shared" si="92"/>
        <v>0</v>
      </c>
      <c r="O87" s="297"/>
      <c r="P87" s="297"/>
      <c r="Q87" s="297"/>
      <c r="R87" s="297"/>
      <c r="S87" s="297"/>
      <c r="T87" s="297"/>
      <c r="U87" s="293">
        <f t="shared" si="93"/>
        <v>0</v>
      </c>
      <c r="V87" s="298"/>
      <c r="W87" s="295">
        <f t="shared" si="94"/>
        <v>0</v>
      </c>
      <c r="X87" s="295">
        <f t="shared" si="95"/>
        <v>0</v>
      </c>
      <c r="Y87" s="297"/>
      <c r="Z87" s="297"/>
      <c r="AA87" s="297"/>
      <c r="AB87" s="297"/>
      <c r="AC87" s="297"/>
      <c r="AD87" s="297"/>
      <c r="AE87" s="293">
        <f t="shared" si="96"/>
        <v>0</v>
      </c>
      <c r="AF87" s="294"/>
      <c r="AG87" s="295">
        <f t="shared" si="97"/>
        <v>0</v>
      </c>
      <c r="AH87" s="295">
        <f t="shared" si="98"/>
        <v>0</v>
      </c>
      <c r="AI87" s="297"/>
      <c r="AJ87" s="297"/>
      <c r="AK87" s="297"/>
      <c r="AL87" s="297"/>
      <c r="AM87" s="297"/>
      <c r="AN87" s="297"/>
      <c r="AO87" s="293">
        <f t="shared" si="99"/>
        <v>0</v>
      </c>
      <c r="AP87" s="298"/>
      <c r="AQ87" s="295">
        <f t="shared" si="100"/>
        <v>0</v>
      </c>
      <c r="AR87" s="295">
        <f t="shared" si="101"/>
        <v>0</v>
      </c>
      <c r="AS87" s="297"/>
      <c r="AT87" s="297"/>
      <c r="AU87" s="297"/>
      <c r="AV87" s="297"/>
      <c r="AW87" s="297"/>
      <c r="AX87" s="297"/>
      <c r="AY87" s="293">
        <f t="shared" si="102"/>
        <v>0</v>
      </c>
      <c r="AZ87" s="298"/>
      <c r="BA87" s="295">
        <f t="shared" si="103"/>
        <v>0</v>
      </c>
      <c r="BB87" s="295">
        <f t="shared" si="104"/>
        <v>0</v>
      </c>
      <c r="BC87" s="297"/>
      <c r="BD87" s="297"/>
      <c r="BE87" s="297"/>
      <c r="BF87" s="297"/>
      <c r="BG87" s="297"/>
      <c r="BH87" s="297"/>
      <c r="BI87" s="293">
        <f t="shared" si="105"/>
        <v>0</v>
      </c>
      <c r="BJ87" s="298"/>
      <c r="BK87" s="295">
        <f t="shared" si="106"/>
        <v>0</v>
      </c>
      <c r="BL87" s="295">
        <f t="shared" si="107"/>
        <v>0</v>
      </c>
      <c r="BM87" s="297"/>
      <c r="BN87" s="297"/>
      <c r="BO87" s="297"/>
      <c r="BP87" s="297"/>
      <c r="BQ87" s="297"/>
      <c r="BR87" s="297"/>
      <c r="BS87" s="293">
        <f t="shared" si="108"/>
        <v>0</v>
      </c>
      <c r="BT87" s="12"/>
      <c r="BU87" s="295">
        <f t="shared" si="109"/>
        <v>0</v>
      </c>
      <c r="BV87" s="295">
        <f t="shared" si="110"/>
        <v>0</v>
      </c>
      <c r="BW87" s="11"/>
      <c r="BX87" s="11"/>
      <c r="BY87" s="11"/>
      <c r="BZ87" s="11"/>
      <c r="CA87" s="11"/>
      <c r="CB87" s="11"/>
      <c r="CC87" s="293">
        <f t="shared" si="111"/>
        <v>0</v>
      </c>
    </row>
    <row r="88" spans="1:81" ht="15.95" customHeight="1" x14ac:dyDescent="0.2">
      <c r="A88" s="309" t="s">
        <v>102</v>
      </c>
      <c r="B88" s="306"/>
      <c r="C88" s="290"/>
      <c r="D88" s="290"/>
      <c r="E88" s="292"/>
      <c r="F88" s="292"/>
      <c r="G88" s="292"/>
      <c r="H88" s="292"/>
      <c r="I88" s="292"/>
      <c r="J88" s="292"/>
      <c r="K88" s="293"/>
      <c r="L88" s="294"/>
      <c r="M88" s="295"/>
      <c r="N88" s="295"/>
      <c r="O88" s="297"/>
      <c r="P88" s="297"/>
      <c r="Q88" s="297"/>
      <c r="R88" s="297"/>
      <c r="S88" s="297"/>
      <c r="T88" s="297"/>
      <c r="U88" s="293"/>
      <c r="V88" s="298"/>
      <c r="W88" s="295"/>
      <c r="X88" s="295"/>
      <c r="Y88" s="297"/>
      <c r="Z88" s="297"/>
      <c r="AA88" s="297"/>
      <c r="AB88" s="297"/>
      <c r="AC88" s="297"/>
      <c r="AD88" s="297"/>
      <c r="AE88" s="293"/>
      <c r="AF88" s="294"/>
      <c r="AG88" s="295"/>
      <c r="AH88" s="295"/>
      <c r="AI88" s="297"/>
      <c r="AJ88" s="297"/>
      <c r="AK88" s="297"/>
      <c r="AL88" s="297"/>
      <c r="AM88" s="297"/>
      <c r="AN88" s="297"/>
      <c r="AO88" s="293"/>
      <c r="AP88" s="298"/>
      <c r="AQ88" s="295"/>
      <c r="AR88" s="295"/>
      <c r="AS88" s="297"/>
      <c r="AT88" s="297"/>
      <c r="AU88" s="297"/>
      <c r="AV88" s="297"/>
      <c r="AW88" s="297"/>
      <c r="AX88" s="297"/>
      <c r="AY88" s="293"/>
      <c r="AZ88" s="298"/>
      <c r="BA88" s="295"/>
      <c r="BB88" s="295"/>
      <c r="BC88" s="297"/>
      <c r="BD88" s="297"/>
      <c r="BE88" s="297"/>
      <c r="BF88" s="297"/>
      <c r="BG88" s="297"/>
      <c r="BH88" s="297"/>
      <c r="BI88" s="293"/>
      <c r="BJ88" s="298"/>
      <c r="BK88" s="295"/>
      <c r="BL88" s="295"/>
      <c r="BM88" s="297"/>
      <c r="BN88" s="297"/>
      <c r="BO88" s="297"/>
      <c r="BP88" s="297"/>
      <c r="BQ88" s="297"/>
      <c r="BR88" s="297"/>
      <c r="BS88" s="293"/>
      <c r="BT88" s="298"/>
      <c r="BU88" s="295"/>
      <c r="BV88" s="295"/>
      <c r="BW88" s="297"/>
      <c r="BX88" s="297"/>
      <c r="BY88" s="297"/>
      <c r="BZ88" s="297"/>
      <c r="CA88" s="297"/>
      <c r="CB88" s="297"/>
      <c r="CC88" s="293"/>
    </row>
    <row r="89" spans="1:81" s="308" customFormat="1" ht="15.95" customHeight="1" x14ac:dyDescent="0.2">
      <c r="A89" s="310" t="s">
        <v>103</v>
      </c>
      <c r="B89" s="311">
        <f>SUM(B$79:B88)</f>
        <v>307</v>
      </c>
      <c r="C89" s="295">
        <f>SUM(C$79:C88)</f>
        <v>421921</v>
      </c>
      <c r="D89" s="295">
        <f>IFERROR(C89/B89,0)</f>
        <v>1374.3355048859935</v>
      </c>
      <c r="E89" s="312">
        <f>SUM(E$79:E88)</f>
        <v>0</v>
      </c>
      <c r="F89" s="312">
        <f>SUM(F$79:F88)</f>
        <v>0</v>
      </c>
      <c r="G89" s="312">
        <f>SUM(G$79:G88)</f>
        <v>94653</v>
      </c>
      <c r="H89" s="312">
        <f>SUM(H$79:H88)</f>
        <v>327268</v>
      </c>
      <c r="I89" s="312">
        <f>SUM(I$79:I88)</f>
        <v>0</v>
      </c>
      <c r="J89" s="312">
        <f>SUM(J$79:J88)</f>
        <v>389194</v>
      </c>
      <c r="K89" s="293">
        <f>SUM(K$79:K88)</f>
        <v>0</v>
      </c>
      <c r="L89" s="313">
        <f>SUM(L$79:L88)</f>
        <v>305</v>
      </c>
      <c r="M89" s="295">
        <f>SUM(M$79:M88)</f>
        <v>490131</v>
      </c>
      <c r="N89" s="295">
        <f>IFERROR(M89/L89,0)</f>
        <v>1606.9868852459017</v>
      </c>
      <c r="O89" s="312">
        <f>SUM(O$79:O88)</f>
        <v>0</v>
      </c>
      <c r="P89" s="312">
        <f>SUM(P$79:P88)</f>
        <v>0</v>
      </c>
      <c r="Q89" s="312">
        <f>SUM(Q$79:Q88)</f>
        <v>94252</v>
      </c>
      <c r="R89" s="312">
        <f>SUM(R$79:R88)</f>
        <v>395879</v>
      </c>
      <c r="S89" s="312">
        <f>SUM(S$79:S88)</f>
        <v>0</v>
      </c>
      <c r="T89" s="312">
        <f>SUM(T$79:T88)</f>
        <v>460224</v>
      </c>
      <c r="U89" s="293">
        <f>SUM(U$79:U88)</f>
        <v>0</v>
      </c>
      <c r="V89" s="311">
        <f>SUM(V$79:V88)</f>
        <v>300</v>
      </c>
      <c r="W89" s="295">
        <f>SUM(W$79:W88)</f>
        <v>492588</v>
      </c>
      <c r="X89" s="295">
        <f>IFERROR(W89/V89,0)</f>
        <v>1641.96</v>
      </c>
      <c r="Y89" s="312">
        <f>SUM(Y$79:Y88)</f>
        <v>0</v>
      </c>
      <c r="Z89" s="312">
        <f>SUM(Z$79:Z88)</f>
        <v>0</v>
      </c>
      <c r="AA89" s="312">
        <f>SUM(AA$79:AA88)</f>
        <v>110596</v>
      </c>
      <c r="AB89" s="312">
        <f>SUM(AB$79:AB88)</f>
        <v>381992</v>
      </c>
      <c r="AC89" s="312">
        <f>SUM(AC$79:AC88)</f>
        <v>0</v>
      </c>
      <c r="AD89" s="312">
        <f>SUM(AD$79:AD88)</f>
        <v>462029</v>
      </c>
      <c r="AE89" s="293">
        <f>SUM(AE$79:AE88)</f>
        <v>0</v>
      </c>
      <c r="AF89" s="313">
        <f>SUM(AF$79:AF88)</f>
        <v>296</v>
      </c>
      <c r="AG89" s="295">
        <f>SUM(AG$79:AG88)</f>
        <v>489976</v>
      </c>
      <c r="AH89" s="295">
        <f>IFERROR(AG89/AF89,0)</f>
        <v>1655.3243243243244</v>
      </c>
      <c r="AI89" s="312">
        <f>SUM(AI$79:AI88)</f>
        <v>0</v>
      </c>
      <c r="AJ89" s="312">
        <f>SUM(AJ$79:AJ88)</f>
        <v>0</v>
      </c>
      <c r="AK89" s="312">
        <f>SUM(AK$79:AK88)</f>
        <v>93056</v>
      </c>
      <c r="AL89" s="312">
        <f>SUM(AL$79:AL88)</f>
        <v>396920</v>
      </c>
      <c r="AM89" s="312">
        <f>SUM(AM$79:AM88)</f>
        <v>0</v>
      </c>
      <c r="AN89" s="312">
        <f>SUM(AN$79:AN88)</f>
        <v>447570</v>
      </c>
      <c r="AO89" s="293">
        <f>SUM(AO$79:AO88)</f>
        <v>0</v>
      </c>
      <c r="AP89" s="311">
        <f>SUM(AP$79:AP88)</f>
        <v>249</v>
      </c>
      <c r="AQ89" s="295">
        <f>SUM(AQ$79:AQ88)</f>
        <v>402839</v>
      </c>
      <c r="AR89" s="295">
        <f>IFERROR(AQ89/AP89,0)</f>
        <v>1617.8273092369477</v>
      </c>
      <c r="AS89" s="312">
        <f>SUM(AS$79:AS88)</f>
        <v>0</v>
      </c>
      <c r="AT89" s="312">
        <f>SUM(AT$79:AT88)</f>
        <v>0</v>
      </c>
      <c r="AU89" s="312">
        <f>SUM(AU$79:AU88)</f>
        <v>67056</v>
      </c>
      <c r="AV89" s="312">
        <f>SUM(AV$79:AV88)</f>
        <v>335783</v>
      </c>
      <c r="AW89" s="312">
        <f>SUM(AW$79:AW88)</f>
        <v>0</v>
      </c>
      <c r="AX89" s="312">
        <f>SUM(AX$79:AX88)</f>
        <v>369261</v>
      </c>
      <c r="AY89" s="293">
        <f>SUM(AY$79:AY88)</f>
        <v>0</v>
      </c>
      <c r="AZ89" s="311">
        <f>SUM(AZ$79:AZ88)</f>
        <v>195</v>
      </c>
      <c r="BA89" s="295">
        <f>SUM(BA$79:BA88)</f>
        <v>280076</v>
      </c>
      <c r="BB89" s="295">
        <f>IFERROR(BA89/AZ89,0)</f>
        <v>1436.2871794871794</v>
      </c>
      <c r="BC89" s="312">
        <f>SUM(BC$79:BC88)</f>
        <v>0</v>
      </c>
      <c r="BD89" s="312">
        <f>SUM(BD$79:BD88)</f>
        <v>0</v>
      </c>
      <c r="BE89" s="312">
        <f>SUM(BE$79:BE88)</f>
        <v>44663</v>
      </c>
      <c r="BF89" s="312">
        <f>SUM(BF$79:BF88)</f>
        <v>235413</v>
      </c>
      <c r="BG89" s="312">
        <f>SUM(BG$79:BG88)</f>
        <v>0</v>
      </c>
      <c r="BH89" s="312">
        <f>SUM(BH$79:BH88)</f>
        <v>263597</v>
      </c>
      <c r="BI89" s="293">
        <f>SUM(BI$79:BI88)</f>
        <v>0</v>
      </c>
      <c r="BJ89" s="311">
        <f>SUM(BJ$79:BJ88)</f>
        <v>199</v>
      </c>
      <c r="BK89" s="295">
        <f>SUM(BK$79:BK88)</f>
        <v>324678</v>
      </c>
      <c r="BL89" s="295">
        <f>IFERROR(BK89/BJ89,0)</f>
        <v>1631.5477386934674</v>
      </c>
      <c r="BM89" s="312">
        <f>SUM(BM$79:BM88)</f>
        <v>0</v>
      </c>
      <c r="BN89" s="312">
        <f>SUM(BN$79:BN88)</f>
        <v>0</v>
      </c>
      <c r="BO89" s="312">
        <f>SUM(BO$79:BO88)</f>
        <v>12642</v>
      </c>
      <c r="BP89" s="312">
        <f>SUM(BP$79:BP88)</f>
        <v>312036</v>
      </c>
      <c r="BQ89" s="312">
        <f>SUM(BQ$79:BQ88)</f>
        <v>0</v>
      </c>
      <c r="BR89" s="312">
        <f>SUM(BR$79:BR88)</f>
        <v>313805</v>
      </c>
      <c r="BS89" s="293">
        <f>SUM(BS$79:BS88)</f>
        <v>0</v>
      </c>
      <c r="BT89" s="311">
        <f>SUM(BT$79:BT88)</f>
        <v>179</v>
      </c>
      <c r="BU89" s="295">
        <f>SUM(BU$79:BU88)</f>
        <v>317972</v>
      </c>
      <c r="BV89" s="295">
        <f>IFERROR(BU89/BT89,0)</f>
        <v>1776.3798882681565</v>
      </c>
      <c r="BW89" s="312">
        <f>SUM(BW$79:BW88)</f>
        <v>0</v>
      </c>
      <c r="BX89" s="312">
        <f>SUM(BX$79:BX88)</f>
        <v>0</v>
      </c>
      <c r="BY89" s="312">
        <f>SUM(BY$79:BY88)</f>
        <v>40341</v>
      </c>
      <c r="BZ89" s="312">
        <f>SUM(BZ$79:BZ88)</f>
        <v>277631</v>
      </c>
      <c r="CA89" s="312">
        <f>SUM(CA$79:CA88)</f>
        <v>0</v>
      </c>
      <c r="CB89" s="312">
        <f>SUM(CB$79:CB88)</f>
        <v>297281</v>
      </c>
      <c r="CC89" s="293">
        <f>SUM(CC$79:CC88)</f>
        <v>0</v>
      </c>
    </row>
    <row r="90" spans="1:81" ht="15.95" customHeight="1" x14ac:dyDescent="0.2">
      <c r="A90" s="304"/>
      <c r="B90" s="306"/>
      <c r="C90" s="290"/>
      <c r="D90" s="290"/>
      <c r="E90" s="292"/>
      <c r="F90" s="292"/>
      <c r="G90" s="292"/>
      <c r="H90" s="292"/>
      <c r="I90" s="292"/>
      <c r="J90" s="292"/>
      <c r="K90" s="293"/>
      <c r="L90" s="294"/>
      <c r="M90" s="295"/>
      <c r="N90" s="295"/>
      <c r="O90" s="297"/>
      <c r="P90" s="297"/>
      <c r="Q90" s="297"/>
      <c r="R90" s="297"/>
      <c r="S90" s="297"/>
      <c r="T90" s="297"/>
      <c r="U90" s="293"/>
      <c r="V90" s="298"/>
      <c r="W90" s="295"/>
      <c r="X90" s="295"/>
      <c r="Y90" s="297"/>
      <c r="Z90" s="297"/>
      <c r="AA90" s="297"/>
      <c r="AB90" s="297"/>
      <c r="AC90" s="297"/>
      <c r="AD90" s="297"/>
      <c r="AE90" s="293"/>
      <c r="AF90" s="294"/>
      <c r="AG90" s="295"/>
      <c r="AH90" s="295"/>
      <c r="AI90" s="297"/>
      <c r="AJ90" s="297"/>
      <c r="AK90" s="297"/>
      <c r="AL90" s="297"/>
      <c r="AM90" s="297"/>
      <c r="AN90" s="297"/>
      <c r="AO90" s="293"/>
      <c r="AP90" s="298"/>
      <c r="AQ90" s="295"/>
      <c r="AR90" s="295"/>
      <c r="AS90" s="297"/>
      <c r="AT90" s="297"/>
      <c r="AU90" s="297"/>
      <c r="AV90" s="297"/>
      <c r="AW90" s="297"/>
      <c r="AX90" s="297"/>
      <c r="AY90" s="293"/>
      <c r="AZ90" s="298"/>
      <c r="BA90" s="295"/>
      <c r="BB90" s="295"/>
      <c r="BC90" s="297"/>
      <c r="BD90" s="297"/>
      <c r="BE90" s="297"/>
      <c r="BF90" s="297"/>
      <c r="BG90" s="297"/>
      <c r="BH90" s="297"/>
      <c r="BI90" s="293"/>
      <c r="BJ90" s="298"/>
      <c r="BK90" s="295"/>
      <c r="BL90" s="295"/>
      <c r="BM90" s="297"/>
      <c r="BN90" s="297"/>
      <c r="BO90" s="297"/>
      <c r="BP90" s="297"/>
      <c r="BQ90" s="297"/>
      <c r="BR90" s="297"/>
      <c r="BS90" s="293"/>
      <c r="BT90" s="298"/>
      <c r="BU90" s="295"/>
      <c r="BV90" s="295"/>
      <c r="BW90" s="297"/>
      <c r="BX90" s="297"/>
      <c r="BY90" s="297"/>
      <c r="BZ90" s="297"/>
      <c r="CA90" s="297"/>
      <c r="CB90" s="297"/>
      <c r="CC90" s="293"/>
    </row>
    <row r="91" spans="1:81" ht="15.95" customHeight="1" x14ac:dyDescent="0.2">
      <c r="A91" s="305" t="s">
        <v>104</v>
      </c>
      <c r="B91" s="306"/>
      <c r="C91" s="290"/>
      <c r="D91" s="290"/>
      <c r="E91" s="292"/>
      <c r="F91" s="292"/>
      <c r="G91" s="292"/>
      <c r="H91" s="292"/>
      <c r="I91" s="292"/>
      <c r="J91" s="292"/>
      <c r="K91" s="293"/>
      <c r="L91" s="294"/>
      <c r="M91" s="295"/>
      <c r="N91" s="295"/>
      <c r="O91" s="297"/>
      <c r="P91" s="297"/>
      <c r="Q91" s="297"/>
      <c r="R91" s="297"/>
      <c r="S91" s="297"/>
      <c r="T91" s="297"/>
      <c r="U91" s="293"/>
      <c r="V91" s="298"/>
      <c r="W91" s="295"/>
      <c r="X91" s="295"/>
      <c r="Y91" s="297"/>
      <c r="Z91" s="297"/>
      <c r="AA91" s="297"/>
      <c r="AB91" s="297"/>
      <c r="AC91" s="297"/>
      <c r="AD91" s="297"/>
      <c r="AE91" s="293"/>
      <c r="AF91" s="294"/>
      <c r="AG91" s="295"/>
      <c r="AH91" s="295"/>
      <c r="AI91" s="297"/>
      <c r="AJ91" s="297"/>
      <c r="AK91" s="297"/>
      <c r="AL91" s="297"/>
      <c r="AM91" s="297"/>
      <c r="AN91" s="297"/>
      <c r="AO91" s="293"/>
      <c r="AP91" s="298"/>
      <c r="AQ91" s="295"/>
      <c r="AR91" s="295"/>
      <c r="AS91" s="297"/>
      <c r="AT91" s="297"/>
      <c r="AU91" s="297"/>
      <c r="AV91" s="297"/>
      <c r="AW91" s="297"/>
      <c r="AX91" s="297"/>
      <c r="AY91" s="293"/>
      <c r="AZ91" s="298"/>
      <c r="BA91" s="295"/>
      <c r="BB91" s="295"/>
      <c r="BC91" s="297"/>
      <c r="BD91" s="297"/>
      <c r="BE91" s="297"/>
      <c r="BF91" s="297"/>
      <c r="BG91" s="297"/>
      <c r="BH91" s="297"/>
      <c r="BI91" s="293"/>
      <c r="BJ91" s="298"/>
      <c r="BK91" s="295"/>
      <c r="BL91" s="295"/>
      <c r="BM91" s="297"/>
      <c r="BN91" s="297"/>
      <c r="BO91" s="297"/>
      <c r="BP91" s="297"/>
      <c r="BQ91" s="297"/>
      <c r="BR91" s="297"/>
      <c r="BS91" s="293"/>
      <c r="BT91" s="298"/>
      <c r="BU91" s="295"/>
      <c r="BV91" s="295"/>
      <c r="BW91" s="297"/>
      <c r="BX91" s="297"/>
      <c r="BY91" s="297"/>
      <c r="BZ91" s="297"/>
      <c r="CA91" s="297"/>
      <c r="CB91" s="297"/>
      <c r="CC91" s="293"/>
    </row>
    <row r="92" spans="1:81" ht="15.95" customHeight="1" x14ac:dyDescent="0.2">
      <c r="A92" s="307" t="s">
        <v>133</v>
      </c>
      <c r="B92" s="306">
        <v>54</v>
      </c>
      <c r="C92" s="295">
        <f t="shared" ref="C92:C105" si="113">SUM(E92:I92)</f>
        <v>154121</v>
      </c>
      <c r="D92" s="295">
        <f t="shared" ref="D92:D105" si="114">IFERROR(C92/B92,0)</f>
        <v>2854.0925925925926</v>
      </c>
      <c r="E92" s="292">
        <v>0</v>
      </c>
      <c r="F92" s="292">
        <v>154121</v>
      </c>
      <c r="G92" s="292">
        <v>0</v>
      </c>
      <c r="H92" s="292">
        <v>0</v>
      </c>
      <c r="I92" s="292">
        <v>0</v>
      </c>
      <c r="J92" s="292">
        <v>129461</v>
      </c>
      <c r="K92" s="293">
        <f t="shared" ref="K92:K105" si="115">IF(J92=0,0,(IF(E92&lt;=J92,E92,J92)))</f>
        <v>0</v>
      </c>
      <c r="L92" s="294">
        <v>21</v>
      </c>
      <c r="M92" s="295">
        <f t="shared" ref="M92:M105" si="116">SUM(O92:S92)</f>
        <v>135185</v>
      </c>
      <c r="N92" s="295">
        <f t="shared" ref="N92:N105" si="117">IFERROR(M92/L92,0)</f>
        <v>6437.3809523809523</v>
      </c>
      <c r="O92" s="297">
        <v>0</v>
      </c>
      <c r="P92" s="297">
        <v>135185</v>
      </c>
      <c r="Q92" s="297">
        <v>0</v>
      </c>
      <c r="R92" s="297">
        <v>0</v>
      </c>
      <c r="S92" s="297">
        <v>0</v>
      </c>
      <c r="T92" s="297">
        <v>65595</v>
      </c>
      <c r="U92" s="293">
        <f t="shared" ref="U92:U105" si="118">IF(T92=0,0,(IF(O92&lt;=T92,O92,T92)))</f>
        <v>0</v>
      </c>
      <c r="V92" s="298">
        <v>32</v>
      </c>
      <c r="W92" s="295">
        <f t="shared" ref="W92:W105" si="119">SUM(Y92:AC92)</f>
        <v>116843</v>
      </c>
      <c r="X92" s="295">
        <f t="shared" ref="X92:X105" si="120">IFERROR(W92/V92,0)</f>
        <v>3651.34375</v>
      </c>
      <c r="Y92" s="297">
        <v>3200</v>
      </c>
      <c r="Z92" s="297">
        <v>113643</v>
      </c>
      <c r="AA92" s="297">
        <v>0</v>
      </c>
      <c r="AB92" s="297">
        <v>0</v>
      </c>
      <c r="AC92" s="297">
        <v>0</v>
      </c>
      <c r="AD92" s="297">
        <v>77596</v>
      </c>
      <c r="AE92" s="293">
        <f t="shared" ref="AE92:AE105" si="121">IF(AD92=0,0,(IF(Y92&lt;=AD92,Y92,AD92)))</f>
        <v>3200</v>
      </c>
      <c r="AF92" s="294">
        <v>35</v>
      </c>
      <c r="AG92" s="295">
        <f t="shared" ref="AG92:AG105" si="122">SUM(AI92:AM92)</f>
        <v>146561</v>
      </c>
      <c r="AH92" s="295">
        <f t="shared" ref="AH92:AH105" si="123">IFERROR(AG92/AF92,0)</f>
        <v>4187.4571428571426</v>
      </c>
      <c r="AI92" s="297">
        <v>3600</v>
      </c>
      <c r="AJ92" s="297">
        <v>142961</v>
      </c>
      <c r="AK92" s="297">
        <v>0</v>
      </c>
      <c r="AL92" s="297">
        <v>0</v>
      </c>
      <c r="AM92" s="297">
        <v>0</v>
      </c>
      <c r="AN92" s="297">
        <v>125459</v>
      </c>
      <c r="AO92" s="293">
        <f t="shared" ref="AO92:AO105" si="124">IF(AN92=0,0,(IF(AI92&lt;=AN92,AI92,AN92)))</f>
        <v>3600</v>
      </c>
      <c r="AP92" s="298">
        <v>49</v>
      </c>
      <c r="AQ92" s="295">
        <f t="shared" ref="AQ92:AQ105" si="125">SUM(AS92:AW92)</f>
        <v>113937</v>
      </c>
      <c r="AR92" s="295">
        <f t="shared" ref="AR92:AR105" si="126">IFERROR(AQ92/AP92,0)</f>
        <v>2325.2448979591836</v>
      </c>
      <c r="AS92" s="297">
        <v>3600</v>
      </c>
      <c r="AT92" s="297">
        <v>110337</v>
      </c>
      <c r="AU92" s="297">
        <v>0</v>
      </c>
      <c r="AV92" s="297">
        <v>0</v>
      </c>
      <c r="AW92" s="297">
        <v>0</v>
      </c>
      <c r="AX92" s="297">
        <v>112152</v>
      </c>
      <c r="AY92" s="293">
        <f t="shared" ref="AY92:AY105" si="127">IF(AX92=0,0,(IF(AS92&lt;=AX92,AS92,AX92)))</f>
        <v>3600</v>
      </c>
      <c r="AZ92" s="298">
        <v>35</v>
      </c>
      <c r="BA92" s="295">
        <f t="shared" ref="BA92:BA105" si="128">SUM(BC92:BG92)</f>
        <v>130811</v>
      </c>
      <c r="BB92" s="295">
        <f t="shared" ref="BB92:BB105" si="129">IFERROR(BA92/AZ92,0)</f>
        <v>3737.457142857143</v>
      </c>
      <c r="BC92" s="297">
        <v>4100</v>
      </c>
      <c r="BD92" s="297">
        <v>126711</v>
      </c>
      <c r="BE92" s="297">
        <v>0</v>
      </c>
      <c r="BF92" s="297">
        <v>0</v>
      </c>
      <c r="BG92" s="297">
        <v>0</v>
      </c>
      <c r="BH92" s="297">
        <v>128344</v>
      </c>
      <c r="BI92" s="293">
        <f t="shared" ref="BI92:BI105" si="130">IF(BH92=0,0,(IF(BC92&lt;=BH92,BC92,BH92)))</f>
        <v>4100</v>
      </c>
      <c r="BJ92" s="298">
        <v>32</v>
      </c>
      <c r="BK92" s="295">
        <f t="shared" ref="BK92:BK105" si="131">SUM(BM92:BQ92)</f>
        <v>141975</v>
      </c>
      <c r="BL92" s="295">
        <f t="shared" ref="BL92:BL105" si="132">IFERROR(BK92/BJ92,0)</f>
        <v>4436.71875</v>
      </c>
      <c r="BM92" s="297"/>
      <c r="BN92" s="297">
        <v>141975</v>
      </c>
      <c r="BO92" s="297"/>
      <c r="BP92" s="297"/>
      <c r="BQ92" s="297"/>
      <c r="BR92" s="297">
        <v>134807</v>
      </c>
      <c r="BS92" s="293">
        <f t="shared" ref="BS92:BS105" si="133">IF(BR92=0,0,(IF(BM92&lt;=BR92,BM92,BR92)))</f>
        <v>0</v>
      </c>
      <c r="BT92" s="12">
        <v>236</v>
      </c>
      <c r="BU92" s="295">
        <f t="shared" ref="BU92:BU105" si="134">SUM(BW92:CA92)</f>
        <v>523672</v>
      </c>
      <c r="BV92" s="295">
        <f t="shared" ref="BV92:BV105" si="135">IFERROR(BU92/BT92,0)</f>
        <v>2218.9491525423728</v>
      </c>
      <c r="BW92" s="11"/>
      <c r="BX92" s="11">
        <v>523672</v>
      </c>
      <c r="BY92" s="11"/>
      <c r="BZ92" s="11"/>
      <c r="CA92" s="11"/>
      <c r="CB92" s="11">
        <v>440201</v>
      </c>
      <c r="CC92" s="293">
        <f t="shared" ref="CC92:CC105" si="136">IF(CB92=0,0,(IF(BW92&lt;=CB92,BW92,CB92)))</f>
        <v>0</v>
      </c>
    </row>
    <row r="93" spans="1:81" ht="15.95" customHeight="1" x14ac:dyDescent="0.2">
      <c r="A93" s="307" t="s">
        <v>134</v>
      </c>
      <c r="B93" s="306">
        <v>79</v>
      </c>
      <c r="C93" s="295">
        <f t="shared" si="113"/>
        <v>389051</v>
      </c>
      <c r="D93" s="295">
        <f t="shared" si="114"/>
        <v>4924.6962025316452</v>
      </c>
      <c r="E93" s="292">
        <v>263865</v>
      </c>
      <c r="F93" s="292">
        <v>125186</v>
      </c>
      <c r="G93" s="292">
        <v>0</v>
      </c>
      <c r="H93" s="292">
        <v>0</v>
      </c>
      <c r="I93" s="292">
        <v>0</v>
      </c>
      <c r="J93" s="292">
        <v>309350</v>
      </c>
      <c r="K93" s="293">
        <f t="shared" si="115"/>
        <v>263865</v>
      </c>
      <c r="L93" s="294">
        <v>55</v>
      </c>
      <c r="M93" s="295">
        <f t="shared" si="116"/>
        <v>416498</v>
      </c>
      <c r="N93" s="295">
        <f t="shared" si="117"/>
        <v>7572.6909090909094</v>
      </c>
      <c r="O93" s="297">
        <v>267988</v>
      </c>
      <c r="P93" s="297">
        <v>148510</v>
      </c>
      <c r="Q93" s="297">
        <v>0</v>
      </c>
      <c r="R93" s="297">
        <v>0</v>
      </c>
      <c r="S93" s="297">
        <v>0</v>
      </c>
      <c r="T93" s="297">
        <v>324868</v>
      </c>
      <c r="U93" s="293">
        <f t="shared" si="118"/>
        <v>267988</v>
      </c>
      <c r="V93" s="298">
        <v>81</v>
      </c>
      <c r="W93" s="295">
        <f t="shared" si="119"/>
        <v>477911</v>
      </c>
      <c r="X93" s="295">
        <f t="shared" si="120"/>
        <v>5900.1358024691363</v>
      </c>
      <c r="Y93" s="297">
        <v>338190</v>
      </c>
      <c r="Z93" s="297">
        <v>139721</v>
      </c>
      <c r="AA93" s="297">
        <v>0</v>
      </c>
      <c r="AB93" s="297">
        <v>0</v>
      </c>
      <c r="AC93" s="297">
        <v>0</v>
      </c>
      <c r="AD93" s="297">
        <v>382328</v>
      </c>
      <c r="AE93" s="293">
        <f t="shared" si="121"/>
        <v>338190</v>
      </c>
      <c r="AF93" s="294">
        <v>91</v>
      </c>
      <c r="AG93" s="295">
        <f t="shared" si="122"/>
        <v>440060</v>
      </c>
      <c r="AH93" s="295">
        <f t="shared" si="123"/>
        <v>4835.8241758241757</v>
      </c>
      <c r="AI93" s="297">
        <v>286359</v>
      </c>
      <c r="AJ93" s="297">
        <v>153701</v>
      </c>
      <c r="AK93" s="297">
        <v>0</v>
      </c>
      <c r="AL93" s="297">
        <v>0</v>
      </c>
      <c r="AM93" s="297">
        <v>0</v>
      </c>
      <c r="AN93" s="297">
        <v>347647</v>
      </c>
      <c r="AO93" s="293">
        <f t="shared" si="124"/>
        <v>286359</v>
      </c>
      <c r="AP93" s="298">
        <v>84</v>
      </c>
      <c r="AQ93" s="295">
        <f t="shared" si="125"/>
        <v>447258</v>
      </c>
      <c r="AR93" s="295">
        <f t="shared" si="126"/>
        <v>5324.5</v>
      </c>
      <c r="AS93" s="297">
        <v>291186</v>
      </c>
      <c r="AT93" s="297">
        <v>156072</v>
      </c>
      <c r="AU93" s="297">
        <v>0</v>
      </c>
      <c r="AV93" s="297">
        <v>0</v>
      </c>
      <c r="AW93" s="297">
        <v>0</v>
      </c>
      <c r="AX93" s="297">
        <v>353333</v>
      </c>
      <c r="AY93" s="293">
        <f t="shared" si="127"/>
        <v>291186</v>
      </c>
      <c r="AZ93" s="298">
        <v>85</v>
      </c>
      <c r="BA93" s="295">
        <f t="shared" si="128"/>
        <v>508427</v>
      </c>
      <c r="BB93" s="295">
        <f t="shared" si="129"/>
        <v>5981.4941176470584</v>
      </c>
      <c r="BC93" s="297">
        <v>300445</v>
      </c>
      <c r="BD93" s="297">
        <v>207982</v>
      </c>
      <c r="BE93" s="297">
        <v>0</v>
      </c>
      <c r="BF93" s="297">
        <v>0</v>
      </c>
      <c r="BG93" s="297">
        <v>0</v>
      </c>
      <c r="BH93" s="297">
        <v>406742</v>
      </c>
      <c r="BI93" s="293">
        <f t="shared" si="130"/>
        <v>300445</v>
      </c>
      <c r="BJ93" s="298">
        <v>77</v>
      </c>
      <c r="BK93" s="295">
        <f t="shared" si="131"/>
        <v>436599</v>
      </c>
      <c r="BL93" s="295">
        <f t="shared" si="132"/>
        <v>5670.1168831168834</v>
      </c>
      <c r="BM93" s="297">
        <v>300370</v>
      </c>
      <c r="BN93" s="297">
        <v>136229</v>
      </c>
      <c r="BO93" s="297"/>
      <c r="BP93" s="297"/>
      <c r="BQ93" s="297"/>
      <c r="BR93" s="297">
        <v>316522</v>
      </c>
      <c r="BS93" s="293">
        <f t="shared" si="133"/>
        <v>300370</v>
      </c>
      <c r="BT93" s="12">
        <v>80</v>
      </c>
      <c r="BU93" s="295">
        <f t="shared" si="134"/>
        <v>407012</v>
      </c>
      <c r="BV93" s="295">
        <f t="shared" si="135"/>
        <v>5087.6499999999996</v>
      </c>
      <c r="BW93" s="11">
        <v>291753</v>
      </c>
      <c r="BX93" s="11">
        <v>115259</v>
      </c>
      <c r="BY93" s="11"/>
      <c r="BZ93" s="11"/>
      <c r="CA93" s="11"/>
      <c r="CB93" s="11">
        <v>270925</v>
      </c>
      <c r="CC93" s="293">
        <f t="shared" si="136"/>
        <v>270925</v>
      </c>
    </row>
    <row r="94" spans="1:81" ht="15.95" customHeight="1" x14ac:dyDescent="0.2">
      <c r="A94" s="307" t="s">
        <v>135</v>
      </c>
      <c r="B94" s="306">
        <v>249</v>
      </c>
      <c r="C94" s="295">
        <f t="shared" si="113"/>
        <v>1019306</v>
      </c>
      <c r="D94" s="295">
        <f t="shared" si="114"/>
        <v>4093.598393574297</v>
      </c>
      <c r="E94" s="292">
        <v>239232</v>
      </c>
      <c r="F94" s="292">
        <v>780074</v>
      </c>
      <c r="G94" s="292">
        <v>0</v>
      </c>
      <c r="H94" s="292">
        <v>0</v>
      </c>
      <c r="I94" s="292">
        <v>0</v>
      </c>
      <c r="J94" s="292">
        <v>448495</v>
      </c>
      <c r="K94" s="293">
        <f t="shared" si="115"/>
        <v>239232</v>
      </c>
      <c r="L94" s="294">
        <v>233</v>
      </c>
      <c r="M94" s="295">
        <f t="shared" si="116"/>
        <v>1194794</v>
      </c>
      <c r="N94" s="295">
        <f t="shared" si="117"/>
        <v>5127.8712446351929</v>
      </c>
      <c r="O94" s="297">
        <v>278024</v>
      </c>
      <c r="P94" s="297">
        <v>916770</v>
      </c>
      <c r="Q94" s="297">
        <v>0</v>
      </c>
      <c r="R94" s="297">
        <v>0</v>
      </c>
      <c r="S94" s="297">
        <v>0</v>
      </c>
      <c r="T94" s="297">
        <v>525709</v>
      </c>
      <c r="U94" s="293">
        <f t="shared" si="118"/>
        <v>278024</v>
      </c>
      <c r="V94" s="298">
        <v>212</v>
      </c>
      <c r="W94" s="295">
        <f t="shared" si="119"/>
        <v>1490518</v>
      </c>
      <c r="X94" s="295">
        <f t="shared" si="120"/>
        <v>7030.7452830188677</v>
      </c>
      <c r="Y94" s="297">
        <v>394036</v>
      </c>
      <c r="Z94" s="297">
        <v>117180</v>
      </c>
      <c r="AA94" s="297">
        <v>0</v>
      </c>
      <c r="AB94" s="297">
        <v>0</v>
      </c>
      <c r="AC94" s="297">
        <v>979302</v>
      </c>
      <c r="AD94" s="297">
        <v>673805</v>
      </c>
      <c r="AE94" s="293">
        <f t="shared" si="121"/>
        <v>394036</v>
      </c>
      <c r="AF94" s="294">
        <v>203</v>
      </c>
      <c r="AG94" s="295">
        <f t="shared" si="122"/>
        <v>1306000</v>
      </c>
      <c r="AH94" s="295">
        <f t="shared" si="123"/>
        <v>6433.4975369458125</v>
      </c>
      <c r="AI94" s="297">
        <v>190484</v>
      </c>
      <c r="AJ94" s="297">
        <v>115998</v>
      </c>
      <c r="AK94" s="297">
        <v>0</v>
      </c>
      <c r="AL94" s="297">
        <v>0</v>
      </c>
      <c r="AM94" s="297">
        <v>999518</v>
      </c>
      <c r="AN94" s="297">
        <v>587700</v>
      </c>
      <c r="AO94" s="293">
        <f t="shared" si="124"/>
        <v>190484</v>
      </c>
      <c r="AP94" s="298">
        <v>193</v>
      </c>
      <c r="AQ94" s="295">
        <f t="shared" si="125"/>
        <v>1319510</v>
      </c>
      <c r="AR94" s="295">
        <f t="shared" si="126"/>
        <v>6836.8393782383419</v>
      </c>
      <c r="AS94" s="297">
        <v>185895</v>
      </c>
      <c r="AT94" s="297">
        <v>62944</v>
      </c>
      <c r="AU94" s="297">
        <v>0</v>
      </c>
      <c r="AV94" s="297">
        <v>0</v>
      </c>
      <c r="AW94" s="297">
        <v>1070671</v>
      </c>
      <c r="AX94" s="297">
        <v>59378</v>
      </c>
      <c r="AY94" s="293">
        <f t="shared" si="127"/>
        <v>59378</v>
      </c>
      <c r="AZ94" s="298">
        <v>193</v>
      </c>
      <c r="BA94" s="295">
        <f t="shared" si="128"/>
        <v>1389179</v>
      </c>
      <c r="BB94" s="295">
        <f t="shared" si="129"/>
        <v>7197.8186528497408</v>
      </c>
      <c r="BC94" s="297">
        <v>242272</v>
      </c>
      <c r="BD94" s="297">
        <v>62278</v>
      </c>
      <c r="BE94" s="297">
        <v>0</v>
      </c>
      <c r="BF94" s="297">
        <v>0</v>
      </c>
      <c r="BG94" s="297">
        <v>1084629</v>
      </c>
      <c r="BH94" s="297">
        <v>667541</v>
      </c>
      <c r="BI94" s="293">
        <f t="shared" si="130"/>
        <v>242272</v>
      </c>
      <c r="BJ94" s="298">
        <v>205</v>
      </c>
      <c r="BK94" s="295">
        <f t="shared" si="131"/>
        <v>1539523</v>
      </c>
      <c r="BL94" s="295">
        <f t="shared" si="132"/>
        <v>7509.8682926829269</v>
      </c>
      <c r="BM94" s="297">
        <v>270372</v>
      </c>
      <c r="BN94" s="297">
        <v>71631</v>
      </c>
      <c r="BO94" s="297"/>
      <c r="BP94" s="297"/>
      <c r="BQ94" s="297">
        <v>1197520</v>
      </c>
      <c r="BR94" s="297">
        <v>715355</v>
      </c>
      <c r="BS94" s="293">
        <f t="shared" si="133"/>
        <v>270372</v>
      </c>
      <c r="BT94" s="12">
        <v>215</v>
      </c>
      <c r="BU94" s="295">
        <f t="shared" si="134"/>
        <v>1426161</v>
      </c>
      <c r="BV94" s="295">
        <f t="shared" si="135"/>
        <v>6633.3069767441857</v>
      </c>
      <c r="BW94" s="11">
        <v>202851</v>
      </c>
      <c r="BX94" s="11">
        <v>65592</v>
      </c>
      <c r="BY94" s="11"/>
      <c r="BZ94" s="11"/>
      <c r="CA94" s="11">
        <v>1157718</v>
      </c>
      <c r="CB94" s="11">
        <v>529477</v>
      </c>
      <c r="CC94" s="293">
        <f t="shared" si="136"/>
        <v>202851</v>
      </c>
    </row>
    <row r="95" spans="1:81" s="308" customFormat="1" ht="15.95" customHeight="1" x14ac:dyDescent="0.2">
      <c r="A95" s="307" t="s">
        <v>136</v>
      </c>
      <c r="B95" s="298">
        <v>119</v>
      </c>
      <c r="C95" s="295">
        <f t="shared" si="113"/>
        <v>281200</v>
      </c>
      <c r="D95" s="295">
        <f t="shared" si="114"/>
        <v>2363.0252100840335</v>
      </c>
      <c r="E95" s="297">
        <v>64680</v>
      </c>
      <c r="F95" s="297">
        <v>0</v>
      </c>
      <c r="G95" s="297">
        <v>0</v>
      </c>
      <c r="H95" s="297">
        <v>0</v>
      </c>
      <c r="I95" s="297">
        <v>216520</v>
      </c>
      <c r="J95" s="297">
        <v>269952</v>
      </c>
      <c r="K95" s="293">
        <f t="shared" si="115"/>
        <v>64680</v>
      </c>
      <c r="L95" s="294">
        <v>146</v>
      </c>
      <c r="M95" s="295">
        <f t="shared" si="116"/>
        <v>327043</v>
      </c>
      <c r="N95" s="295">
        <f t="shared" si="117"/>
        <v>2240.0205479452056</v>
      </c>
      <c r="O95" s="297">
        <v>60493</v>
      </c>
      <c r="P95" s="297">
        <v>0</v>
      </c>
      <c r="Q95" s="297">
        <v>0</v>
      </c>
      <c r="R95" s="297">
        <v>0</v>
      </c>
      <c r="S95" s="297">
        <v>266550</v>
      </c>
      <c r="T95" s="297">
        <v>274716</v>
      </c>
      <c r="U95" s="293">
        <f t="shared" si="118"/>
        <v>60493</v>
      </c>
      <c r="V95" s="298">
        <v>149</v>
      </c>
      <c r="W95" s="295">
        <f t="shared" si="119"/>
        <v>310076</v>
      </c>
      <c r="X95" s="295">
        <f t="shared" si="120"/>
        <v>2081.0469798657718</v>
      </c>
      <c r="Y95" s="297">
        <v>71226</v>
      </c>
      <c r="Z95" s="297">
        <v>0</v>
      </c>
      <c r="AA95" s="297">
        <v>0</v>
      </c>
      <c r="AB95" s="297">
        <v>0</v>
      </c>
      <c r="AC95" s="297">
        <v>238850</v>
      </c>
      <c r="AD95" s="297">
        <v>279068</v>
      </c>
      <c r="AE95" s="293">
        <f t="shared" si="121"/>
        <v>71226</v>
      </c>
      <c r="AF95" s="294">
        <v>134</v>
      </c>
      <c r="AG95" s="295">
        <f t="shared" si="122"/>
        <v>287232</v>
      </c>
      <c r="AH95" s="295">
        <f t="shared" si="123"/>
        <v>2143.5223880597014</v>
      </c>
      <c r="AI95" s="297">
        <v>64984</v>
      </c>
      <c r="AJ95" s="297">
        <v>0</v>
      </c>
      <c r="AK95" s="297">
        <v>0</v>
      </c>
      <c r="AL95" s="297">
        <v>0</v>
      </c>
      <c r="AM95" s="297">
        <v>222248</v>
      </c>
      <c r="AN95" s="297">
        <v>258509</v>
      </c>
      <c r="AO95" s="293">
        <f t="shared" si="124"/>
        <v>64984</v>
      </c>
      <c r="AP95" s="298">
        <v>107</v>
      </c>
      <c r="AQ95" s="295">
        <f t="shared" si="125"/>
        <v>318701</v>
      </c>
      <c r="AR95" s="295">
        <f t="shared" si="126"/>
        <v>2978.5140186915887</v>
      </c>
      <c r="AS95" s="297">
        <v>67768</v>
      </c>
      <c r="AT95" s="297">
        <v>0</v>
      </c>
      <c r="AU95" s="297">
        <v>0</v>
      </c>
      <c r="AV95" s="297">
        <v>0</v>
      </c>
      <c r="AW95" s="297">
        <v>250933</v>
      </c>
      <c r="AX95" s="297">
        <v>286831</v>
      </c>
      <c r="AY95" s="293">
        <f t="shared" si="127"/>
        <v>67768</v>
      </c>
      <c r="AZ95" s="298">
        <v>116</v>
      </c>
      <c r="BA95" s="295">
        <f t="shared" si="128"/>
        <v>318944</v>
      </c>
      <c r="BB95" s="295">
        <f t="shared" si="129"/>
        <v>2749.5172413793102</v>
      </c>
      <c r="BC95" s="297">
        <v>63809</v>
      </c>
      <c r="BD95" s="297">
        <v>0</v>
      </c>
      <c r="BE95" s="297">
        <v>0</v>
      </c>
      <c r="BF95" s="297">
        <v>0</v>
      </c>
      <c r="BG95" s="297">
        <v>255135</v>
      </c>
      <c r="BH95" s="297">
        <v>306744</v>
      </c>
      <c r="BI95" s="293">
        <f t="shared" si="130"/>
        <v>63809</v>
      </c>
      <c r="BJ95" s="298">
        <v>109</v>
      </c>
      <c r="BK95" s="295">
        <f t="shared" si="131"/>
        <v>340964</v>
      </c>
      <c r="BL95" s="295">
        <f t="shared" si="132"/>
        <v>3128.1100917431195</v>
      </c>
      <c r="BM95" s="297">
        <v>68637</v>
      </c>
      <c r="BN95" s="297"/>
      <c r="BO95" s="297"/>
      <c r="BP95" s="297"/>
      <c r="BQ95" s="297">
        <v>272327</v>
      </c>
      <c r="BR95" s="297">
        <v>313250</v>
      </c>
      <c r="BS95" s="293">
        <f t="shared" si="133"/>
        <v>68637</v>
      </c>
      <c r="BT95" s="12">
        <v>110</v>
      </c>
      <c r="BU95" s="295">
        <f t="shared" si="134"/>
        <v>320131</v>
      </c>
      <c r="BV95" s="295">
        <f t="shared" si="135"/>
        <v>2910.2818181818184</v>
      </c>
      <c r="BW95" s="11">
        <v>74391</v>
      </c>
      <c r="BX95" s="11"/>
      <c r="BY95" s="11"/>
      <c r="BZ95" s="11"/>
      <c r="CA95" s="11">
        <v>245740</v>
      </c>
      <c r="CB95" s="11">
        <v>286837</v>
      </c>
      <c r="CC95" s="293">
        <f t="shared" si="136"/>
        <v>74391</v>
      </c>
    </row>
    <row r="96" spans="1:81" s="308" customFormat="1" ht="15.95" customHeight="1" x14ac:dyDescent="0.2">
      <c r="A96" s="307" t="s">
        <v>137</v>
      </c>
      <c r="B96" s="298">
        <v>16</v>
      </c>
      <c r="C96" s="295">
        <f t="shared" si="113"/>
        <v>35002</v>
      </c>
      <c r="D96" s="295">
        <f t="shared" si="114"/>
        <v>2187.625</v>
      </c>
      <c r="E96" s="297">
        <v>35002</v>
      </c>
      <c r="F96" s="297">
        <v>0</v>
      </c>
      <c r="G96" s="297">
        <v>0</v>
      </c>
      <c r="H96" s="297">
        <v>0</v>
      </c>
      <c r="I96" s="297">
        <v>0</v>
      </c>
      <c r="J96" s="297">
        <v>0</v>
      </c>
      <c r="K96" s="293">
        <f t="shared" si="115"/>
        <v>0</v>
      </c>
      <c r="L96" s="294">
        <v>13</v>
      </c>
      <c r="M96" s="295">
        <f t="shared" si="116"/>
        <v>26913</v>
      </c>
      <c r="N96" s="295">
        <f t="shared" si="117"/>
        <v>2070.2307692307691</v>
      </c>
      <c r="O96" s="297">
        <v>26913</v>
      </c>
      <c r="P96" s="297">
        <v>0</v>
      </c>
      <c r="Q96" s="297">
        <v>0</v>
      </c>
      <c r="R96" s="297">
        <v>0</v>
      </c>
      <c r="S96" s="297">
        <v>0</v>
      </c>
      <c r="T96" s="297">
        <v>0</v>
      </c>
      <c r="U96" s="293">
        <f t="shared" si="118"/>
        <v>0</v>
      </c>
      <c r="V96" s="298">
        <v>7</v>
      </c>
      <c r="W96" s="295">
        <f t="shared" si="119"/>
        <v>13200</v>
      </c>
      <c r="X96" s="295">
        <f t="shared" si="120"/>
        <v>1885.7142857142858</v>
      </c>
      <c r="Y96" s="297">
        <v>13200</v>
      </c>
      <c r="Z96" s="297">
        <v>0</v>
      </c>
      <c r="AA96" s="297">
        <v>0</v>
      </c>
      <c r="AB96" s="297">
        <v>0</v>
      </c>
      <c r="AC96" s="297">
        <v>0</v>
      </c>
      <c r="AD96" s="297">
        <v>0</v>
      </c>
      <c r="AE96" s="293">
        <f t="shared" si="121"/>
        <v>0</v>
      </c>
      <c r="AF96" s="294">
        <v>8</v>
      </c>
      <c r="AG96" s="295">
        <f t="shared" si="122"/>
        <v>15004</v>
      </c>
      <c r="AH96" s="295">
        <f t="shared" si="123"/>
        <v>1875.5</v>
      </c>
      <c r="AI96" s="297">
        <v>15004</v>
      </c>
      <c r="AJ96" s="297">
        <v>0</v>
      </c>
      <c r="AK96" s="297">
        <v>0</v>
      </c>
      <c r="AL96" s="297">
        <v>0</v>
      </c>
      <c r="AM96" s="297">
        <v>0</v>
      </c>
      <c r="AN96" s="297">
        <v>0</v>
      </c>
      <c r="AO96" s="293">
        <f t="shared" si="124"/>
        <v>0</v>
      </c>
      <c r="AP96" s="298">
        <v>1</v>
      </c>
      <c r="AQ96" s="295">
        <f t="shared" si="125"/>
        <v>4758</v>
      </c>
      <c r="AR96" s="295">
        <f t="shared" si="126"/>
        <v>4758</v>
      </c>
      <c r="AS96" s="297">
        <v>4758</v>
      </c>
      <c r="AT96" s="297">
        <v>0</v>
      </c>
      <c r="AU96" s="297">
        <v>0</v>
      </c>
      <c r="AV96" s="297">
        <v>0</v>
      </c>
      <c r="AW96" s="297">
        <v>0</v>
      </c>
      <c r="AX96" s="297">
        <v>0</v>
      </c>
      <c r="AY96" s="293">
        <f t="shared" si="127"/>
        <v>0</v>
      </c>
      <c r="AZ96" s="298">
        <v>7</v>
      </c>
      <c r="BA96" s="295">
        <f t="shared" si="128"/>
        <v>13492</v>
      </c>
      <c r="BB96" s="295">
        <f t="shared" si="129"/>
        <v>1927.4285714285713</v>
      </c>
      <c r="BC96" s="297">
        <v>13492</v>
      </c>
      <c r="BD96" s="297">
        <v>0</v>
      </c>
      <c r="BE96" s="297">
        <v>0</v>
      </c>
      <c r="BF96" s="297">
        <v>0</v>
      </c>
      <c r="BG96" s="297">
        <v>0</v>
      </c>
      <c r="BH96" s="297">
        <v>0</v>
      </c>
      <c r="BI96" s="293">
        <f t="shared" si="130"/>
        <v>0</v>
      </c>
      <c r="BJ96" s="298">
        <v>7</v>
      </c>
      <c r="BK96" s="295">
        <f t="shared" si="131"/>
        <v>8484</v>
      </c>
      <c r="BL96" s="295">
        <f t="shared" si="132"/>
        <v>1212</v>
      </c>
      <c r="BM96" s="297">
        <v>8484</v>
      </c>
      <c r="BN96" s="297"/>
      <c r="BO96" s="297"/>
      <c r="BP96" s="297"/>
      <c r="BQ96" s="297"/>
      <c r="BR96" s="297"/>
      <c r="BS96" s="293">
        <f t="shared" si="133"/>
        <v>0</v>
      </c>
      <c r="BT96" s="12">
        <v>7</v>
      </c>
      <c r="BU96" s="295">
        <f t="shared" si="134"/>
        <v>16261</v>
      </c>
      <c r="BV96" s="295">
        <f t="shared" si="135"/>
        <v>2323</v>
      </c>
      <c r="BW96" s="11">
        <v>16261</v>
      </c>
      <c r="BX96" s="11"/>
      <c r="BY96" s="11"/>
      <c r="BZ96" s="11"/>
      <c r="CA96" s="11"/>
      <c r="CB96" s="11"/>
      <c r="CC96" s="293">
        <f t="shared" si="136"/>
        <v>0</v>
      </c>
    </row>
    <row r="97" spans="1:81" s="308" customFormat="1" ht="15.95" customHeight="1" x14ac:dyDescent="0.2">
      <c r="A97" s="307" t="s">
        <v>138</v>
      </c>
      <c r="B97" s="298">
        <v>61</v>
      </c>
      <c r="C97" s="295">
        <f t="shared" si="113"/>
        <v>516049</v>
      </c>
      <c r="D97" s="295">
        <f t="shared" si="114"/>
        <v>8459.8196721311469</v>
      </c>
      <c r="E97" s="297">
        <v>0</v>
      </c>
      <c r="F97" s="297">
        <v>516049</v>
      </c>
      <c r="G97" s="297">
        <v>0</v>
      </c>
      <c r="H97" s="297">
        <v>0</v>
      </c>
      <c r="I97" s="297">
        <v>0</v>
      </c>
      <c r="J97" s="297">
        <v>432966</v>
      </c>
      <c r="K97" s="293">
        <f t="shared" si="115"/>
        <v>0</v>
      </c>
      <c r="L97" s="294">
        <v>59</v>
      </c>
      <c r="M97" s="295">
        <f t="shared" si="116"/>
        <v>514051</v>
      </c>
      <c r="N97" s="295">
        <f t="shared" si="117"/>
        <v>8712.7288135593226</v>
      </c>
      <c r="O97" s="297">
        <v>0</v>
      </c>
      <c r="P97" s="297">
        <v>514051</v>
      </c>
      <c r="Q97" s="297">
        <v>0</v>
      </c>
      <c r="R97" s="297">
        <v>0</v>
      </c>
      <c r="S97" s="297">
        <v>0</v>
      </c>
      <c r="T97" s="297">
        <v>464889</v>
      </c>
      <c r="U97" s="293">
        <f t="shared" si="118"/>
        <v>0</v>
      </c>
      <c r="V97" s="298">
        <v>59</v>
      </c>
      <c r="W97" s="295">
        <f t="shared" si="119"/>
        <v>562160</v>
      </c>
      <c r="X97" s="295">
        <f t="shared" si="120"/>
        <v>9528.1355932203387</v>
      </c>
      <c r="Y97" s="297">
        <v>0</v>
      </c>
      <c r="Z97" s="297">
        <v>562160</v>
      </c>
      <c r="AA97" s="297">
        <v>0</v>
      </c>
      <c r="AB97" s="297">
        <v>0</v>
      </c>
      <c r="AC97" s="297">
        <v>0</v>
      </c>
      <c r="AD97" s="297">
        <v>507450</v>
      </c>
      <c r="AE97" s="293">
        <f t="shared" si="121"/>
        <v>0</v>
      </c>
      <c r="AF97" s="294">
        <v>53</v>
      </c>
      <c r="AG97" s="295">
        <f t="shared" si="122"/>
        <v>507775</v>
      </c>
      <c r="AH97" s="295">
        <f t="shared" si="123"/>
        <v>9580.6603773584902</v>
      </c>
      <c r="AI97" s="297">
        <v>0</v>
      </c>
      <c r="AJ97" s="297">
        <v>507775</v>
      </c>
      <c r="AK97" s="297">
        <v>0</v>
      </c>
      <c r="AL97" s="297">
        <v>0</v>
      </c>
      <c r="AM97" s="297">
        <v>0</v>
      </c>
      <c r="AN97" s="297">
        <v>487755</v>
      </c>
      <c r="AO97" s="293">
        <f t="shared" si="124"/>
        <v>0</v>
      </c>
      <c r="AP97" s="298">
        <v>54</v>
      </c>
      <c r="AQ97" s="295">
        <f t="shared" si="125"/>
        <v>484718</v>
      </c>
      <c r="AR97" s="295">
        <f t="shared" si="126"/>
        <v>8976.2592592592591</v>
      </c>
      <c r="AS97" s="297">
        <v>0</v>
      </c>
      <c r="AT97" s="297">
        <v>484718</v>
      </c>
      <c r="AU97" s="297">
        <v>0</v>
      </c>
      <c r="AV97" s="297">
        <v>0</v>
      </c>
      <c r="AW97" s="297">
        <v>0</v>
      </c>
      <c r="AX97" s="297">
        <v>457348</v>
      </c>
      <c r="AY97" s="293">
        <f t="shared" si="127"/>
        <v>0</v>
      </c>
      <c r="AZ97" s="298">
        <v>49</v>
      </c>
      <c r="BA97" s="295">
        <f t="shared" si="128"/>
        <v>487486</v>
      </c>
      <c r="BB97" s="295">
        <f t="shared" si="129"/>
        <v>9948.6938775510207</v>
      </c>
      <c r="BC97" s="297">
        <v>0</v>
      </c>
      <c r="BD97" s="297">
        <v>487486</v>
      </c>
      <c r="BE97" s="297">
        <v>0</v>
      </c>
      <c r="BF97" s="297">
        <v>0</v>
      </c>
      <c r="BG97" s="297">
        <v>0</v>
      </c>
      <c r="BH97" s="297">
        <v>455466</v>
      </c>
      <c r="BI97" s="293">
        <f t="shared" si="130"/>
        <v>0</v>
      </c>
      <c r="BJ97" s="298">
        <v>58</v>
      </c>
      <c r="BK97" s="295">
        <f t="shared" si="131"/>
        <v>611200</v>
      </c>
      <c r="BL97" s="295">
        <f t="shared" si="132"/>
        <v>10537.931034482759</v>
      </c>
      <c r="BM97" s="297"/>
      <c r="BN97" s="297">
        <v>611200</v>
      </c>
      <c r="BO97" s="297"/>
      <c r="BP97" s="297"/>
      <c r="BQ97" s="297"/>
      <c r="BR97" s="297">
        <v>566721</v>
      </c>
      <c r="BS97" s="293">
        <f t="shared" si="133"/>
        <v>0</v>
      </c>
      <c r="BT97" s="12">
        <v>56</v>
      </c>
      <c r="BU97" s="295">
        <f t="shared" si="134"/>
        <v>583916</v>
      </c>
      <c r="BV97" s="295">
        <f t="shared" si="135"/>
        <v>10427.071428571429</v>
      </c>
      <c r="BW97" s="11"/>
      <c r="BX97" s="11">
        <v>583916</v>
      </c>
      <c r="BY97" s="11"/>
      <c r="BZ97" s="11"/>
      <c r="CA97" s="11"/>
      <c r="CB97" s="11">
        <v>513513</v>
      </c>
      <c r="CC97" s="293">
        <f t="shared" si="136"/>
        <v>0</v>
      </c>
    </row>
    <row r="98" spans="1:81" s="308" customFormat="1" ht="15.95" customHeight="1" x14ac:dyDescent="0.2">
      <c r="A98" s="307" t="s">
        <v>139</v>
      </c>
      <c r="B98" s="298">
        <v>43</v>
      </c>
      <c r="C98" s="295">
        <f t="shared" si="113"/>
        <v>37092</v>
      </c>
      <c r="D98" s="295">
        <f t="shared" si="114"/>
        <v>862.60465116279067</v>
      </c>
      <c r="E98" s="297">
        <v>37092</v>
      </c>
      <c r="F98" s="297">
        <v>0</v>
      </c>
      <c r="G98" s="297">
        <v>0</v>
      </c>
      <c r="H98" s="297">
        <v>0</v>
      </c>
      <c r="I98" s="297">
        <v>0</v>
      </c>
      <c r="J98" s="297">
        <v>30392</v>
      </c>
      <c r="K98" s="293">
        <f t="shared" si="115"/>
        <v>30392</v>
      </c>
      <c r="L98" s="294">
        <v>43</v>
      </c>
      <c r="M98" s="295">
        <f t="shared" si="116"/>
        <v>36521</v>
      </c>
      <c r="N98" s="295">
        <f t="shared" si="117"/>
        <v>849.32558139534888</v>
      </c>
      <c r="O98" s="297">
        <v>36521</v>
      </c>
      <c r="P98" s="297">
        <v>0</v>
      </c>
      <c r="Q98" s="297">
        <v>0</v>
      </c>
      <c r="R98" s="297">
        <v>0</v>
      </c>
      <c r="S98" s="297">
        <v>0</v>
      </c>
      <c r="T98" s="297">
        <v>36321</v>
      </c>
      <c r="U98" s="293">
        <f t="shared" si="118"/>
        <v>36321</v>
      </c>
      <c r="V98" s="298">
        <v>46</v>
      </c>
      <c r="W98" s="295">
        <f t="shared" si="119"/>
        <v>35450</v>
      </c>
      <c r="X98" s="295">
        <f t="shared" si="120"/>
        <v>770.6521739130435</v>
      </c>
      <c r="Y98" s="297">
        <v>35450</v>
      </c>
      <c r="Z98" s="297">
        <v>0</v>
      </c>
      <c r="AA98" s="297">
        <v>0</v>
      </c>
      <c r="AB98" s="297">
        <v>0</v>
      </c>
      <c r="AC98" s="297">
        <v>0</v>
      </c>
      <c r="AD98" s="297">
        <v>34250</v>
      </c>
      <c r="AE98" s="293">
        <f t="shared" si="121"/>
        <v>34250</v>
      </c>
      <c r="AF98" s="294">
        <v>42</v>
      </c>
      <c r="AG98" s="295">
        <f t="shared" si="122"/>
        <v>37600</v>
      </c>
      <c r="AH98" s="295">
        <f t="shared" si="123"/>
        <v>895.23809523809518</v>
      </c>
      <c r="AI98" s="297">
        <v>37600</v>
      </c>
      <c r="AJ98" s="297">
        <v>0</v>
      </c>
      <c r="AK98" s="297">
        <v>0</v>
      </c>
      <c r="AL98" s="297">
        <v>0</v>
      </c>
      <c r="AM98" s="297">
        <v>0</v>
      </c>
      <c r="AN98" s="297">
        <v>37600</v>
      </c>
      <c r="AO98" s="293">
        <f t="shared" si="124"/>
        <v>37600</v>
      </c>
      <c r="AP98" s="298">
        <v>39</v>
      </c>
      <c r="AQ98" s="295">
        <f t="shared" si="125"/>
        <v>31400</v>
      </c>
      <c r="AR98" s="295">
        <f t="shared" si="126"/>
        <v>805.12820512820508</v>
      </c>
      <c r="AS98" s="297">
        <v>31400</v>
      </c>
      <c r="AT98" s="297">
        <v>0</v>
      </c>
      <c r="AU98" s="297">
        <v>0</v>
      </c>
      <c r="AV98" s="297">
        <v>0</v>
      </c>
      <c r="AW98" s="297">
        <v>0</v>
      </c>
      <c r="AX98" s="297">
        <v>31400</v>
      </c>
      <c r="AY98" s="293">
        <f t="shared" si="127"/>
        <v>31400</v>
      </c>
      <c r="AZ98" s="298">
        <v>41</v>
      </c>
      <c r="BA98" s="295">
        <f t="shared" si="128"/>
        <v>92138</v>
      </c>
      <c r="BB98" s="295">
        <f t="shared" si="129"/>
        <v>2247.268292682927</v>
      </c>
      <c r="BC98" s="297">
        <v>92138</v>
      </c>
      <c r="BD98" s="297">
        <v>0</v>
      </c>
      <c r="BE98" s="297">
        <v>0</v>
      </c>
      <c r="BF98" s="297">
        <v>0</v>
      </c>
      <c r="BG98" s="297">
        <v>0</v>
      </c>
      <c r="BH98" s="297">
        <v>79059</v>
      </c>
      <c r="BI98" s="293">
        <f t="shared" si="130"/>
        <v>79059</v>
      </c>
      <c r="BJ98" s="298">
        <v>38</v>
      </c>
      <c r="BK98" s="295">
        <f t="shared" si="131"/>
        <v>90044</v>
      </c>
      <c r="BL98" s="295">
        <f t="shared" si="132"/>
        <v>2369.5789473684213</v>
      </c>
      <c r="BM98" s="297">
        <v>90044</v>
      </c>
      <c r="BN98" s="297"/>
      <c r="BO98" s="297"/>
      <c r="BP98" s="297"/>
      <c r="BQ98" s="297"/>
      <c r="BR98" s="297">
        <v>76930</v>
      </c>
      <c r="BS98" s="293">
        <f t="shared" si="133"/>
        <v>76930</v>
      </c>
      <c r="BT98" s="12">
        <v>48</v>
      </c>
      <c r="BU98" s="295">
        <f t="shared" si="134"/>
        <v>123297</v>
      </c>
      <c r="BV98" s="295">
        <f t="shared" si="135"/>
        <v>2568.6875</v>
      </c>
      <c r="BW98" s="11">
        <v>123297</v>
      </c>
      <c r="BX98" s="11">
        <v>0</v>
      </c>
      <c r="BY98" s="11"/>
      <c r="BZ98" s="11"/>
      <c r="CA98" s="11"/>
      <c r="CB98" s="11">
        <v>100732</v>
      </c>
      <c r="CC98" s="293">
        <f t="shared" si="136"/>
        <v>100732</v>
      </c>
    </row>
    <row r="99" spans="1:81" s="308" customFormat="1" ht="15.95" customHeight="1" x14ac:dyDescent="0.2">
      <c r="A99" s="307" t="s">
        <v>140</v>
      </c>
      <c r="B99" s="298">
        <v>128</v>
      </c>
      <c r="C99" s="295">
        <f t="shared" si="113"/>
        <v>630163</v>
      </c>
      <c r="D99" s="295">
        <f t="shared" si="114"/>
        <v>4923.1484375</v>
      </c>
      <c r="E99" s="297">
        <v>254569</v>
      </c>
      <c r="F99" s="297">
        <v>375594</v>
      </c>
      <c r="G99" s="297">
        <v>0</v>
      </c>
      <c r="H99" s="297">
        <v>0</v>
      </c>
      <c r="I99" s="297">
        <v>0</v>
      </c>
      <c r="J99" s="297">
        <v>327685</v>
      </c>
      <c r="K99" s="293">
        <f t="shared" si="115"/>
        <v>254569</v>
      </c>
      <c r="L99" s="294">
        <v>132</v>
      </c>
      <c r="M99" s="295">
        <f t="shared" si="116"/>
        <v>708112</v>
      </c>
      <c r="N99" s="295">
        <f t="shared" si="117"/>
        <v>5364.484848484848</v>
      </c>
      <c r="O99" s="297">
        <v>278976</v>
      </c>
      <c r="P99" s="297">
        <v>429136</v>
      </c>
      <c r="Q99" s="297">
        <v>0</v>
      </c>
      <c r="R99" s="297">
        <v>0</v>
      </c>
      <c r="S99" s="297">
        <v>0</v>
      </c>
      <c r="T99" s="297">
        <v>368218</v>
      </c>
      <c r="U99" s="293">
        <f t="shared" si="118"/>
        <v>278976</v>
      </c>
      <c r="V99" s="298">
        <v>133</v>
      </c>
      <c r="W99" s="295">
        <f t="shared" si="119"/>
        <v>804579</v>
      </c>
      <c r="X99" s="295">
        <f t="shared" si="120"/>
        <v>6049.4661654135334</v>
      </c>
      <c r="Y99" s="297">
        <v>223765</v>
      </c>
      <c r="Z99" s="297">
        <v>65727</v>
      </c>
      <c r="AA99" s="297">
        <v>0</v>
      </c>
      <c r="AB99" s="297">
        <v>0</v>
      </c>
      <c r="AC99" s="297">
        <v>515087</v>
      </c>
      <c r="AD99" s="297">
        <v>411842</v>
      </c>
      <c r="AE99" s="293">
        <f t="shared" si="121"/>
        <v>223765</v>
      </c>
      <c r="AF99" s="294">
        <v>134</v>
      </c>
      <c r="AG99" s="295">
        <f t="shared" si="122"/>
        <v>889169</v>
      </c>
      <c r="AH99" s="295">
        <f t="shared" si="123"/>
        <v>6635.5895522388064</v>
      </c>
      <c r="AI99" s="297">
        <v>291757</v>
      </c>
      <c r="AJ99" s="297">
        <v>91168</v>
      </c>
      <c r="AK99" s="297">
        <v>0</v>
      </c>
      <c r="AL99" s="297">
        <v>0</v>
      </c>
      <c r="AM99" s="297">
        <v>506244</v>
      </c>
      <c r="AN99" s="297">
        <v>453476</v>
      </c>
      <c r="AO99" s="293">
        <f t="shared" si="124"/>
        <v>291757</v>
      </c>
      <c r="AP99" s="298">
        <v>144</v>
      </c>
      <c r="AQ99" s="295">
        <f t="shared" si="125"/>
        <v>975301</v>
      </c>
      <c r="AR99" s="295">
        <f t="shared" si="126"/>
        <v>6772.9236111111113</v>
      </c>
      <c r="AS99" s="297">
        <v>251945</v>
      </c>
      <c r="AT99" s="297">
        <v>129275</v>
      </c>
      <c r="AU99" s="297">
        <v>0</v>
      </c>
      <c r="AV99" s="297">
        <v>0</v>
      </c>
      <c r="AW99" s="297">
        <v>594081</v>
      </c>
      <c r="AX99" s="297">
        <v>497404</v>
      </c>
      <c r="AY99" s="293">
        <f t="shared" si="127"/>
        <v>251945</v>
      </c>
      <c r="AZ99" s="298">
        <v>149</v>
      </c>
      <c r="BA99" s="295">
        <f t="shared" si="128"/>
        <v>1016537</v>
      </c>
      <c r="BB99" s="295">
        <f t="shared" si="129"/>
        <v>6822.3959731543628</v>
      </c>
      <c r="BC99" s="297">
        <v>248434</v>
      </c>
      <c r="BD99" s="297">
        <v>129522</v>
      </c>
      <c r="BE99" s="297">
        <v>0</v>
      </c>
      <c r="BF99" s="297">
        <v>0</v>
      </c>
      <c r="BG99" s="297">
        <v>638581</v>
      </c>
      <c r="BH99" s="297">
        <v>813228</v>
      </c>
      <c r="BI99" s="293">
        <f t="shared" si="130"/>
        <v>248434</v>
      </c>
      <c r="BJ99" s="298">
        <v>164</v>
      </c>
      <c r="BK99" s="295">
        <f t="shared" si="131"/>
        <v>1104723</v>
      </c>
      <c r="BL99" s="295">
        <f t="shared" si="132"/>
        <v>6736.1158536585363</v>
      </c>
      <c r="BM99" s="297">
        <v>174221</v>
      </c>
      <c r="BN99" s="297">
        <v>100814</v>
      </c>
      <c r="BO99" s="297"/>
      <c r="BP99" s="297"/>
      <c r="BQ99" s="297">
        <v>829688</v>
      </c>
      <c r="BR99" s="297">
        <v>832125</v>
      </c>
      <c r="BS99" s="293">
        <f t="shared" si="133"/>
        <v>174221</v>
      </c>
      <c r="BT99" s="12">
        <v>249</v>
      </c>
      <c r="BU99" s="295">
        <f t="shared" si="134"/>
        <v>1365113</v>
      </c>
      <c r="BV99" s="295">
        <f t="shared" si="135"/>
        <v>5482.3815261044174</v>
      </c>
      <c r="BW99" s="11">
        <v>292149</v>
      </c>
      <c r="BX99" s="11">
        <v>136650</v>
      </c>
      <c r="BY99" s="11"/>
      <c r="BZ99" s="11"/>
      <c r="CA99" s="11">
        <v>936314</v>
      </c>
      <c r="CB99" s="11">
        <v>588317</v>
      </c>
      <c r="CC99" s="293">
        <f t="shared" si="136"/>
        <v>292149</v>
      </c>
    </row>
    <row r="100" spans="1:81" s="308" customFormat="1" ht="15.95" customHeight="1" x14ac:dyDescent="0.2">
      <c r="A100" s="56"/>
      <c r="B100" s="298"/>
      <c r="C100" s="295">
        <f t="shared" si="113"/>
        <v>0</v>
      </c>
      <c r="D100" s="295">
        <f t="shared" si="114"/>
        <v>0</v>
      </c>
      <c r="E100" s="297"/>
      <c r="F100" s="297"/>
      <c r="G100" s="297"/>
      <c r="H100" s="297"/>
      <c r="I100" s="297"/>
      <c r="J100" s="297"/>
      <c r="K100" s="293">
        <f t="shared" si="115"/>
        <v>0</v>
      </c>
      <c r="L100" s="294"/>
      <c r="M100" s="295">
        <f t="shared" si="116"/>
        <v>0</v>
      </c>
      <c r="N100" s="295">
        <f t="shared" si="117"/>
        <v>0</v>
      </c>
      <c r="O100" s="297"/>
      <c r="P100" s="297"/>
      <c r="Q100" s="297"/>
      <c r="R100" s="297"/>
      <c r="S100" s="297"/>
      <c r="T100" s="297"/>
      <c r="U100" s="293">
        <f t="shared" si="118"/>
        <v>0</v>
      </c>
      <c r="V100" s="298"/>
      <c r="W100" s="295">
        <f t="shared" si="119"/>
        <v>0</v>
      </c>
      <c r="X100" s="295">
        <f t="shared" si="120"/>
        <v>0</v>
      </c>
      <c r="Y100" s="297"/>
      <c r="Z100" s="297"/>
      <c r="AA100" s="297"/>
      <c r="AB100" s="297"/>
      <c r="AC100" s="297"/>
      <c r="AD100" s="297"/>
      <c r="AE100" s="293">
        <f t="shared" si="121"/>
        <v>0</v>
      </c>
      <c r="AF100" s="294"/>
      <c r="AG100" s="295">
        <f t="shared" si="122"/>
        <v>0</v>
      </c>
      <c r="AH100" s="295">
        <f t="shared" si="123"/>
        <v>0</v>
      </c>
      <c r="AI100" s="297"/>
      <c r="AJ100" s="297"/>
      <c r="AK100" s="297"/>
      <c r="AL100" s="297"/>
      <c r="AM100" s="297"/>
      <c r="AN100" s="297"/>
      <c r="AO100" s="293">
        <f t="shared" si="124"/>
        <v>0</v>
      </c>
      <c r="AP100" s="298"/>
      <c r="AQ100" s="295">
        <f t="shared" si="125"/>
        <v>0</v>
      </c>
      <c r="AR100" s="295">
        <f t="shared" si="126"/>
        <v>0</v>
      </c>
      <c r="AS100" s="297"/>
      <c r="AT100" s="297"/>
      <c r="AU100" s="297"/>
      <c r="AV100" s="297"/>
      <c r="AW100" s="297"/>
      <c r="AX100" s="297"/>
      <c r="AY100" s="293">
        <f t="shared" si="127"/>
        <v>0</v>
      </c>
      <c r="AZ100" s="298"/>
      <c r="BA100" s="295">
        <f t="shared" si="128"/>
        <v>0</v>
      </c>
      <c r="BB100" s="295">
        <f t="shared" si="129"/>
        <v>0</v>
      </c>
      <c r="BC100" s="297"/>
      <c r="BD100" s="297"/>
      <c r="BE100" s="297"/>
      <c r="BF100" s="297"/>
      <c r="BG100" s="297"/>
      <c r="BH100" s="297"/>
      <c r="BI100" s="293">
        <f t="shared" si="130"/>
        <v>0</v>
      </c>
      <c r="BJ100" s="298"/>
      <c r="BK100" s="295">
        <f t="shared" si="131"/>
        <v>0</v>
      </c>
      <c r="BL100" s="295">
        <f t="shared" si="132"/>
        <v>0</v>
      </c>
      <c r="BM100" s="297"/>
      <c r="BN100" s="297"/>
      <c r="BO100" s="297"/>
      <c r="BP100" s="297"/>
      <c r="BQ100" s="297"/>
      <c r="BR100" s="297"/>
      <c r="BS100" s="293">
        <f t="shared" si="133"/>
        <v>0</v>
      </c>
      <c r="BT100" s="12"/>
      <c r="BU100" s="295">
        <f t="shared" si="134"/>
        <v>0</v>
      </c>
      <c r="BV100" s="295">
        <f t="shared" si="135"/>
        <v>0</v>
      </c>
      <c r="BW100" s="11"/>
      <c r="BX100" s="11"/>
      <c r="BY100" s="11"/>
      <c r="BZ100" s="11"/>
      <c r="CA100" s="11"/>
      <c r="CB100" s="11"/>
      <c r="CC100" s="293">
        <f t="shared" si="136"/>
        <v>0</v>
      </c>
    </row>
    <row r="101" spans="1:81" s="308" customFormat="1" ht="15.95" customHeight="1" x14ac:dyDescent="0.2">
      <c r="A101" s="56"/>
      <c r="B101" s="298"/>
      <c r="C101" s="295">
        <f t="shared" si="113"/>
        <v>0</v>
      </c>
      <c r="D101" s="295">
        <f t="shared" si="114"/>
        <v>0</v>
      </c>
      <c r="E101" s="297"/>
      <c r="F101" s="297"/>
      <c r="G101" s="297"/>
      <c r="H101" s="297"/>
      <c r="I101" s="297"/>
      <c r="J101" s="297"/>
      <c r="K101" s="293">
        <f t="shared" si="115"/>
        <v>0</v>
      </c>
      <c r="L101" s="294"/>
      <c r="M101" s="295">
        <f t="shared" si="116"/>
        <v>0</v>
      </c>
      <c r="N101" s="295">
        <f t="shared" si="117"/>
        <v>0</v>
      </c>
      <c r="O101" s="297"/>
      <c r="P101" s="297"/>
      <c r="Q101" s="297"/>
      <c r="R101" s="297"/>
      <c r="S101" s="297"/>
      <c r="T101" s="297"/>
      <c r="U101" s="293">
        <f t="shared" si="118"/>
        <v>0</v>
      </c>
      <c r="V101" s="298"/>
      <c r="W101" s="295">
        <f t="shared" si="119"/>
        <v>0</v>
      </c>
      <c r="X101" s="295">
        <f t="shared" si="120"/>
        <v>0</v>
      </c>
      <c r="Y101" s="297"/>
      <c r="Z101" s="297"/>
      <c r="AA101" s="297"/>
      <c r="AB101" s="297"/>
      <c r="AC101" s="297"/>
      <c r="AD101" s="297"/>
      <c r="AE101" s="293">
        <f t="shared" si="121"/>
        <v>0</v>
      </c>
      <c r="AF101" s="294"/>
      <c r="AG101" s="295">
        <f t="shared" si="122"/>
        <v>0</v>
      </c>
      <c r="AH101" s="295">
        <f t="shared" si="123"/>
        <v>0</v>
      </c>
      <c r="AI101" s="297"/>
      <c r="AJ101" s="297"/>
      <c r="AK101" s="297"/>
      <c r="AL101" s="297"/>
      <c r="AM101" s="297"/>
      <c r="AN101" s="297"/>
      <c r="AO101" s="293">
        <f t="shared" si="124"/>
        <v>0</v>
      </c>
      <c r="AP101" s="298"/>
      <c r="AQ101" s="295">
        <f t="shared" si="125"/>
        <v>0</v>
      </c>
      <c r="AR101" s="295">
        <f t="shared" si="126"/>
        <v>0</v>
      </c>
      <c r="AS101" s="297"/>
      <c r="AT101" s="297"/>
      <c r="AU101" s="297"/>
      <c r="AV101" s="297"/>
      <c r="AW101" s="297"/>
      <c r="AX101" s="297"/>
      <c r="AY101" s="293">
        <f t="shared" si="127"/>
        <v>0</v>
      </c>
      <c r="AZ101" s="298"/>
      <c r="BA101" s="295">
        <f t="shared" si="128"/>
        <v>0</v>
      </c>
      <c r="BB101" s="295">
        <f t="shared" si="129"/>
        <v>0</v>
      </c>
      <c r="BC101" s="297"/>
      <c r="BD101" s="297"/>
      <c r="BE101" s="297"/>
      <c r="BF101" s="297"/>
      <c r="BG101" s="297"/>
      <c r="BH101" s="297"/>
      <c r="BI101" s="293">
        <f t="shared" si="130"/>
        <v>0</v>
      </c>
      <c r="BJ101" s="298"/>
      <c r="BK101" s="295">
        <f t="shared" si="131"/>
        <v>0</v>
      </c>
      <c r="BL101" s="295">
        <f t="shared" si="132"/>
        <v>0</v>
      </c>
      <c r="BM101" s="297"/>
      <c r="BN101" s="297"/>
      <c r="BO101" s="297"/>
      <c r="BP101" s="297"/>
      <c r="BQ101" s="297"/>
      <c r="BR101" s="297"/>
      <c r="BS101" s="293">
        <f t="shared" si="133"/>
        <v>0</v>
      </c>
      <c r="BT101" s="12"/>
      <c r="BU101" s="295">
        <f t="shared" si="134"/>
        <v>0</v>
      </c>
      <c r="BV101" s="295">
        <f t="shared" si="135"/>
        <v>0</v>
      </c>
      <c r="BW101" s="11"/>
      <c r="BX101" s="11"/>
      <c r="BY101" s="11"/>
      <c r="BZ101" s="11"/>
      <c r="CA101" s="11"/>
      <c r="CB101" s="11"/>
      <c r="CC101" s="293">
        <f t="shared" si="136"/>
        <v>0</v>
      </c>
    </row>
    <row r="102" spans="1:81" s="308" customFormat="1" ht="15.95" customHeight="1" x14ac:dyDescent="0.2">
      <c r="A102" s="56"/>
      <c r="B102" s="298"/>
      <c r="C102" s="295">
        <f t="shared" si="113"/>
        <v>0</v>
      </c>
      <c r="D102" s="295">
        <f t="shared" si="114"/>
        <v>0</v>
      </c>
      <c r="E102" s="297"/>
      <c r="F102" s="297"/>
      <c r="G102" s="297"/>
      <c r="H102" s="297"/>
      <c r="I102" s="297"/>
      <c r="J102" s="297"/>
      <c r="K102" s="293">
        <f t="shared" si="115"/>
        <v>0</v>
      </c>
      <c r="L102" s="294"/>
      <c r="M102" s="295">
        <f t="shared" si="116"/>
        <v>0</v>
      </c>
      <c r="N102" s="295">
        <f t="shared" si="117"/>
        <v>0</v>
      </c>
      <c r="O102" s="297"/>
      <c r="P102" s="297"/>
      <c r="Q102" s="297"/>
      <c r="R102" s="297"/>
      <c r="S102" s="297"/>
      <c r="T102" s="297"/>
      <c r="U102" s="293">
        <f t="shared" si="118"/>
        <v>0</v>
      </c>
      <c r="V102" s="298"/>
      <c r="W102" s="295">
        <f t="shared" si="119"/>
        <v>0</v>
      </c>
      <c r="X102" s="295">
        <f t="shared" si="120"/>
        <v>0</v>
      </c>
      <c r="Y102" s="297"/>
      <c r="Z102" s="297"/>
      <c r="AA102" s="297"/>
      <c r="AB102" s="297"/>
      <c r="AC102" s="297"/>
      <c r="AD102" s="297"/>
      <c r="AE102" s="293">
        <f t="shared" si="121"/>
        <v>0</v>
      </c>
      <c r="AF102" s="294"/>
      <c r="AG102" s="295">
        <f t="shared" si="122"/>
        <v>0</v>
      </c>
      <c r="AH102" s="295">
        <f t="shared" si="123"/>
        <v>0</v>
      </c>
      <c r="AI102" s="297"/>
      <c r="AJ102" s="297"/>
      <c r="AK102" s="297"/>
      <c r="AL102" s="297"/>
      <c r="AM102" s="297"/>
      <c r="AN102" s="297"/>
      <c r="AO102" s="293">
        <f t="shared" si="124"/>
        <v>0</v>
      </c>
      <c r="AP102" s="298"/>
      <c r="AQ102" s="295">
        <f t="shared" si="125"/>
        <v>0</v>
      </c>
      <c r="AR102" s="295">
        <f t="shared" si="126"/>
        <v>0</v>
      </c>
      <c r="AS102" s="297"/>
      <c r="AT102" s="297"/>
      <c r="AU102" s="297"/>
      <c r="AV102" s="297"/>
      <c r="AW102" s="297"/>
      <c r="AX102" s="297"/>
      <c r="AY102" s="293">
        <f t="shared" si="127"/>
        <v>0</v>
      </c>
      <c r="AZ102" s="298"/>
      <c r="BA102" s="295">
        <f t="shared" si="128"/>
        <v>0</v>
      </c>
      <c r="BB102" s="295">
        <f t="shared" si="129"/>
        <v>0</v>
      </c>
      <c r="BC102" s="297"/>
      <c r="BD102" s="297"/>
      <c r="BE102" s="297"/>
      <c r="BF102" s="297"/>
      <c r="BG102" s="297"/>
      <c r="BH102" s="297"/>
      <c r="BI102" s="293">
        <f t="shared" si="130"/>
        <v>0</v>
      </c>
      <c r="BJ102" s="298"/>
      <c r="BK102" s="295">
        <f t="shared" si="131"/>
        <v>0</v>
      </c>
      <c r="BL102" s="295">
        <f t="shared" si="132"/>
        <v>0</v>
      </c>
      <c r="BM102" s="297"/>
      <c r="BN102" s="297"/>
      <c r="BO102" s="297"/>
      <c r="BP102" s="297"/>
      <c r="BQ102" s="297"/>
      <c r="BR102" s="297"/>
      <c r="BS102" s="293">
        <f t="shared" si="133"/>
        <v>0</v>
      </c>
      <c r="BT102" s="12"/>
      <c r="BU102" s="295">
        <f t="shared" si="134"/>
        <v>0</v>
      </c>
      <c r="BV102" s="295">
        <f t="shared" si="135"/>
        <v>0</v>
      </c>
      <c r="BW102" s="11"/>
      <c r="BX102" s="11"/>
      <c r="BY102" s="11"/>
      <c r="BZ102" s="11"/>
      <c r="CA102" s="11"/>
      <c r="CB102" s="11"/>
      <c r="CC102" s="293">
        <f t="shared" si="136"/>
        <v>0</v>
      </c>
    </row>
    <row r="103" spans="1:81" s="308" customFormat="1" ht="15.95" customHeight="1" x14ac:dyDescent="0.2">
      <c r="A103" s="56"/>
      <c r="B103" s="298"/>
      <c r="C103" s="295">
        <f t="shared" si="113"/>
        <v>0</v>
      </c>
      <c r="D103" s="295">
        <f t="shared" si="114"/>
        <v>0</v>
      </c>
      <c r="E103" s="297"/>
      <c r="F103" s="297"/>
      <c r="G103" s="297"/>
      <c r="H103" s="297"/>
      <c r="I103" s="297"/>
      <c r="J103" s="297"/>
      <c r="K103" s="293">
        <f t="shared" si="115"/>
        <v>0</v>
      </c>
      <c r="L103" s="294"/>
      <c r="M103" s="295">
        <f t="shared" si="116"/>
        <v>0</v>
      </c>
      <c r="N103" s="295">
        <f t="shared" si="117"/>
        <v>0</v>
      </c>
      <c r="O103" s="297"/>
      <c r="P103" s="297"/>
      <c r="Q103" s="297"/>
      <c r="R103" s="297"/>
      <c r="S103" s="297"/>
      <c r="T103" s="297"/>
      <c r="U103" s="293">
        <f t="shared" si="118"/>
        <v>0</v>
      </c>
      <c r="V103" s="298"/>
      <c r="W103" s="295">
        <f t="shared" si="119"/>
        <v>0</v>
      </c>
      <c r="X103" s="295">
        <f t="shared" si="120"/>
        <v>0</v>
      </c>
      <c r="Y103" s="297"/>
      <c r="Z103" s="297"/>
      <c r="AA103" s="297"/>
      <c r="AB103" s="297"/>
      <c r="AC103" s="297"/>
      <c r="AD103" s="297"/>
      <c r="AE103" s="293">
        <f t="shared" si="121"/>
        <v>0</v>
      </c>
      <c r="AF103" s="294"/>
      <c r="AG103" s="295">
        <f t="shared" si="122"/>
        <v>0</v>
      </c>
      <c r="AH103" s="295">
        <f t="shared" si="123"/>
        <v>0</v>
      </c>
      <c r="AI103" s="297"/>
      <c r="AJ103" s="297"/>
      <c r="AK103" s="297"/>
      <c r="AL103" s="297"/>
      <c r="AM103" s="297"/>
      <c r="AN103" s="297"/>
      <c r="AO103" s="293">
        <f t="shared" si="124"/>
        <v>0</v>
      </c>
      <c r="AP103" s="298"/>
      <c r="AQ103" s="295">
        <f t="shared" si="125"/>
        <v>0</v>
      </c>
      <c r="AR103" s="295">
        <f t="shared" si="126"/>
        <v>0</v>
      </c>
      <c r="AS103" s="297"/>
      <c r="AT103" s="297"/>
      <c r="AU103" s="297"/>
      <c r="AV103" s="297"/>
      <c r="AW103" s="297"/>
      <c r="AX103" s="297"/>
      <c r="AY103" s="293">
        <f t="shared" si="127"/>
        <v>0</v>
      </c>
      <c r="AZ103" s="298"/>
      <c r="BA103" s="295">
        <f t="shared" si="128"/>
        <v>0</v>
      </c>
      <c r="BB103" s="295">
        <f t="shared" si="129"/>
        <v>0</v>
      </c>
      <c r="BC103" s="297"/>
      <c r="BD103" s="297"/>
      <c r="BE103" s="297"/>
      <c r="BF103" s="297"/>
      <c r="BG103" s="297"/>
      <c r="BH103" s="297"/>
      <c r="BI103" s="293">
        <f t="shared" si="130"/>
        <v>0</v>
      </c>
      <c r="BJ103" s="298"/>
      <c r="BK103" s="295">
        <f t="shared" si="131"/>
        <v>0</v>
      </c>
      <c r="BL103" s="295">
        <f t="shared" si="132"/>
        <v>0</v>
      </c>
      <c r="BM103" s="297"/>
      <c r="BN103" s="297"/>
      <c r="BO103" s="297"/>
      <c r="BP103" s="297"/>
      <c r="BQ103" s="297"/>
      <c r="BR103" s="297"/>
      <c r="BS103" s="293">
        <f t="shared" si="133"/>
        <v>0</v>
      </c>
      <c r="BT103" s="12"/>
      <c r="BU103" s="295">
        <f t="shared" si="134"/>
        <v>0</v>
      </c>
      <c r="BV103" s="295">
        <f t="shared" si="135"/>
        <v>0</v>
      </c>
      <c r="BW103" s="11"/>
      <c r="BX103" s="11"/>
      <c r="BY103" s="11"/>
      <c r="BZ103" s="11"/>
      <c r="CA103" s="11"/>
      <c r="CB103" s="11"/>
      <c r="CC103" s="293">
        <f t="shared" si="136"/>
        <v>0</v>
      </c>
    </row>
    <row r="104" spans="1:81" s="308" customFormat="1" ht="15.95" customHeight="1" x14ac:dyDescent="0.2">
      <c r="A104" s="56"/>
      <c r="B104" s="298"/>
      <c r="C104" s="295">
        <f t="shared" si="113"/>
        <v>0</v>
      </c>
      <c r="D104" s="295">
        <f t="shared" si="114"/>
        <v>0</v>
      </c>
      <c r="E104" s="297"/>
      <c r="F104" s="297"/>
      <c r="G104" s="297"/>
      <c r="H104" s="297"/>
      <c r="I104" s="297"/>
      <c r="J104" s="297"/>
      <c r="K104" s="293">
        <f t="shared" si="115"/>
        <v>0</v>
      </c>
      <c r="L104" s="294"/>
      <c r="M104" s="295">
        <f t="shared" si="116"/>
        <v>0</v>
      </c>
      <c r="N104" s="295">
        <f t="shared" si="117"/>
        <v>0</v>
      </c>
      <c r="O104" s="297"/>
      <c r="P104" s="297"/>
      <c r="Q104" s="297"/>
      <c r="R104" s="297"/>
      <c r="S104" s="297"/>
      <c r="T104" s="297"/>
      <c r="U104" s="293">
        <f t="shared" si="118"/>
        <v>0</v>
      </c>
      <c r="V104" s="298"/>
      <c r="W104" s="295">
        <f t="shared" si="119"/>
        <v>0</v>
      </c>
      <c r="X104" s="295">
        <f t="shared" si="120"/>
        <v>0</v>
      </c>
      <c r="Y104" s="297"/>
      <c r="Z104" s="297"/>
      <c r="AA104" s="297"/>
      <c r="AB104" s="297"/>
      <c r="AC104" s="297"/>
      <c r="AD104" s="297"/>
      <c r="AE104" s="293">
        <f t="shared" si="121"/>
        <v>0</v>
      </c>
      <c r="AF104" s="294"/>
      <c r="AG104" s="295">
        <f t="shared" si="122"/>
        <v>0</v>
      </c>
      <c r="AH104" s="295">
        <f t="shared" si="123"/>
        <v>0</v>
      </c>
      <c r="AI104" s="297"/>
      <c r="AJ104" s="297"/>
      <c r="AK104" s="297"/>
      <c r="AL104" s="297"/>
      <c r="AM104" s="297"/>
      <c r="AN104" s="297"/>
      <c r="AO104" s="293">
        <f t="shared" si="124"/>
        <v>0</v>
      </c>
      <c r="AP104" s="298"/>
      <c r="AQ104" s="295">
        <f t="shared" si="125"/>
        <v>0</v>
      </c>
      <c r="AR104" s="295">
        <f t="shared" si="126"/>
        <v>0</v>
      </c>
      <c r="AS104" s="297"/>
      <c r="AT104" s="297"/>
      <c r="AU104" s="297"/>
      <c r="AV104" s="297"/>
      <c r="AW104" s="297"/>
      <c r="AX104" s="297"/>
      <c r="AY104" s="293">
        <f t="shared" si="127"/>
        <v>0</v>
      </c>
      <c r="AZ104" s="298"/>
      <c r="BA104" s="295">
        <f t="shared" si="128"/>
        <v>0</v>
      </c>
      <c r="BB104" s="295">
        <f t="shared" si="129"/>
        <v>0</v>
      </c>
      <c r="BC104" s="297"/>
      <c r="BD104" s="297"/>
      <c r="BE104" s="297"/>
      <c r="BF104" s="297"/>
      <c r="BG104" s="297"/>
      <c r="BH104" s="297"/>
      <c r="BI104" s="293">
        <f t="shared" si="130"/>
        <v>0</v>
      </c>
      <c r="BJ104" s="298"/>
      <c r="BK104" s="295">
        <f t="shared" si="131"/>
        <v>0</v>
      </c>
      <c r="BL104" s="295">
        <f t="shared" si="132"/>
        <v>0</v>
      </c>
      <c r="BM104" s="297"/>
      <c r="BN104" s="297"/>
      <c r="BO104" s="297"/>
      <c r="BP104" s="297"/>
      <c r="BQ104" s="297"/>
      <c r="BR104" s="297"/>
      <c r="BS104" s="293">
        <f t="shared" si="133"/>
        <v>0</v>
      </c>
      <c r="BT104" s="12"/>
      <c r="BU104" s="295">
        <f t="shared" si="134"/>
        <v>0</v>
      </c>
      <c r="BV104" s="295">
        <f t="shared" si="135"/>
        <v>0</v>
      </c>
      <c r="BW104" s="11"/>
      <c r="BX104" s="11"/>
      <c r="BY104" s="11"/>
      <c r="BZ104" s="11"/>
      <c r="CA104" s="11"/>
      <c r="CB104" s="11"/>
      <c r="CC104" s="293">
        <f t="shared" si="136"/>
        <v>0</v>
      </c>
    </row>
    <row r="105" spans="1:81" s="308" customFormat="1" ht="15.95" customHeight="1" x14ac:dyDescent="0.2">
      <c r="A105" s="56"/>
      <c r="B105" s="298"/>
      <c r="C105" s="295">
        <f t="shared" si="113"/>
        <v>0</v>
      </c>
      <c r="D105" s="295">
        <f t="shared" si="114"/>
        <v>0</v>
      </c>
      <c r="E105" s="297"/>
      <c r="F105" s="297"/>
      <c r="G105" s="297"/>
      <c r="H105" s="297"/>
      <c r="I105" s="297"/>
      <c r="J105" s="297"/>
      <c r="K105" s="293">
        <f t="shared" si="115"/>
        <v>0</v>
      </c>
      <c r="L105" s="294"/>
      <c r="M105" s="295">
        <f t="shared" si="116"/>
        <v>0</v>
      </c>
      <c r="N105" s="295">
        <f t="shared" si="117"/>
        <v>0</v>
      </c>
      <c r="O105" s="297"/>
      <c r="P105" s="297"/>
      <c r="Q105" s="297"/>
      <c r="R105" s="297"/>
      <c r="S105" s="297"/>
      <c r="T105" s="297"/>
      <c r="U105" s="293">
        <f t="shared" si="118"/>
        <v>0</v>
      </c>
      <c r="V105" s="298"/>
      <c r="W105" s="295">
        <f t="shared" si="119"/>
        <v>0</v>
      </c>
      <c r="X105" s="295">
        <f t="shared" si="120"/>
        <v>0</v>
      </c>
      <c r="Y105" s="297"/>
      <c r="Z105" s="297"/>
      <c r="AA105" s="297"/>
      <c r="AB105" s="297"/>
      <c r="AC105" s="297"/>
      <c r="AD105" s="297"/>
      <c r="AE105" s="293">
        <f t="shared" si="121"/>
        <v>0</v>
      </c>
      <c r="AF105" s="294"/>
      <c r="AG105" s="295">
        <f t="shared" si="122"/>
        <v>0</v>
      </c>
      <c r="AH105" s="295">
        <f t="shared" si="123"/>
        <v>0</v>
      </c>
      <c r="AI105" s="297"/>
      <c r="AJ105" s="297"/>
      <c r="AK105" s="297"/>
      <c r="AL105" s="297"/>
      <c r="AM105" s="297"/>
      <c r="AN105" s="297"/>
      <c r="AO105" s="293">
        <f t="shared" si="124"/>
        <v>0</v>
      </c>
      <c r="AP105" s="298"/>
      <c r="AQ105" s="295">
        <f t="shared" si="125"/>
        <v>0</v>
      </c>
      <c r="AR105" s="295">
        <f t="shared" si="126"/>
        <v>0</v>
      </c>
      <c r="AS105" s="297"/>
      <c r="AT105" s="297"/>
      <c r="AU105" s="297"/>
      <c r="AV105" s="297"/>
      <c r="AW105" s="297"/>
      <c r="AX105" s="297"/>
      <c r="AY105" s="293">
        <f t="shared" si="127"/>
        <v>0</v>
      </c>
      <c r="AZ105" s="298"/>
      <c r="BA105" s="295">
        <f t="shared" si="128"/>
        <v>0</v>
      </c>
      <c r="BB105" s="295">
        <f t="shared" si="129"/>
        <v>0</v>
      </c>
      <c r="BC105" s="297"/>
      <c r="BD105" s="297"/>
      <c r="BE105" s="297"/>
      <c r="BF105" s="297"/>
      <c r="BG105" s="297"/>
      <c r="BH105" s="297"/>
      <c r="BI105" s="293">
        <f t="shared" si="130"/>
        <v>0</v>
      </c>
      <c r="BJ105" s="298"/>
      <c r="BK105" s="295">
        <f t="shared" si="131"/>
        <v>0</v>
      </c>
      <c r="BL105" s="295">
        <f t="shared" si="132"/>
        <v>0</v>
      </c>
      <c r="BM105" s="297"/>
      <c r="BN105" s="297"/>
      <c r="BO105" s="297"/>
      <c r="BP105" s="297"/>
      <c r="BQ105" s="297"/>
      <c r="BR105" s="297"/>
      <c r="BS105" s="293">
        <f t="shared" si="133"/>
        <v>0</v>
      </c>
      <c r="BT105" s="12"/>
      <c r="BU105" s="295">
        <f t="shared" si="134"/>
        <v>0</v>
      </c>
      <c r="BV105" s="295">
        <f t="shared" si="135"/>
        <v>0</v>
      </c>
      <c r="BW105" s="11"/>
      <c r="BX105" s="11"/>
      <c r="BY105" s="11"/>
      <c r="BZ105" s="11"/>
      <c r="CA105" s="11"/>
      <c r="CB105" s="11"/>
      <c r="CC105" s="293">
        <f t="shared" si="136"/>
        <v>0</v>
      </c>
    </row>
    <row r="106" spans="1:81" ht="15.95" customHeight="1" x14ac:dyDescent="0.2">
      <c r="A106" s="309" t="s">
        <v>102</v>
      </c>
      <c r="B106" s="306"/>
      <c r="C106" s="290"/>
      <c r="D106" s="290"/>
      <c r="E106" s="292"/>
      <c r="F106" s="292"/>
      <c r="G106" s="292"/>
      <c r="H106" s="292"/>
      <c r="I106" s="292"/>
      <c r="J106" s="292"/>
      <c r="K106" s="293"/>
      <c r="L106" s="294"/>
      <c r="M106" s="295"/>
      <c r="N106" s="295"/>
      <c r="O106" s="297"/>
      <c r="P106" s="297"/>
      <c r="Q106" s="297"/>
      <c r="R106" s="297"/>
      <c r="S106" s="297"/>
      <c r="T106" s="297"/>
      <c r="U106" s="293"/>
      <c r="V106" s="298"/>
      <c r="W106" s="295"/>
      <c r="X106" s="295"/>
      <c r="Y106" s="297"/>
      <c r="Z106" s="297"/>
      <c r="AA106" s="297"/>
      <c r="AB106" s="297"/>
      <c r="AC106" s="297"/>
      <c r="AD106" s="297"/>
      <c r="AE106" s="293"/>
      <c r="AF106" s="294"/>
      <c r="AG106" s="295"/>
      <c r="AH106" s="295"/>
      <c r="AI106" s="297"/>
      <c r="AJ106" s="297"/>
      <c r="AK106" s="297"/>
      <c r="AL106" s="297"/>
      <c r="AM106" s="297"/>
      <c r="AN106" s="297"/>
      <c r="AO106" s="293"/>
      <c r="AP106" s="298"/>
      <c r="AQ106" s="295"/>
      <c r="AR106" s="295"/>
      <c r="AS106" s="297"/>
      <c r="AT106" s="297"/>
      <c r="AU106" s="297"/>
      <c r="AV106" s="297"/>
      <c r="AW106" s="297"/>
      <c r="AX106" s="297"/>
      <c r="AY106" s="293"/>
      <c r="AZ106" s="298"/>
      <c r="BA106" s="295"/>
      <c r="BB106" s="295"/>
      <c r="BC106" s="297"/>
      <c r="BD106" s="297"/>
      <c r="BE106" s="297"/>
      <c r="BF106" s="297"/>
      <c r="BG106" s="297"/>
      <c r="BH106" s="297"/>
      <c r="BI106" s="293"/>
      <c r="BJ106" s="298"/>
      <c r="BK106" s="295"/>
      <c r="BL106" s="295"/>
      <c r="BM106" s="297"/>
      <c r="BN106" s="297"/>
      <c r="BO106" s="297"/>
      <c r="BP106" s="297"/>
      <c r="BQ106" s="297"/>
      <c r="BR106" s="297"/>
      <c r="BS106" s="293"/>
      <c r="BT106" s="298"/>
      <c r="BU106" s="295"/>
      <c r="BV106" s="295"/>
      <c r="BW106" s="297"/>
      <c r="BX106" s="297"/>
      <c r="BY106" s="297"/>
      <c r="BZ106" s="297"/>
      <c r="CA106" s="297"/>
      <c r="CB106" s="297"/>
      <c r="CC106" s="293"/>
    </row>
    <row r="107" spans="1:81" s="308" customFormat="1" ht="15.95" customHeight="1" x14ac:dyDescent="0.2">
      <c r="A107" s="310" t="s">
        <v>111</v>
      </c>
      <c r="B107" s="311">
        <f>SUM(B$91:B106)</f>
        <v>749</v>
      </c>
      <c r="C107" s="295">
        <f>SUM(C$91:C106)</f>
        <v>3061984</v>
      </c>
      <c r="D107" s="295">
        <f>IFERROR(C107/B107,0)</f>
        <v>4088.0961281708946</v>
      </c>
      <c r="E107" s="312">
        <f>SUM(E$91:E106)</f>
        <v>894440</v>
      </c>
      <c r="F107" s="312">
        <f>SUM(F$91:F106)</f>
        <v>1951024</v>
      </c>
      <c r="G107" s="312">
        <f>SUM(G$91:G106)</f>
        <v>0</v>
      </c>
      <c r="H107" s="312">
        <f>SUM(H$91:H106)</f>
        <v>0</v>
      </c>
      <c r="I107" s="312">
        <f>SUM(I$91:I106)</f>
        <v>216520</v>
      </c>
      <c r="J107" s="312">
        <f>SUM(J$91:J106)</f>
        <v>1948301</v>
      </c>
      <c r="K107" s="293">
        <f>SUM(K$91:K106)</f>
        <v>852738</v>
      </c>
      <c r="L107" s="313">
        <f>SUM(L$91:L106)</f>
        <v>702</v>
      </c>
      <c r="M107" s="295">
        <f>SUM(M$91:M106)</f>
        <v>3359117</v>
      </c>
      <c r="N107" s="295">
        <f>IFERROR(M107/L107,0)</f>
        <v>4785.0669515669515</v>
      </c>
      <c r="O107" s="312">
        <f>SUM(O$91:O106)</f>
        <v>948915</v>
      </c>
      <c r="P107" s="312">
        <f>SUM(P$91:P106)</f>
        <v>2143652</v>
      </c>
      <c r="Q107" s="312">
        <f>SUM(Q$91:Q106)</f>
        <v>0</v>
      </c>
      <c r="R107" s="312">
        <f>SUM(R$91:R106)</f>
        <v>0</v>
      </c>
      <c r="S107" s="312">
        <f>SUM(S$91:S106)</f>
        <v>266550</v>
      </c>
      <c r="T107" s="312">
        <f>SUM(T$91:T106)</f>
        <v>2060316</v>
      </c>
      <c r="U107" s="293">
        <f>SUM(U$91:U106)</f>
        <v>921802</v>
      </c>
      <c r="V107" s="311">
        <f>SUM(V$91:V106)</f>
        <v>719</v>
      </c>
      <c r="W107" s="295">
        <f>SUM(W$91:W106)</f>
        <v>3810737</v>
      </c>
      <c r="X107" s="295">
        <f>IFERROR(W107/V107,0)</f>
        <v>5300.051460361613</v>
      </c>
      <c r="Y107" s="312">
        <f>SUM(Y$91:Y106)</f>
        <v>1079067</v>
      </c>
      <c r="Z107" s="312">
        <f>SUM(Z$91:Z106)</f>
        <v>998431</v>
      </c>
      <c r="AA107" s="312">
        <f>SUM(AA$91:AA106)</f>
        <v>0</v>
      </c>
      <c r="AB107" s="312">
        <f>SUM(AB$91:AB106)</f>
        <v>0</v>
      </c>
      <c r="AC107" s="312">
        <f>SUM(AC$91:AC106)</f>
        <v>1733239</v>
      </c>
      <c r="AD107" s="312">
        <f>SUM(AD$91:AD106)</f>
        <v>2366339</v>
      </c>
      <c r="AE107" s="293">
        <f>SUM(AE$91:AE106)</f>
        <v>1064667</v>
      </c>
      <c r="AF107" s="313">
        <f>SUM(AF$91:AF106)</f>
        <v>700</v>
      </c>
      <c r="AG107" s="295">
        <f>SUM(AG$91:AG106)</f>
        <v>3629401</v>
      </c>
      <c r="AH107" s="295">
        <f>IFERROR(AG107/AF107,0)</f>
        <v>5184.8585714285718</v>
      </c>
      <c r="AI107" s="312">
        <f>SUM(AI$91:AI106)</f>
        <v>889788</v>
      </c>
      <c r="AJ107" s="312">
        <f>SUM(AJ$91:AJ106)</f>
        <v>1011603</v>
      </c>
      <c r="AK107" s="312">
        <f>SUM(AK$91:AK106)</f>
        <v>0</v>
      </c>
      <c r="AL107" s="312">
        <f>SUM(AL$91:AL106)</f>
        <v>0</v>
      </c>
      <c r="AM107" s="312">
        <f>SUM(AM$91:AM106)</f>
        <v>1728010</v>
      </c>
      <c r="AN107" s="312">
        <f>SUM(AN$91:AN106)</f>
        <v>2298146</v>
      </c>
      <c r="AO107" s="293">
        <f>SUM(AO$91:AO106)</f>
        <v>874784</v>
      </c>
      <c r="AP107" s="311">
        <f>SUM(AP$91:AP106)</f>
        <v>671</v>
      </c>
      <c r="AQ107" s="295">
        <f>SUM(AQ$91:AQ106)</f>
        <v>3695583</v>
      </c>
      <c r="AR107" s="295">
        <f>IFERROR(AQ107/AP107,0)</f>
        <v>5507.5752608047687</v>
      </c>
      <c r="AS107" s="312">
        <f>SUM(AS$91:AS106)</f>
        <v>836552</v>
      </c>
      <c r="AT107" s="312">
        <f>SUM(AT$91:AT106)</f>
        <v>943346</v>
      </c>
      <c r="AU107" s="312">
        <f>SUM(AU$91:AU106)</f>
        <v>0</v>
      </c>
      <c r="AV107" s="312">
        <f>SUM(AV$91:AV106)</f>
        <v>0</v>
      </c>
      <c r="AW107" s="312">
        <f>SUM(AW$91:AW106)</f>
        <v>1915685</v>
      </c>
      <c r="AX107" s="312">
        <f>SUM(AX$91:AX106)</f>
        <v>1797846</v>
      </c>
      <c r="AY107" s="293">
        <f>SUM(AY$91:AY106)</f>
        <v>705277</v>
      </c>
      <c r="AZ107" s="311">
        <f>SUM(AZ$91:AZ106)</f>
        <v>675</v>
      </c>
      <c r="BA107" s="295">
        <f>SUM(BA$91:BA106)</f>
        <v>3957014</v>
      </c>
      <c r="BB107" s="295">
        <f>IFERROR(BA107/AZ107,0)</f>
        <v>5862.2429629629632</v>
      </c>
      <c r="BC107" s="312">
        <f>SUM(BC$91:BC106)</f>
        <v>964690</v>
      </c>
      <c r="BD107" s="312">
        <f>SUM(BD$91:BD106)</f>
        <v>1013979</v>
      </c>
      <c r="BE107" s="312">
        <f>SUM(BE$91:BE106)</f>
        <v>0</v>
      </c>
      <c r="BF107" s="312">
        <f>SUM(BF$91:BF106)</f>
        <v>0</v>
      </c>
      <c r="BG107" s="312">
        <f>SUM(BG$91:BG106)</f>
        <v>1978345</v>
      </c>
      <c r="BH107" s="312">
        <f>SUM(BH$91:BH106)</f>
        <v>2857124</v>
      </c>
      <c r="BI107" s="293">
        <f>SUM(BI$91:BI106)</f>
        <v>938119</v>
      </c>
      <c r="BJ107" s="311">
        <f>SUM(BJ$91:BJ106)</f>
        <v>690</v>
      </c>
      <c r="BK107" s="295">
        <f>SUM(BK$91:BK106)</f>
        <v>4273512</v>
      </c>
      <c r="BL107" s="295">
        <f>IFERROR(BK107/BJ107,0)</f>
        <v>6193.4956521739132</v>
      </c>
      <c r="BM107" s="312">
        <f>SUM(BM$91:BM106)</f>
        <v>912128</v>
      </c>
      <c r="BN107" s="312">
        <f>SUM(BN$91:BN106)</f>
        <v>1061849</v>
      </c>
      <c r="BO107" s="312">
        <f>SUM(BO$91:BO106)</f>
        <v>0</v>
      </c>
      <c r="BP107" s="312">
        <f>SUM(BP$91:BP106)</f>
        <v>0</v>
      </c>
      <c r="BQ107" s="312">
        <f>SUM(BQ$91:BQ106)</f>
        <v>2299535</v>
      </c>
      <c r="BR107" s="312">
        <f>SUM(BR$91:BR106)</f>
        <v>2955710</v>
      </c>
      <c r="BS107" s="293">
        <f>SUM(BS$91:BS106)</f>
        <v>890530</v>
      </c>
      <c r="BT107" s="311">
        <f>SUM(BT$91:BT106)</f>
        <v>1001</v>
      </c>
      <c r="BU107" s="295">
        <f>SUM(BU$91:BU106)</f>
        <v>4765563</v>
      </c>
      <c r="BV107" s="295">
        <f>IFERROR(BU107/BT107,0)</f>
        <v>4760.802197802198</v>
      </c>
      <c r="BW107" s="312">
        <f>SUM(BW$91:BW106)</f>
        <v>1000702</v>
      </c>
      <c r="BX107" s="312">
        <f>SUM(BX$91:BX106)</f>
        <v>1425089</v>
      </c>
      <c r="BY107" s="312">
        <f>SUM(BY$91:BY106)</f>
        <v>0</v>
      </c>
      <c r="BZ107" s="312">
        <f>SUM(BZ$91:BZ106)</f>
        <v>0</v>
      </c>
      <c r="CA107" s="312">
        <f>SUM(CA$91:CA106)</f>
        <v>2339772</v>
      </c>
      <c r="CB107" s="312">
        <f>SUM(CB$91:CB106)</f>
        <v>2730002</v>
      </c>
      <c r="CC107" s="293">
        <f>SUM(CC$91:CC106)</f>
        <v>941048</v>
      </c>
    </row>
    <row r="108" spans="1:81" s="308" customFormat="1" ht="15.95" customHeight="1" x14ac:dyDescent="0.2">
      <c r="A108" s="304"/>
      <c r="B108" s="298"/>
      <c r="C108" s="295"/>
      <c r="D108" s="295"/>
      <c r="E108" s="297"/>
      <c r="F108" s="297"/>
      <c r="G108" s="297"/>
      <c r="H108" s="297"/>
      <c r="I108" s="297"/>
      <c r="J108" s="297"/>
      <c r="K108" s="293"/>
      <c r="L108" s="294"/>
      <c r="M108" s="295"/>
      <c r="N108" s="295"/>
      <c r="O108" s="297"/>
      <c r="P108" s="297"/>
      <c r="Q108" s="297"/>
      <c r="R108" s="297"/>
      <c r="S108" s="297"/>
      <c r="T108" s="297"/>
      <c r="U108" s="293"/>
      <c r="V108" s="298"/>
      <c r="W108" s="295"/>
      <c r="X108" s="295"/>
      <c r="Y108" s="297"/>
      <c r="Z108" s="297"/>
      <c r="AA108" s="297"/>
      <c r="AB108" s="297"/>
      <c r="AC108" s="297"/>
      <c r="AD108" s="297"/>
      <c r="AE108" s="293"/>
      <c r="AF108" s="294"/>
      <c r="AG108" s="295"/>
      <c r="AH108" s="295"/>
      <c r="AI108" s="297"/>
      <c r="AJ108" s="297"/>
      <c r="AK108" s="297"/>
      <c r="AL108" s="297"/>
      <c r="AM108" s="297"/>
      <c r="AN108" s="297"/>
      <c r="AO108" s="293"/>
      <c r="AP108" s="298"/>
      <c r="AQ108" s="295"/>
      <c r="AR108" s="295"/>
      <c r="AS108" s="297"/>
      <c r="AT108" s="297"/>
      <c r="AU108" s="297"/>
      <c r="AV108" s="297"/>
      <c r="AW108" s="297"/>
      <c r="AX108" s="297"/>
      <c r="AY108" s="293"/>
      <c r="AZ108" s="298"/>
      <c r="BA108" s="295"/>
      <c r="BB108" s="295"/>
      <c r="BC108" s="297"/>
      <c r="BD108" s="297"/>
      <c r="BE108" s="297"/>
      <c r="BF108" s="297"/>
      <c r="BG108" s="297"/>
      <c r="BH108" s="297"/>
      <c r="BI108" s="293"/>
      <c r="BJ108" s="298"/>
      <c r="BK108" s="295"/>
      <c r="BL108" s="295"/>
      <c r="BM108" s="297"/>
      <c r="BN108" s="297"/>
      <c r="BO108" s="297"/>
      <c r="BP108" s="297"/>
      <c r="BQ108" s="297"/>
      <c r="BR108" s="297"/>
      <c r="BS108" s="293"/>
      <c r="BT108" s="298"/>
      <c r="BU108" s="295"/>
      <c r="BV108" s="295"/>
      <c r="BW108" s="297"/>
      <c r="BX108" s="297"/>
      <c r="BY108" s="297"/>
      <c r="BZ108" s="297"/>
      <c r="CA108" s="297"/>
      <c r="CB108" s="297"/>
      <c r="CC108" s="293"/>
    </row>
    <row r="109" spans="1:81" s="308" customFormat="1" ht="15.95" customHeight="1" x14ac:dyDescent="0.2">
      <c r="A109" s="310" t="s">
        <v>141</v>
      </c>
      <c r="B109" s="311">
        <f>SUM(B107,B89)</f>
        <v>1056</v>
      </c>
      <c r="C109" s="295">
        <f>SUM(C107,C89)</f>
        <v>3483905</v>
      </c>
      <c r="D109" s="295">
        <f>IFERROR(C109/B109,0)</f>
        <v>3299.152462121212</v>
      </c>
      <c r="E109" s="312">
        <f t="shared" ref="E109:M109" si="137">SUM(E107,E89)</f>
        <v>894440</v>
      </c>
      <c r="F109" s="312">
        <f t="shared" si="137"/>
        <v>1951024</v>
      </c>
      <c r="G109" s="312">
        <f t="shared" si="137"/>
        <v>94653</v>
      </c>
      <c r="H109" s="312">
        <f t="shared" si="137"/>
        <v>327268</v>
      </c>
      <c r="I109" s="312">
        <f t="shared" si="137"/>
        <v>216520</v>
      </c>
      <c r="J109" s="312">
        <f t="shared" si="137"/>
        <v>2337495</v>
      </c>
      <c r="K109" s="293">
        <f t="shared" si="137"/>
        <v>852738</v>
      </c>
      <c r="L109" s="313">
        <f t="shared" si="137"/>
        <v>1007</v>
      </c>
      <c r="M109" s="295">
        <f t="shared" si="137"/>
        <v>3849248</v>
      </c>
      <c r="N109" s="295">
        <f>IFERROR(M109/L109,0)</f>
        <v>3822.4905660377358</v>
      </c>
      <c r="O109" s="312">
        <f t="shared" ref="O109:W109" si="138">SUM(O107,O89)</f>
        <v>948915</v>
      </c>
      <c r="P109" s="312">
        <f t="shared" si="138"/>
        <v>2143652</v>
      </c>
      <c r="Q109" s="312">
        <f t="shared" si="138"/>
        <v>94252</v>
      </c>
      <c r="R109" s="312">
        <f t="shared" si="138"/>
        <v>395879</v>
      </c>
      <c r="S109" s="312">
        <f t="shared" si="138"/>
        <v>266550</v>
      </c>
      <c r="T109" s="312">
        <f t="shared" si="138"/>
        <v>2520540</v>
      </c>
      <c r="U109" s="293">
        <f t="shared" si="138"/>
        <v>921802</v>
      </c>
      <c r="V109" s="311">
        <f t="shared" si="138"/>
        <v>1019</v>
      </c>
      <c r="W109" s="295">
        <f t="shared" si="138"/>
        <v>4303325</v>
      </c>
      <c r="X109" s="295">
        <f>IFERROR(W109/V109,0)</f>
        <v>4223.0863591756624</v>
      </c>
      <c r="Y109" s="312">
        <f t="shared" ref="Y109:AG109" si="139">SUM(Y107,Y89)</f>
        <v>1079067</v>
      </c>
      <c r="Z109" s="312">
        <f t="shared" si="139"/>
        <v>998431</v>
      </c>
      <c r="AA109" s="312">
        <f t="shared" si="139"/>
        <v>110596</v>
      </c>
      <c r="AB109" s="312">
        <f t="shared" si="139"/>
        <v>381992</v>
      </c>
      <c r="AC109" s="312">
        <f t="shared" si="139"/>
        <v>1733239</v>
      </c>
      <c r="AD109" s="312">
        <f t="shared" si="139"/>
        <v>2828368</v>
      </c>
      <c r="AE109" s="293">
        <f t="shared" si="139"/>
        <v>1064667</v>
      </c>
      <c r="AF109" s="313">
        <f t="shared" si="139"/>
        <v>996</v>
      </c>
      <c r="AG109" s="295">
        <f t="shared" si="139"/>
        <v>4119377</v>
      </c>
      <c r="AH109" s="295">
        <f>IFERROR(AG109/AF109,0)</f>
        <v>4135.9206827309235</v>
      </c>
      <c r="AI109" s="312">
        <f t="shared" ref="AI109:AQ109" si="140">SUM(AI107,AI89)</f>
        <v>889788</v>
      </c>
      <c r="AJ109" s="312">
        <f t="shared" si="140"/>
        <v>1011603</v>
      </c>
      <c r="AK109" s="312">
        <f t="shared" si="140"/>
        <v>93056</v>
      </c>
      <c r="AL109" s="312">
        <f t="shared" si="140"/>
        <v>396920</v>
      </c>
      <c r="AM109" s="312">
        <f t="shared" si="140"/>
        <v>1728010</v>
      </c>
      <c r="AN109" s="312">
        <f t="shared" si="140"/>
        <v>2745716</v>
      </c>
      <c r="AO109" s="293">
        <f t="shared" si="140"/>
        <v>874784</v>
      </c>
      <c r="AP109" s="311">
        <f t="shared" si="140"/>
        <v>920</v>
      </c>
      <c r="AQ109" s="295">
        <f t="shared" si="140"/>
        <v>4098422</v>
      </c>
      <c r="AR109" s="295">
        <f>IFERROR(AQ109/AP109,0)</f>
        <v>4454.8065217391304</v>
      </c>
      <c r="AS109" s="312">
        <f t="shared" ref="AS109:BA109" si="141">SUM(AS107,AS89)</f>
        <v>836552</v>
      </c>
      <c r="AT109" s="312">
        <f t="shared" si="141"/>
        <v>943346</v>
      </c>
      <c r="AU109" s="312">
        <f t="shared" si="141"/>
        <v>67056</v>
      </c>
      <c r="AV109" s="312">
        <f t="shared" si="141"/>
        <v>335783</v>
      </c>
      <c r="AW109" s="312">
        <f t="shared" si="141"/>
        <v>1915685</v>
      </c>
      <c r="AX109" s="312">
        <f t="shared" si="141"/>
        <v>2167107</v>
      </c>
      <c r="AY109" s="293">
        <f t="shared" si="141"/>
        <v>705277</v>
      </c>
      <c r="AZ109" s="311">
        <f t="shared" si="141"/>
        <v>870</v>
      </c>
      <c r="BA109" s="295">
        <f t="shared" si="141"/>
        <v>4237090</v>
      </c>
      <c r="BB109" s="295">
        <f>IFERROR(BA109/AZ109,0)</f>
        <v>4870.2183908045981</v>
      </c>
      <c r="BC109" s="312">
        <f t="shared" ref="BC109:BK109" si="142">SUM(BC107,BC89)</f>
        <v>964690</v>
      </c>
      <c r="BD109" s="312">
        <f t="shared" si="142"/>
        <v>1013979</v>
      </c>
      <c r="BE109" s="312">
        <f t="shared" si="142"/>
        <v>44663</v>
      </c>
      <c r="BF109" s="312">
        <f t="shared" si="142"/>
        <v>235413</v>
      </c>
      <c r="BG109" s="312">
        <f t="shared" si="142"/>
        <v>1978345</v>
      </c>
      <c r="BH109" s="312">
        <f t="shared" si="142"/>
        <v>3120721</v>
      </c>
      <c r="BI109" s="293">
        <f t="shared" si="142"/>
        <v>938119</v>
      </c>
      <c r="BJ109" s="311">
        <f t="shared" si="142"/>
        <v>889</v>
      </c>
      <c r="BK109" s="295">
        <f t="shared" si="142"/>
        <v>4598190</v>
      </c>
      <c r="BL109" s="295">
        <f>IFERROR(BK109/BJ109,0)</f>
        <v>5172.3172103487068</v>
      </c>
      <c r="BM109" s="312">
        <f t="shared" ref="BM109:BU109" si="143">SUM(BM107,BM89)</f>
        <v>912128</v>
      </c>
      <c r="BN109" s="312">
        <f t="shared" si="143"/>
        <v>1061849</v>
      </c>
      <c r="BO109" s="312">
        <f t="shared" si="143"/>
        <v>12642</v>
      </c>
      <c r="BP109" s="312">
        <f t="shared" si="143"/>
        <v>312036</v>
      </c>
      <c r="BQ109" s="312">
        <f t="shared" si="143"/>
        <v>2299535</v>
      </c>
      <c r="BR109" s="312">
        <f t="shared" si="143"/>
        <v>3269515</v>
      </c>
      <c r="BS109" s="293">
        <f t="shared" si="143"/>
        <v>890530</v>
      </c>
      <c r="BT109" s="311">
        <f t="shared" si="143"/>
        <v>1180</v>
      </c>
      <c r="BU109" s="295">
        <f t="shared" si="143"/>
        <v>5083535</v>
      </c>
      <c r="BV109" s="295">
        <f>IFERROR(BU109/BT109,0)</f>
        <v>4308.0805084745762</v>
      </c>
      <c r="BW109" s="312">
        <f t="shared" ref="BW109:CC109" si="144">SUM(BW107,BW89)</f>
        <v>1000702</v>
      </c>
      <c r="BX109" s="312">
        <f t="shared" si="144"/>
        <v>1425089</v>
      </c>
      <c r="BY109" s="312">
        <f t="shared" si="144"/>
        <v>40341</v>
      </c>
      <c r="BZ109" s="312">
        <f t="shared" si="144"/>
        <v>277631</v>
      </c>
      <c r="CA109" s="312">
        <f t="shared" si="144"/>
        <v>2339772</v>
      </c>
      <c r="CB109" s="312">
        <f t="shared" si="144"/>
        <v>3027283</v>
      </c>
      <c r="CC109" s="293">
        <f t="shared" si="144"/>
        <v>941048</v>
      </c>
    </row>
    <row r="110" spans="1:81" ht="15.95" customHeight="1" x14ac:dyDescent="0.2">
      <c r="A110" s="304"/>
      <c r="B110" s="306"/>
      <c r="C110" s="290"/>
      <c r="D110" s="290"/>
      <c r="E110" s="292"/>
      <c r="F110" s="292"/>
      <c r="G110" s="292"/>
      <c r="H110" s="292"/>
      <c r="I110" s="292"/>
      <c r="J110" s="292"/>
      <c r="K110" s="293"/>
      <c r="L110" s="294"/>
      <c r="M110" s="295"/>
      <c r="N110" s="295"/>
      <c r="O110" s="297"/>
      <c r="P110" s="297"/>
      <c r="Q110" s="297"/>
      <c r="R110" s="297"/>
      <c r="S110" s="297"/>
      <c r="T110" s="297"/>
      <c r="U110" s="293"/>
      <c r="V110" s="298"/>
      <c r="W110" s="295"/>
      <c r="X110" s="295"/>
      <c r="Y110" s="297"/>
      <c r="Z110" s="297"/>
      <c r="AA110" s="297"/>
      <c r="AB110" s="297"/>
      <c r="AC110" s="297"/>
      <c r="AD110" s="297"/>
      <c r="AE110" s="293"/>
      <c r="AF110" s="294"/>
      <c r="AG110" s="295"/>
      <c r="AH110" s="295"/>
      <c r="AI110" s="297"/>
      <c r="AJ110" s="297"/>
      <c r="AK110" s="297"/>
      <c r="AL110" s="297"/>
      <c r="AM110" s="297"/>
      <c r="AN110" s="297"/>
      <c r="AO110" s="293"/>
      <c r="AP110" s="298"/>
      <c r="AQ110" s="295"/>
      <c r="AR110" s="295"/>
      <c r="AS110" s="297"/>
      <c r="AT110" s="297"/>
      <c r="AU110" s="297"/>
      <c r="AV110" s="297"/>
      <c r="AW110" s="297"/>
      <c r="AX110" s="297"/>
      <c r="AY110" s="293"/>
      <c r="AZ110" s="298"/>
      <c r="BA110" s="295"/>
      <c r="BB110" s="295"/>
      <c r="BC110" s="297"/>
      <c r="BD110" s="297"/>
      <c r="BE110" s="297"/>
      <c r="BF110" s="297"/>
      <c r="BG110" s="297"/>
      <c r="BH110" s="297"/>
      <c r="BI110" s="293"/>
      <c r="BJ110" s="298"/>
      <c r="BK110" s="295"/>
      <c r="BL110" s="295"/>
      <c r="BM110" s="297"/>
      <c r="BN110" s="297"/>
      <c r="BO110" s="297"/>
      <c r="BP110" s="297"/>
      <c r="BQ110" s="297"/>
      <c r="BR110" s="297"/>
      <c r="BS110" s="293"/>
      <c r="BT110" s="298"/>
      <c r="BU110" s="295"/>
      <c r="BV110" s="295"/>
      <c r="BW110" s="297"/>
      <c r="BX110" s="297"/>
      <c r="BY110" s="297"/>
      <c r="BZ110" s="297"/>
      <c r="CA110" s="297"/>
      <c r="CB110" s="297"/>
      <c r="CC110" s="293"/>
    </row>
    <row r="111" spans="1:81" ht="15.95" customHeight="1" x14ac:dyDescent="0.25">
      <c r="A111" s="299" t="s">
        <v>142</v>
      </c>
      <c r="B111" s="306"/>
      <c r="C111" s="290"/>
      <c r="D111" s="290"/>
      <c r="E111" s="292"/>
      <c r="F111" s="292"/>
      <c r="G111" s="292"/>
      <c r="H111" s="292"/>
      <c r="I111" s="292"/>
      <c r="J111" s="292"/>
      <c r="K111" s="293"/>
      <c r="L111" s="294"/>
      <c r="M111" s="295"/>
      <c r="N111" s="295"/>
      <c r="O111" s="297"/>
      <c r="P111" s="297"/>
      <c r="Q111" s="297"/>
      <c r="R111" s="297"/>
      <c r="S111" s="297"/>
      <c r="T111" s="297"/>
      <c r="U111" s="293"/>
      <c r="V111" s="298"/>
      <c r="W111" s="295"/>
      <c r="X111" s="295"/>
      <c r="Y111" s="297"/>
      <c r="Z111" s="297"/>
      <c r="AA111" s="297"/>
      <c r="AB111" s="297"/>
      <c r="AC111" s="297"/>
      <c r="AD111" s="297"/>
      <c r="AE111" s="293"/>
      <c r="AF111" s="294"/>
      <c r="AG111" s="295"/>
      <c r="AH111" s="295"/>
      <c r="AI111" s="297"/>
      <c r="AJ111" s="297"/>
      <c r="AK111" s="297"/>
      <c r="AL111" s="297"/>
      <c r="AM111" s="297"/>
      <c r="AN111" s="297"/>
      <c r="AO111" s="293"/>
      <c r="AP111" s="298"/>
      <c r="AQ111" s="295"/>
      <c r="AR111" s="295"/>
      <c r="AS111" s="297"/>
      <c r="AT111" s="297"/>
      <c r="AU111" s="297"/>
      <c r="AV111" s="297"/>
      <c r="AW111" s="297"/>
      <c r="AX111" s="297"/>
      <c r="AY111" s="293"/>
      <c r="AZ111" s="298"/>
      <c r="BA111" s="295"/>
      <c r="BB111" s="295"/>
      <c r="BC111" s="297"/>
      <c r="BD111" s="297"/>
      <c r="BE111" s="297"/>
      <c r="BF111" s="297"/>
      <c r="BG111" s="297"/>
      <c r="BH111" s="297"/>
      <c r="BI111" s="293"/>
      <c r="BJ111" s="298"/>
      <c r="BK111" s="295"/>
      <c r="BL111" s="295"/>
      <c r="BM111" s="297"/>
      <c r="BN111" s="297"/>
      <c r="BO111" s="297"/>
      <c r="BP111" s="297"/>
      <c r="BQ111" s="297"/>
      <c r="BR111" s="297"/>
      <c r="BS111" s="293"/>
      <c r="BT111" s="298"/>
      <c r="BU111" s="295"/>
      <c r="BV111" s="295"/>
      <c r="BW111" s="297"/>
      <c r="BX111" s="297"/>
      <c r="BY111" s="297"/>
      <c r="BZ111" s="297"/>
      <c r="CA111" s="297"/>
      <c r="CB111" s="297"/>
      <c r="CC111" s="293"/>
    </row>
    <row r="112" spans="1:81" s="308" customFormat="1" ht="15.95" customHeight="1" x14ac:dyDescent="0.2">
      <c r="A112" s="307" t="s">
        <v>143</v>
      </c>
      <c r="B112" s="298">
        <v>220</v>
      </c>
      <c r="C112" s="295">
        <f t="shared" ref="C112:C123" si="145">SUM(E112:I112)</f>
        <v>128297</v>
      </c>
      <c r="D112" s="295">
        <f t="shared" ref="D112:D123" si="146">IFERROR(C112/B112,0)</f>
        <v>583.16818181818178</v>
      </c>
      <c r="E112" s="297">
        <v>128297</v>
      </c>
      <c r="F112" s="297">
        <v>0</v>
      </c>
      <c r="G112" s="297">
        <v>0</v>
      </c>
      <c r="H112" s="297">
        <v>0</v>
      </c>
      <c r="I112" s="297">
        <v>0</v>
      </c>
      <c r="J112" s="297">
        <v>128297</v>
      </c>
      <c r="K112" s="293">
        <f t="shared" ref="K112:K123" si="147">IF(J112=0,0,(IF(E112&lt;=J112,E112,J112)))</f>
        <v>128297</v>
      </c>
      <c r="L112" s="294">
        <v>349</v>
      </c>
      <c r="M112" s="295">
        <f t="shared" ref="M112:M123" si="148">SUM(O112:S112)</f>
        <v>194839</v>
      </c>
      <c r="N112" s="295">
        <f t="shared" ref="N112:N123" si="149">IFERROR(M112/L112,0)</f>
        <v>558.27793696275069</v>
      </c>
      <c r="O112" s="297">
        <v>194839</v>
      </c>
      <c r="P112" s="297">
        <v>0</v>
      </c>
      <c r="Q112" s="297">
        <v>0</v>
      </c>
      <c r="R112" s="297">
        <v>0</v>
      </c>
      <c r="S112" s="297">
        <v>0</v>
      </c>
      <c r="T112" s="297">
        <v>194839</v>
      </c>
      <c r="U112" s="293">
        <f t="shared" ref="U112:U123" si="150">IF(T112=0,0,(IF(O112&lt;=T112,O112,T112)))</f>
        <v>194839</v>
      </c>
      <c r="V112" s="298">
        <v>333</v>
      </c>
      <c r="W112" s="295">
        <f t="shared" ref="W112:W123" si="151">SUM(Y112:AC112)</f>
        <v>225842</v>
      </c>
      <c r="X112" s="295">
        <f t="shared" ref="X112:X123" si="152">IFERROR(W112/V112,0)</f>
        <v>678.20420420420419</v>
      </c>
      <c r="Y112" s="297">
        <v>225842</v>
      </c>
      <c r="Z112" s="297">
        <v>0</v>
      </c>
      <c r="AA112" s="297">
        <v>0</v>
      </c>
      <c r="AB112" s="297">
        <v>0</v>
      </c>
      <c r="AC112" s="297">
        <v>0</v>
      </c>
      <c r="AD112" s="297">
        <v>225842</v>
      </c>
      <c r="AE112" s="293">
        <f t="shared" ref="AE112:AE123" si="153">IF(AD112=0,0,(IF(Y112&lt;=AD112,Y112,AD112)))</f>
        <v>225842</v>
      </c>
      <c r="AF112" s="294">
        <v>0</v>
      </c>
      <c r="AG112" s="295">
        <f t="shared" ref="AG112:AG123" si="154">SUM(AI112:AM112)</f>
        <v>0</v>
      </c>
      <c r="AH112" s="295">
        <f t="shared" ref="AH112:AH123" si="155">IFERROR(AG112/AF112,0)</f>
        <v>0</v>
      </c>
      <c r="AI112" s="297">
        <v>0</v>
      </c>
      <c r="AJ112" s="297">
        <v>0</v>
      </c>
      <c r="AK112" s="297">
        <v>0</v>
      </c>
      <c r="AL112" s="297">
        <v>0</v>
      </c>
      <c r="AM112" s="297">
        <v>0</v>
      </c>
      <c r="AN112" s="297">
        <v>0</v>
      </c>
      <c r="AO112" s="293">
        <f t="shared" ref="AO112:AO123" si="156">IF(AN112=0,0,(IF(AI112&lt;=AN112,AI112,AN112)))</f>
        <v>0</v>
      </c>
      <c r="AP112" s="298">
        <v>74</v>
      </c>
      <c r="AQ112" s="295">
        <f t="shared" ref="AQ112:AQ123" si="157">SUM(AS112:AW112)</f>
        <v>43028</v>
      </c>
      <c r="AR112" s="295">
        <f t="shared" ref="AR112:AR123" si="158">IFERROR(AQ112/AP112,0)</f>
        <v>581.45945945945948</v>
      </c>
      <c r="AS112" s="297">
        <v>43028</v>
      </c>
      <c r="AT112" s="297">
        <v>0</v>
      </c>
      <c r="AU112" s="297">
        <v>0</v>
      </c>
      <c r="AV112" s="297">
        <v>0</v>
      </c>
      <c r="AW112" s="297">
        <v>0</v>
      </c>
      <c r="AX112" s="297">
        <v>43028</v>
      </c>
      <c r="AY112" s="293">
        <f t="shared" ref="AY112:AY123" si="159">IF(AX112=0,0,(IF(AS112&lt;=AX112,AS112,AX112)))</f>
        <v>43028</v>
      </c>
      <c r="AZ112" s="298">
        <v>136</v>
      </c>
      <c r="BA112" s="295">
        <f t="shared" ref="BA112:BA123" si="160">SUM(BC112:BG112)</f>
        <v>72944</v>
      </c>
      <c r="BB112" s="295">
        <f t="shared" ref="BB112:BB123" si="161">IFERROR(BA112/AZ112,0)</f>
        <v>536.35294117647061</v>
      </c>
      <c r="BC112" s="297">
        <v>58394</v>
      </c>
      <c r="BD112" s="297">
        <v>0</v>
      </c>
      <c r="BE112" s="297">
        <v>14550</v>
      </c>
      <c r="BF112" s="297">
        <v>0</v>
      </c>
      <c r="BG112" s="297">
        <v>0</v>
      </c>
      <c r="BH112" s="297">
        <v>58394</v>
      </c>
      <c r="BI112" s="293">
        <f t="shared" ref="BI112:BI123" si="162">IF(BH112=0,0,(IF(BC112&lt;=BH112,BC112,BH112)))</f>
        <v>58394</v>
      </c>
      <c r="BJ112" s="298">
        <v>140</v>
      </c>
      <c r="BK112" s="295">
        <f t="shared" ref="BK112:BK123" si="163">SUM(BM112:BQ112)</f>
        <v>110138</v>
      </c>
      <c r="BL112" s="295">
        <f t="shared" ref="BL112:BL123" si="164">IFERROR(BK112/BJ112,0)</f>
        <v>786.7</v>
      </c>
      <c r="BM112" s="297">
        <v>110138</v>
      </c>
      <c r="BN112" s="297"/>
      <c r="BO112" s="297"/>
      <c r="BP112" s="297"/>
      <c r="BQ112" s="297"/>
      <c r="BR112" s="297">
        <v>110138</v>
      </c>
      <c r="BS112" s="293">
        <f t="shared" ref="BS112:BS123" si="165">IF(BR112=0,0,(IF(BM112&lt;=BR112,BM112,BR112)))</f>
        <v>110138</v>
      </c>
      <c r="BT112" s="12">
        <v>80</v>
      </c>
      <c r="BU112" s="295">
        <f t="shared" ref="BU112:BU123" si="166">SUM(BW112:CA112)</f>
        <v>56823</v>
      </c>
      <c r="BV112" s="295">
        <f t="shared" ref="BV112:BV123" si="167">IFERROR(BU112/BT112,0)</f>
        <v>710.28750000000002</v>
      </c>
      <c r="BW112" s="11">
        <v>56823</v>
      </c>
      <c r="BX112" s="11"/>
      <c r="BY112" s="11"/>
      <c r="BZ112" s="11"/>
      <c r="CA112" s="11"/>
      <c r="CB112" s="11">
        <v>56823</v>
      </c>
      <c r="CC112" s="293">
        <f t="shared" ref="CC112:CC123" si="168">IF(CB112=0,0,(IF(BW112&lt;=CB112,BW112,CB112)))</f>
        <v>56823</v>
      </c>
    </row>
    <row r="113" spans="1:81" s="308" customFormat="1" ht="15.95" customHeight="1" x14ac:dyDescent="0.2">
      <c r="A113" s="307" t="s">
        <v>144</v>
      </c>
      <c r="B113" s="298">
        <v>2635</v>
      </c>
      <c r="C113" s="295">
        <f t="shared" si="145"/>
        <v>14652295</v>
      </c>
      <c r="D113" s="295">
        <f t="shared" si="146"/>
        <v>5560.6432637571161</v>
      </c>
      <c r="E113" s="297">
        <v>0</v>
      </c>
      <c r="F113" s="297">
        <v>0</v>
      </c>
      <c r="G113" s="297">
        <v>0</v>
      </c>
      <c r="H113" s="297">
        <v>14652295</v>
      </c>
      <c r="I113" s="297">
        <v>0</v>
      </c>
      <c r="J113" s="297">
        <v>10649602</v>
      </c>
      <c r="K113" s="293">
        <f t="shared" si="147"/>
        <v>0</v>
      </c>
      <c r="L113" s="294">
        <v>2588</v>
      </c>
      <c r="M113" s="295">
        <f t="shared" si="148"/>
        <v>14553312</v>
      </c>
      <c r="N113" s="295">
        <f t="shared" si="149"/>
        <v>5623.3817619783613</v>
      </c>
      <c r="O113" s="297">
        <v>0</v>
      </c>
      <c r="P113" s="297">
        <v>0</v>
      </c>
      <c r="Q113" s="297">
        <v>0</v>
      </c>
      <c r="R113" s="297">
        <v>14553312</v>
      </c>
      <c r="S113" s="297">
        <v>0</v>
      </c>
      <c r="T113" s="297">
        <v>10644519</v>
      </c>
      <c r="U113" s="293">
        <f t="shared" si="150"/>
        <v>0</v>
      </c>
      <c r="V113" s="298">
        <v>2398</v>
      </c>
      <c r="W113" s="295">
        <f t="shared" si="151"/>
        <v>13899257</v>
      </c>
      <c r="X113" s="295">
        <f t="shared" si="152"/>
        <v>5796.1872393661388</v>
      </c>
      <c r="Y113" s="297">
        <v>0</v>
      </c>
      <c r="Z113" s="297">
        <v>0</v>
      </c>
      <c r="AA113" s="297">
        <v>0</v>
      </c>
      <c r="AB113" s="297">
        <v>13899257</v>
      </c>
      <c r="AC113" s="297">
        <v>0</v>
      </c>
      <c r="AD113" s="297">
        <v>10214038</v>
      </c>
      <c r="AE113" s="293">
        <f t="shared" si="153"/>
        <v>0</v>
      </c>
      <c r="AF113" s="294">
        <v>2305</v>
      </c>
      <c r="AG113" s="295">
        <f t="shared" si="154"/>
        <v>13350722</v>
      </c>
      <c r="AH113" s="295">
        <f t="shared" si="155"/>
        <v>5792.0702819956614</v>
      </c>
      <c r="AI113" s="297">
        <v>0</v>
      </c>
      <c r="AJ113" s="297">
        <v>0</v>
      </c>
      <c r="AK113" s="297">
        <v>0</v>
      </c>
      <c r="AL113" s="297">
        <v>13350722</v>
      </c>
      <c r="AM113" s="297">
        <v>0</v>
      </c>
      <c r="AN113" s="297">
        <v>9981215</v>
      </c>
      <c r="AO113" s="293">
        <f t="shared" si="156"/>
        <v>0</v>
      </c>
      <c r="AP113" s="298">
        <v>2198</v>
      </c>
      <c r="AQ113" s="295">
        <f t="shared" si="157"/>
        <v>13502015</v>
      </c>
      <c r="AR113" s="295">
        <f t="shared" si="158"/>
        <v>6142.8639672429481</v>
      </c>
      <c r="AS113" s="297">
        <v>0</v>
      </c>
      <c r="AT113" s="297">
        <v>0</v>
      </c>
      <c r="AU113" s="297">
        <v>0</v>
      </c>
      <c r="AV113" s="297">
        <v>13502015</v>
      </c>
      <c r="AW113" s="297">
        <v>0</v>
      </c>
      <c r="AX113" s="297">
        <v>10049644</v>
      </c>
      <c r="AY113" s="293">
        <f t="shared" si="159"/>
        <v>0</v>
      </c>
      <c r="AZ113" s="298">
        <v>2105</v>
      </c>
      <c r="BA113" s="295">
        <f t="shared" si="160"/>
        <v>13079810</v>
      </c>
      <c r="BB113" s="295">
        <f t="shared" si="161"/>
        <v>6213.6864608076012</v>
      </c>
      <c r="BC113" s="297">
        <v>0</v>
      </c>
      <c r="BD113" s="297">
        <v>0</v>
      </c>
      <c r="BE113" s="297">
        <v>0</v>
      </c>
      <c r="BF113" s="297">
        <v>13079810</v>
      </c>
      <c r="BG113" s="297">
        <v>0</v>
      </c>
      <c r="BH113" s="297">
        <v>9122802</v>
      </c>
      <c r="BI113" s="293">
        <f t="shared" si="162"/>
        <v>0</v>
      </c>
      <c r="BJ113" s="298">
        <v>2027</v>
      </c>
      <c r="BK113" s="295">
        <f t="shared" si="163"/>
        <v>12459215</v>
      </c>
      <c r="BL113" s="295">
        <f t="shared" si="164"/>
        <v>6146.6280217069561</v>
      </c>
      <c r="BM113" s="297"/>
      <c r="BN113" s="297"/>
      <c r="BO113" s="297"/>
      <c r="BP113" s="297">
        <v>12459215</v>
      </c>
      <c r="BQ113" s="297"/>
      <c r="BR113" s="297">
        <v>9323689</v>
      </c>
      <c r="BS113" s="293">
        <f t="shared" si="165"/>
        <v>0</v>
      </c>
      <c r="BT113" s="12">
        <v>1919</v>
      </c>
      <c r="BU113" s="295">
        <f t="shared" si="166"/>
        <v>12063408</v>
      </c>
      <c r="BV113" s="295">
        <f t="shared" si="167"/>
        <v>6286.2991141219381</v>
      </c>
      <c r="BW113" s="11"/>
      <c r="BX113" s="11"/>
      <c r="BY113" s="11"/>
      <c r="BZ113" s="11">
        <v>12063408</v>
      </c>
      <c r="CA113" s="11"/>
      <c r="CB113" s="11">
        <v>9130082</v>
      </c>
      <c r="CC113" s="293">
        <f t="shared" si="168"/>
        <v>0</v>
      </c>
    </row>
    <row r="114" spans="1:81" s="308" customFormat="1" ht="15.95" customHeight="1" x14ac:dyDescent="0.2">
      <c r="A114" s="307" t="s">
        <v>145</v>
      </c>
      <c r="B114" s="298">
        <v>4</v>
      </c>
      <c r="C114" s="295">
        <f t="shared" si="145"/>
        <v>10193</v>
      </c>
      <c r="D114" s="295">
        <f t="shared" si="146"/>
        <v>2548.25</v>
      </c>
      <c r="E114" s="297">
        <v>0</v>
      </c>
      <c r="F114" s="297">
        <v>0</v>
      </c>
      <c r="G114" s="297">
        <v>0</v>
      </c>
      <c r="H114" s="297">
        <v>10193</v>
      </c>
      <c r="I114" s="297">
        <v>0</v>
      </c>
      <c r="J114" s="297">
        <v>2187</v>
      </c>
      <c r="K114" s="293">
        <f t="shared" si="147"/>
        <v>0</v>
      </c>
      <c r="L114" s="294">
        <v>12</v>
      </c>
      <c r="M114" s="295">
        <f t="shared" si="148"/>
        <v>57095</v>
      </c>
      <c r="N114" s="295">
        <f t="shared" si="149"/>
        <v>4757.916666666667</v>
      </c>
      <c r="O114" s="297">
        <v>0</v>
      </c>
      <c r="P114" s="297">
        <v>0</v>
      </c>
      <c r="Q114" s="297">
        <v>0</v>
      </c>
      <c r="R114" s="297">
        <v>57095</v>
      </c>
      <c r="S114" s="297">
        <v>0</v>
      </c>
      <c r="T114" s="297">
        <v>11210</v>
      </c>
      <c r="U114" s="293">
        <f t="shared" si="150"/>
        <v>0</v>
      </c>
      <c r="V114" s="298">
        <v>7</v>
      </c>
      <c r="W114" s="295">
        <f t="shared" si="151"/>
        <v>39579</v>
      </c>
      <c r="X114" s="295">
        <f t="shared" si="152"/>
        <v>5654.1428571428569</v>
      </c>
      <c r="Y114" s="297">
        <v>0</v>
      </c>
      <c r="Z114" s="297">
        <v>0</v>
      </c>
      <c r="AA114" s="297">
        <v>0</v>
      </c>
      <c r="AB114" s="297">
        <v>39579</v>
      </c>
      <c r="AC114" s="297">
        <v>0</v>
      </c>
      <c r="AD114" s="297">
        <v>9767</v>
      </c>
      <c r="AE114" s="293">
        <f t="shared" si="153"/>
        <v>0</v>
      </c>
      <c r="AF114" s="294">
        <v>6</v>
      </c>
      <c r="AG114" s="295">
        <f t="shared" si="154"/>
        <v>30121</v>
      </c>
      <c r="AH114" s="295">
        <f t="shared" si="155"/>
        <v>5020.166666666667</v>
      </c>
      <c r="AI114" s="297">
        <v>0</v>
      </c>
      <c r="AJ114" s="297">
        <v>0</v>
      </c>
      <c r="AK114" s="297">
        <v>0</v>
      </c>
      <c r="AL114" s="297">
        <v>30121</v>
      </c>
      <c r="AM114" s="297">
        <v>0</v>
      </c>
      <c r="AN114" s="297">
        <v>15671</v>
      </c>
      <c r="AO114" s="293">
        <f t="shared" si="156"/>
        <v>0</v>
      </c>
      <c r="AP114" s="298">
        <v>6</v>
      </c>
      <c r="AQ114" s="295">
        <f t="shared" si="157"/>
        <v>28262</v>
      </c>
      <c r="AR114" s="295">
        <f t="shared" si="158"/>
        <v>4710.333333333333</v>
      </c>
      <c r="AS114" s="297">
        <v>0</v>
      </c>
      <c r="AT114" s="297">
        <v>0</v>
      </c>
      <c r="AU114" s="297">
        <v>0</v>
      </c>
      <c r="AV114" s="297">
        <v>28262</v>
      </c>
      <c r="AW114" s="297">
        <v>0</v>
      </c>
      <c r="AX114" s="297">
        <v>15678</v>
      </c>
      <c r="AY114" s="293">
        <f t="shared" si="159"/>
        <v>0</v>
      </c>
      <c r="AZ114" s="298">
        <v>9</v>
      </c>
      <c r="BA114" s="295">
        <f t="shared" si="160"/>
        <v>43631</v>
      </c>
      <c r="BB114" s="295">
        <f t="shared" si="161"/>
        <v>4847.8888888888887</v>
      </c>
      <c r="BC114" s="297">
        <v>0</v>
      </c>
      <c r="BD114" s="297">
        <v>0</v>
      </c>
      <c r="BE114" s="297">
        <v>0</v>
      </c>
      <c r="BF114" s="297">
        <v>43631</v>
      </c>
      <c r="BG114" s="297">
        <v>0</v>
      </c>
      <c r="BH114" s="297">
        <v>7153</v>
      </c>
      <c r="BI114" s="293">
        <f t="shared" si="162"/>
        <v>0</v>
      </c>
      <c r="BJ114" s="298">
        <v>9</v>
      </c>
      <c r="BK114" s="295">
        <f t="shared" si="163"/>
        <v>55598</v>
      </c>
      <c r="BL114" s="295">
        <f t="shared" si="164"/>
        <v>6177.5555555555557</v>
      </c>
      <c r="BM114" s="297"/>
      <c r="BN114" s="297"/>
      <c r="BO114" s="297"/>
      <c r="BP114" s="297">
        <v>55598</v>
      </c>
      <c r="BQ114" s="297"/>
      <c r="BR114" s="297">
        <v>8034</v>
      </c>
      <c r="BS114" s="293">
        <f t="shared" si="165"/>
        <v>0</v>
      </c>
      <c r="BT114" s="12">
        <v>12</v>
      </c>
      <c r="BU114" s="295">
        <f t="shared" si="166"/>
        <v>112293</v>
      </c>
      <c r="BV114" s="295">
        <f t="shared" si="167"/>
        <v>9357.75</v>
      </c>
      <c r="BW114" s="11"/>
      <c r="BX114" s="11"/>
      <c r="BY114" s="11"/>
      <c r="BZ114" s="11">
        <v>112293</v>
      </c>
      <c r="CA114" s="11"/>
      <c r="CB114" s="11">
        <v>21120</v>
      </c>
      <c r="CC114" s="293">
        <f t="shared" si="168"/>
        <v>0</v>
      </c>
    </row>
    <row r="115" spans="1:81" s="308" customFormat="1" ht="15.95" customHeight="1" x14ac:dyDescent="0.2">
      <c r="A115" s="307" t="s">
        <v>146</v>
      </c>
      <c r="B115" s="298">
        <v>491</v>
      </c>
      <c r="C115" s="295">
        <f t="shared" si="145"/>
        <v>4303172</v>
      </c>
      <c r="D115" s="295">
        <f t="shared" si="146"/>
        <v>8764.0977596741341</v>
      </c>
      <c r="E115" s="297">
        <v>0</v>
      </c>
      <c r="F115" s="297">
        <v>0</v>
      </c>
      <c r="G115" s="297">
        <v>0</v>
      </c>
      <c r="H115" s="297">
        <v>4303172</v>
      </c>
      <c r="I115" s="297">
        <v>0</v>
      </c>
      <c r="J115" s="297">
        <v>3728821</v>
      </c>
      <c r="K115" s="293">
        <f t="shared" si="147"/>
        <v>0</v>
      </c>
      <c r="L115" s="294">
        <v>488</v>
      </c>
      <c r="M115" s="295">
        <f t="shared" si="148"/>
        <v>4280917</v>
      </c>
      <c r="N115" s="295">
        <f t="shared" si="149"/>
        <v>8772.3709016393441</v>
      </c>
      <c r="O115" s="297">
        <v>0</v>
      </c>
      <c r="P115" s="297">
        <v>0</v>
      </c>
      <c r="Q115" s="297">
        <v>0</v>
      </c>
      <c r="R115" s="297">
        <v>4280917</v>
      </c>
      <c r="S115" s="297">
        <v>0</v>
      </c>
      <c r="T115" s="297">
        <v>3738607</v>
      </c>
      <c r="U115" s="293">
        <f t="shared" si="150"/>
        <v>0</v>
      </c>
      <c r="V115" s="298">
        <v>402</v>
      </c>
      <c r="W115" s="295">
        <f t="shared" si="151"/>
        <v>3813707</v>
      </c>
      <c r="X115" s="295">
        <f t="shared" si="152"/>
        <v>9486.8333333333339</v>
      </c>
      <c r="Y115" s="297">
        <v>0</v>
      </c>
      <c r="Z115" s="297">
        <v>0</v>
      </c>
      <c r="AA115" s="297">
        <v>0</v>
      </c>
      <c r="AB115" s="297">
        <v>3813707</v>
      </c>
      <c r="AC115" s="297">
        <v>0</v>
      </c>
      <c r="AD115" s="297">
        <v>3525258</v>
      </c>
      <c r="AE115" s="293">
        <f t="shared" si="153"/>
        <v>0</v>
      </c>
      <c r="AF115" s="294">
        <v>380</v>
      </c>
      <c r="AG115" s="295">
        <f t="shared" si="154"/>
        <v>3639833</v>
      </c>
      <c r="AH115" s="295">
        <f t="shared" si="155"/>
        <v>9578.507894736842</v>
      </c>
      <c r="AI115" s="297">
        <v>0</v>
      </c>
      <c r="AJ115" s="297">
        <v>0</v>
      </c>
      <c r="AK115" s="297">
        <v>0</v>
      </c>
      <c r="AL115" s="297">
        <v>3639833</v>
      </c>
      <c r="AM115" s="297">
        <v>0</v>
      </c>
      <c r="AN115" s="297">
        <v>3348616</v>
      </c>
      <c r="AO115" s="293">
        <f t="shared" si="156"/>
        <v>0</v>
      </c>
      <c r="AP115" s="298">
        <v>320</v>
      </c>
      <c r="AQ115" s="295">
        <f t="shared" si="157"/>
        <v>3010269</v>
      </c>
      <c r="AR115" s="295">
        <f t="shared" si="158"/>
        <v>9407.0906250000007</v>
      </c>
      <c r="AS115" s="297">
        <v>0</v>
      </c>
      <c r="AT115" s="297">
        <v>0</v>
      </c>
      <c r="AU115" s="297">
        <v>0</v>
      </c>
      <c r="AV115" s="297">
        <v>3010269</v>
      </c>
      <c r="AW115" s="297">
        <v>0</v>
      </c>
      <c r="AX115" s="297">
        <v>2747423</v>
      </c>
      <c r="AY115" s="293">
        <f t="shared" si="159"/>
        <v>0</v>
      </c>
      <c r="AZ115" s="298">
        <v>179</v>
      </c>
      <c r="BA115" s="295">
        <f t="shared" si="160"/>
        <v>1807990</v>
      </c>
      <c r="BB115" s="295">
        <f t="shared" si="161"/>
        <v>10100.502793296089</v>
      </c>
      <c r="BC115" s="297">
        <v>0</v>
      </c>
      <c r="BD115" s="297">
        <v>0</v>
      </c>
      <c r="BE115" s="297">
        <v>0</v>
      </c>
      <c r="BF115" s="297">
        <v>1807990</v>
      </c>
      <c r="BG115" s="297">
        <v>0</v>
      </c>
      <c r="BH115" s="297">
        <v>1607853</v>
      </c>
      <c r="BI115" s="293">
        <f t="shared" si="162"/>
        <v>0</v>
      </c>
      <c r="BJ115" s="298">
        <v>143</v>
      </c>
      <c r="BK115" s="295">
        <f t="shared" si="163"/>
        <v>1366334</v>
      </c>
      <c r="BL115" s="295">
        <f t="shared" si="164"/>
        <v>9554.7832167832166</v>
      </c>
      <c r="BM115" s="297"/>
      <c r="BN115" s="297"/>
      <c r="BO115" s="297"/>
      <c r="BP115" s="297">
        <v>1366334</v>
      </c>
      <c r="BQ115" s="297"/>
      <c r="BR115" s="297">
        <v>1213598</v>
      </c>
      <c r="BS115" s="293">
        <f t="shared" si="165"/>
        <v>0</v>
      </c>
      <c r="BT115" s="12">
        <v>141</v>
      </c>
      <c r="BU115" s="295">
        <f t="shared" si="166"/>
        <v>1523483</v>
      </c>
      <c r="BV115" s="295">
        <f t="shared" si="167"/>
        <v>10804.843971631206</v>
      </c>
      <c r="BW115" s="11"/>
      <c r="BX115" s="11"/>
      <c r="BY115" s="11"/>
      <c r="BZ115" s="11">
        <v>1523483</v>
      </c>
      <c r="CA115" s="11"/>
      <c r="CB115" s="11">
        <v>1294550</v>
      </c>
      <c r="CC115" s="293">
        <f t="shared" si="168"/>
        <v>0</v>
      </c>
    </row>
    <row r="116" spans="1:81" s="308" customFormat="1" ht="15.95" customHeight="1" x14ac:dyDescent="0.2">
      <c r="A116" s="307" t="s">
        <v>147</v>
      </c>
      <c r="B116" s="298">
        <v>37</v>
      </c>
      <c r="C116" s="295">
        <f t="shared" si="145"/>
        <v>105482</v>
      </c>
      <c r="D116" s="295">
        <f t="shared" si="146"/>
        <v>2850.864864864865</v>
      </c>
      <c r="E116" s="297">
        <v>0</v>
      </c>
      <c r="F116" s="297">
        <v>0</v>
      </c>
      <c r="G116" s="297">
        <v>0</v>
      </c>
      <c r="H116" s="297">
        <v>105482</v>
      </c>
      <c r="I116" s="297">
        <v>0</v>
      </c>
      <c r="J116" s="297">
        <v>67375</v>
      </c>
      <c r="K116" s="293">
        <f t="shared" si="147"/>
        <v>0</v>
      </c>
      <c r="L116" s="294">
        <v>41</v>
      </c>
      <c r="M116" s="295">
        <f t="shared" si="148"/>
        <v>113934</v>
      </c>
      <c r="N116" s="295">
        <f t="shared" si="149"/>
        <v>2778.8780487804879</v>
      </c>
      <c r="O116" s="297">
        <v>0</v>
      </c>
      <c r="P116" s="297">
        <v>0</v>
      </c>
      <c r="Q116" s="297">
        <v>0</v>
      </c>
      <c r="R116" s="297">
        <v>113934</v>
      </c>
      <c r="S116" s="297">
        <v>0</v>
      </c>
      <c r="T116" s="297">
        <v>78650</v>
      </c>
      <c r="U116" s="293">
        <f t="shared" si="150"/>
        <v>0</v>
      </c>
      <c r="V116" s="298">
        <v>37</v>
      </c>
      <c r="W116" s="295">
        <f t="shared" si="151"/>
        <v>94541</v>
      </c>
      <c r="X116" s="295">
        <f t="shared" si="152"/>
        <v>2555.1621621621621</v>
      </c>
      <c r="Y116" s="297">
        <v>0</v>
      </c>
      <c r="Z116" s="297">
        <v>0</v>
      </c>
      <c r="AA116" s="297">
        <v>0</v>
      </c>
      <c r="AB116" s="297">
        <v>94541</v>
      </c>
      <c r="AC116" s="297">
        <v>0</v>
      </c>
      <c r="AD116" s="297">
        <v>70551</v>
      </c>
      <c r="AE116" s="293">
        <f t="shared" si="153"/>
        <v>0</v>
      </c>
      <c r="AF116" s="294">
        <v>26</v>
      </c>
      <c r="AG116" s="295">
        <f t="shared" si="154"/>
        <v>78129</v>
      </c>
      <c r="AH116" s="295">
        <f t="shared" si="155"/>
        <v>3004.9615384615386</v>
      </c>
      <c r="AI116" s="297">
        <v>0</v>
      </c>
      <c r="AJ116" s="297">
        <v>0</v>
      </c>
      <c r="AK116" s="297">
        <v>0</v>
      </c>
      <c r="AL116" s="297">
        <v>78129</v>
      </c>
      <c r="AM116" s="297">
        <v>0</v>
      </c>
      <c r="AN116" s="297">
        <v>61293</v>
      </c>
      <c r="AO116" s="293">
        <f t="shared" si="156"/>
        <v>0</v>
      </c>
      <c r="AP116" s="298">
        <v>16</v>
      </c>
      <c r="AQ116" s="295">
        <f t="shared" si="157"/>
        <v>40981</v>
      </c>
      <c r="AR116" s="295">
        <f t="shared" si="158"/>
        <v>2561.3125</v>
      </c>
      <c r="AS116" s="297">
        <v>0</v>
      </c>
      <c r="AT116" s="297">
        <v>0</v>
      </c>
      <c r="AU116" s="297">
        <v>0</v>
      </c>
      <c r="AV116" s="297">
        <v>40981</v>
      </c>
      <c r="AW116" s="297">
        <v>0</v>
      </c>
      <c r="AX116" s="297">
        <v>33923</v>
      </c>
      <c r="AY116" s="293">
        <f t="shared" si="159"/>
        <v>0</v>
      </c>
      <c r="AZ116" s="298">
        <v>19</v>
      </c>
      <c r="BA116" s="295">
        <f t="shared" si="160"/>
        <v>60322</v>
      </c>
      <c r="BB116" s="295">
        <f t="shared" si="161"/>
        <v>3174.8421052631579</v>
      </c>
      <c r="BC116" s="297">
        <v>0</v>
      </c>
      <c r="BD116" s="297">
        <v>0</v>
      </c>
      <c r="BE116" s="297">
        <v>0</v>
      </c>
      <c r="BF116" s="297">
        <v>60322</v>
      </c>
      <c r="BG116" s="297">
        <v>0</v>
      </c>
      <c r="BH116" s="297"/>
      <c r="BI116" s="293">
        <f t="shared" si="162"/>
        <v>0</v>
      </c>
      <c r="BJ116" s="298">
        <v>21</v>
      </c>
      <c r="BK116" s="295">
        <f t="shared" si="163"/>
        <v>56081</v>
      </c>
      <c r="BL116" s="295">
        <f t="shared" si="164"/>
        <v>2670.5238095238096</v>
      </c>
      <c r="BM116" s="297"/>
      <c r="BN116" s="297"/>
      <c r="BO116" s="297"/>
      <c r="BP116" s="297">
        <v>56081</v>
      </c>
      <c r="BQ116" s="297"/>
      <c r="BR116" s="297">
        <v>42880</v>
      </c>
      <c r="BS116" s="293">
        <f t="shared" si="165"/>
        <v>0</v>
      </c>
      <c r="BT116" s="12">
        <v>32</v>
      </c>
      <c r="BU116" s="295">
        <f t="shared" si="166"/>
        <v>79050</v>
      </c>
      <c r="BV116" s="295">
        <f t="shared" si="167"/>
        <v>2470.3125</v>
      </c>
      <c r="BW116" s="11"/>
      <c r="BX116" s="11"/>
      <c r="BY116" s="11"/>
      <c r="BZ116" s="11">
        <v>79050</v>
      </c>
      <c r="CA116" s="11"/>
      <c r="CB116" s="11">
        <v>76237</v>
      </c>
      <c r="CC116" s="293">
        <f t="shared" si="168"/>
        <v>0</v>
      </c>
    </row>
    <row r="117" spans="1:81" s="308" customFormat="1" ht="15.95" customHeight="1" x14ac:dyDescent="0.2">
      <c r="A117" s="307" t="s">
        <v>148</v>
      </c>
      <c r="B117" s="298">
        <v>43</v>
      </c>
      <c r="C117" s="295">
        <f t="shared" si="145"/>
        <v>92051</v>
      </c>
      <c r="D117" s="295">
        <f t="shared" si="146"/>
        <v>2140.7209302325582</v>
      </c>
      <c r="E117" s="297">
        <v>0</v>
      </c>
      <c r="F117" s="297">
        <v>0</v>
      </c>
      <c r="G117" s="297">
        <v>0</v>
      </c>
      <c r="H117" s="297">
        <v>92051</v>
      </c>
      <c r="I117" s="297">
        <v>0</v>
      </c>
      <c r="J117" s="297">
        <v>86528</v>
      </c>
      <c r="K117" s="293">
        <f t="shared" si="147"/>
        <v>0</v>
      </c>
      <c r="L117" s="294">
        <v>38</v>
      </c>
      <c r="M117" s="295">
        <f t="shared" si="148"/>
        <v>78839</v>
      </c>
      <c r="N117" s="295">
        <f t="shared" si="149"/>
        <v>2074.7105263157896</v>
      </c>
      <c r="O117" s="297">
        <v>0</v>
      </c>
      <c r="P117" s="297">
        <v>0</v>
      </c>
      <c r="Q117" s="297">
        <v>0</v>
      </c>
      <c r="R117" s="297">
        <v>78839</v>
      </c>
      <c r="S117" s="297">
        <v>0</v>
      </c>
      <c r="T117" s="297">
        <v>71424</v>
      </c>
      <c r="U117" s="293">
        <f t="shared" si="150"/>
        <v>0</v>
      </c>
      <c r="V117" s="298">
        <v>25</v>
      </c>
      <c r="W117" s="295">
        <f t="shared" si="151"/>
        <v>69978</v>
      </c>
      <c r="X117" s="295">
        <f t="shared" si="152"/>
        <v>2799.12</v>
      </c>
      <c r="Y117" s="297">
        <v>0</v>
      </c>
      <c r="Z117" s="297">
        <v>0</v>
      </c>
      <c r="AA117" s="297">
        <v>0</v>
      </c>
      <c r="AB117" s="297">
        <v>69978</v>
      </c>
      <c r="AC117" s="297">
        <v>0</v>
      </c>
      <c r="AD117" s="297">
        <v>62980</v>
      </c>
      <c r="AE117" s="293">
        <f t="shared" si="153"/>
        <v>0</v>
      </c>
      <c r="AF117" s="294">
        <v>42</v>
      </c>
      <c r="AG117" s="295">
        <f t="shared" si="154"/>
        <v>69602</v>
      </c>
      <c r="AH117" s="295">
        <f t="shared" si="155"/>
        <v>1657.1904761904761</v>
      </c>
      <c r="AI117" s="297">
        <v>0</v>
      </c>
      <c r="AJ117" s="297">
        <v>0</v>
      </c>
      <c r="AK117" s="297">
        <v>0</v>
      </c>
      <c r="AL117" s="297">
        <v>69602</v>
      </c>
      <c r="AM117" s="297">
        <v>0</v>
      </c>
      <c r="AN117" s="297">
        <v>64645</v>
      </c>
      <c r="AO117" s="293">
        <f t="shared" si="156"/>
        <v>0</v>
      </c>
      <c r="AP117" s="298">
        <v>29</v>
      </c>
      <c r="AQ117" s="295">
        <f t="shared" si="157"/>
        <v>83152</v>
      </c>
      <c r="AR117" s="295">
        <f t="shared" si="158"/>
        <v>2867.3103448275861</v>
      </c>
      <c r="AS117" s="297">
        <v>0</v>
      </c>
      <c r="AT117" s="297">
        <v>0</v>
      </c>
      <c r="AU117" s="297">
        <v>0</v>
      </c>
      <c r="AV117" s="297">
        <v>83152</v>
      </c>
      <c r="AW117" s="297">
        <v>0</v>
      </c>
      <c r="AX117" s="297">
        <v>77331</v>
      </c>
      <c r="AY117" s="293">
        <f t="shared" si="159"/>
        <v>0</v>
      </c>
      <c r="AZ117" s="298">
        <v>42</v>
      </c>
      <c r="BA117" s="295">
        <f t="shared" si="160"/>
        <v>116885</v>
      </c>
      <c r="BB117" s="295">
        <f t="shared" si="161"/>
        <v>2782.9761904761904</v>
      </c>
      <c r="BC117" s="297">
        <v>0</v>
      </c>
      <c r="BD117" s="297">
        <v>0</v>
      </c>
      <c r="BE117" s="297">
        <v>0</v>
      </c>
      <c r="BF117" s="297">
        <v>116885</v>
      </c>
      <c r="BG117" s="297">
        <v>0</v>
      </c>
      <c r="BH117" s="297"/>
      <c r="BI117" s="293">
        <f t="shared" si="162"/>
        <v>0</v>
      </c>
      <c r="BJ117" s="298">
        <v>30</v>
      </c>
      <c r="BK117" s="295">
        <f t="shared" si="163"/>
        <v>75956</v>
      </c>
      <c r="BL117" s="295">
        <f t="shared" si="164"/>
        <v>2531.8666666666668</v>
      </c>
      <c r="BM117" s="297"/>
      <c r="BN117" s="297"/>
      <c r="BO117" s="297"/>
      <c r="BP117" s="297">
        <v>75956</v>
      </c>
      <c r="BQ117" s="297"/>
      <c r="BR117" s="297"/>
      <c r="BS117" s="293">
        <f t="shared" si="165"/>
        <v>0</v>
      </c>
      <c r="BT117" s="12">
        <v>27</v>
      </c>
      <c r="BU117" s="295">
        <f t="shared" si="166"/>
        <v>63190</v>
      </c>
      <c r="BV117" s="295">
        <f t="shared" si="167"/>
        <v>2340.3703703703704</v>
      </c>
      <c r="BW117" s="11"/>
      <c r="BX117" s="11"/>
      <c r="BY117" s="11"/>
      <c r="BZ117" s="11">
        <v>63190</v>
      </c>
      <c r="CA117" s="11"/>
      <c r="CB117" s="11"/>
      <c r="CC117" s="293">
        <f t="shared" si="168"/>
        <v>0</v>
      </c>
    </row>
    <row r="118" spans="1:81" s="308" customFormat="1" ht="15.95" customHeight="1" x14ac:dyDescent="0.2">
      <c r="A118" s="56"/>
      <c r="B118" s="298"/>
      <c r="C118" s="295">
        <f t="shared" ref="C118:C120" si="169">SUM(E118:I118)</f>
        <v>0</v>
      </c>
      <c r="D118" s="295">
        <f t="shared" si="146"/>
        <v>0</v>
      </c>
      <c r="E118" s="297"/>
      <c r="F118" s="297"/>
      <c r="G118" s="297"/>
      <c r="H118" s="297"/>
      <c r="I118" s="297"/>
      <c r="J118" s="297"/>
      <c r="K118" s="293">
        <f t="shared" si="147"/>
        <v>0</v>
      </c>
      <c r="L118" s="294"/>
      <c r="M118" s="295">
        <f t="shared" si="148"/>
        <v>0</v>
      </c>
      <c r="N118" s="295">
        <f t="shared" si="149"/>
        <v>0</v>
      </c>
      <c r="O118" s="297"/>
      <c r="P118" s="297"/>
      <c r="Q118" s="297"/>
      <c r="R118" s="297"/>
      <c r="S118" s="297"/>
      <c r="T118" s="297"/>
      <c r="U118" s="293">
        <f t="shared" si="150"/>
        <v>0</v>
      </c>
      <c r="V118" s="298"/>
      <c r="W118" s="295">
        <f t="shared" si="151"/>
        <v>0</v>
      </c>
      <c r="X118" s="295">
        <f t="shared" si="152"/>
        <v>0</v>
      </c>
      <c r="Y118" s="297"/>
      <c r="Z118" s="297"/>
      <c r="AA118" s="297"/>
      <c r="AB118" s="297"/>
      <c r="AC118" s="297"/>
      <c r="AD118" s="297"/>
      <c r="AE118" s="293">
        <f t="shared" si="153"/>
        <v>0</v>
      </c>
      <c r="AF118" s="294"/>
      <c r="AG118" s="295">
        <f t="shared" si="154"/>
        <v>0</v>
      </c>
      <c r="AH118" s="295">
        <f t="shared" si="155"/>
        <v>0</v>
      </c>
      <c r="AI118" s="297"/>
      <c r="AJ118" s="297"/>
      <c r="AK118" s="297"/>
      <c r="AL118" s="297"/>
      <c r="AM118" s="297"/>
      <c r="AN118" s="297"/>
      <c r="AO118" s="293">
        <f t="shared" si="156"/>
        <v>0</v>
      </c>
      <c r="AP118" s="298"/>
      <c r="AQ118" s="295">
        <f t="shared" si="157"/>
        <v>0</v>
      </c>
      <c r="AR118" s="295">
        <f t="shared" si="158"/>
        <v>0</v>
      </c>
      <c r="AS118" s="297"/>
      <c r="AT118" s="297"/>
      <c r="AU118" s="297"/>
      <c r="AV118" s="297"/>
      <c r="AW118" s="297"/>
      <c r="AX118" s="297"/>
      <c r="AY118" s="293">
        <f t="shared" si="159"/>
        <v>0</v>
      </c>
      <c r="AZ118" s="298"/>
      <c r="BA118" s="295">
        <f t="shared" si="160"/>
        <v>0</v>
      </c>
      <c r="BB118" s="295">
        <f t="shared" si="161"/>
        <v>0</v>
      </c>
      <c r="BC118" s="297"/>
      <c r="BD118" s="297"/>
      <c r="BE118" s="297"/>
      <c r="BF118" s="297"/>
      <c r="BG118" s="297"/>
      <c r="BH118" s="297"/>
      <c r="BI118" s="293">
        <f t="shared" si="162"/>
        <v>0</v>
      </c>
      <c r="BJ118" s="298"/>
      <c r="BK118" s="295">
        <f t="shared" si="163"/>
        <v>0</v>
      </c>
      <c r="BL118" s="295">
        <f t="shared" si="164"/>
        <v>0</v>
      </c>
      <c r="BM118" s="297"/>
      <c r="BN118" s="297"/>
      <c r="BO118" s="297"/>
      <c r="BP118" s="297"/>
      <c r="BQ118" s="297"/>
      <c r="BR118" s="297"/>
      <c r="BS118" s="293">
        <f t="shared" si="165"/>
        <v>0</v>
      </c>
      <c r="BT118" s="12"/>
      <c r="BU118" s="295">
        <f t="shared" si="166"/>
        <v>0</v>
      </c>
      <c r="BV118" s="295">
        <f t="shared" si="167"/>
        <v>0</v>
      </c>
      <c r="BW118" s="11"/>
      <c r="BX118" s="11"/>
      <c r="BY118" s="11"/>
      <c r="BZ118" s="11"/>
      <c r="CA118" s="11"/>
      <c r="CB118" s="11"/>
      <c r="CC118" s="293">
        <f t="shared" si="168"/>
        <v>0</v>
      </c>
    </row>
    <row r="119" spans="1:81" s="308" customFormat="1" ht="15.95" customHeight="1" x14ac:dyDescent="0.2">
      <c r="A119" s="56"/>
      <c r="B119" s="298"/>
      <c r="C119" s="295">
        <f t="shared" si="169"/>
        <v>0</v>
      </c>
      <c r="D119" s="295">
        <f t="shared" si="146"/>
        <v>0</v>
      </c>
      <c r="E119" s="297"/>
      <c r="F119" s="297"/>
      <c r="G119" s="297"/>
      <c r="H119" s="297"/>
      <c r="I119" s="297"/>
      <c r="J119" s="297"/>
      <c r="K119" s="293">
        <f t="shared" si="147"/>
        <v>0</v>
      </c>
      <c r="L119" s="294"/>
      <c r="M119" s="295">
        <f t="shared" si="148"/>
        <v>0</v>
      </c>
      <c r="N119" s="295">
        <f t="shared" si="149"/>
        <v>0</v>
      </c>
      <c r="O119" s="297"/>
      <c r="P119" s="297"/>
      <c r="Q119" s="297"/>
      <c r="R119" s="297"/>
      <c r="S119" s="297"/>
      <c r="T119" s="297"/>
      <c r="U119" s="293">
        <f t="shared" si="150"/>
        <v>0</v>
      </c>
      <c r="V119" s="298"/>
      <c r="W119" s="295">
        <f t="shared" si="151"/>
        <v>0</v>
      </c>
      <c r="X119" s="295">
        <f t="shared" si="152"/>
        <v>0</v>
      </c>
      <c r="Y119" s="297"/>
      <c r="Z119" s="297"/>
      <c r="AA119" s="297"/>
      <c r="AB119" s="297"/>
      <c r="AC119" s="297"/>
      <c r="AD119" s="297"/>
      <c r="AE119" s="293">
        <f t="shared" si="153"/>
        <v>0</v>
      </c>
      <c r="AF119" s="294"/>
      <c r="AG119" s="295">
        <f t="shared" si="154"/>
        <v>0</v>
      </c>
      <c r="AH119" s="295">
        <f t="shared" si="155"/>
        <v>0</v>
      </c>
      <c r="AI119" s="297"/>
      <c r="AJ119" s="297"/>
      <c r="AK119" s="297"/>
      <c r="AL119" s="297"/>
      <c r="AM119" s="297"/>
      <c r="AN119" s="297"/>
      <c r="AO119" s="293">
        <f t="shared" si="156"/>
        <v>0</v>
      </c>
      <c r="AP119" s="298"/>
      <c r="AQ119" s="295">
        <f t="shared" si="157"/>
        <v>0</v>
      </c>
      <c r="AR119" s="295">
        <f t="shared" si="158"/>
        <v>0</v>
      </c>
      <c r="AS119" s="297"/>
      <c r="AT119" s="297"/>
      <c r="AU119" s="297"/>
      <c r="AV119" s="297"/>
      <c r="AW119" s="297"/>
      <c r="AX119" s="297"/>
      <c r="AY119" s="293">
        <f t="shared" si="159"/>
        <v>0</v>
      </c>
      <c r="AZ119" s="298"/>
      <c r="BA119" s="295">
        <f t="shared" si="160"/>
        <v>0</v>
      </c>
      <c r="BB119" s="295">
        <f t="shared" si="161"/>
        <v>0</v>
      </c>
      <c r="BC119" s="297"/>
      <c r="BD119" s="297"/>
      <c r="BE119" s="297"/>
      <c r="BF119" s="297"/>
      <c r="BG119" s="297"/>
      <c r="BH119" s="297"/>
      <c r="BI119" s="293">
        <f t="shared" si="162"/>
        <v>0</v>
      </c>
      <c r="BJ119" s="298"/>
      <c r="BK119" s="295">
        <f t="shared" si="163"/>
        <v>0</v>
      </c>
      <c r="BL119" s="295">
        <f t="shared" si="164"/>
        <v>0</v>
      </c>
      <c r="BM119" s="297"/>
      <c r="BN119" s="297"/>
      <c r="BO119" s="297"/>
      <c r="BP119" s="297"/>
      <c r="BQ119" s="297"/>
      <c r="BR119" s="297"/>
      <c r="BS119" s="293">
        <f t="shared" si="165"/>
        <v>0</v>
      </c>
      <c r="BT119" s="12"/>
      <c r="BU119" s="295">
        <f t="shared" si="166"/>
        <v>0</v>
      </c>
      <c r="BV119" s="295">
        <f t="shared" si="167"/>
        <v>0</v>
      </c>
      <c r="BW119" s="11"/>
      <c r="BX119" s="11"/>
      <c r="BY119" s="11"/>
      <c r="BZ119" s="11"/>
      <c r="CA119" s="11"/>
      <c r="CB119" s="11"/>
      <c r="CC119" s="293">
        <f t="shared" si="168"/>
        <v>0</v>
      </c>
    </row>
    <row r="120" spans="1:81" s="308" customFormat="1" ht="15.95" customHeight="1" x14ac:dyDescent="0.2">
      <c r="A120" s="56"/>
      <c r="B120" s="298"/>
      <c r="C120" s="295">
        <f t="shared" si="169"/>
        <v>0</v>
      </c>
      <c r="D120" s="295">
        <f t="shared" si="146"/>
        <v>0</v>
      </c>
      <c r="E120" s="297"/>
      <c r="F120" s="297"/>
      <c r="G120" s="297"/>
      <c r="H120" s="297"/>
      <c r="I120" s="297"/>
      <c r="J120" s="297"/>
      <c r="K120" s="293">
        <f t="shared" si="147"/>
        <v>0</v>
      </c>
      <c r="L120" s="294"/>
      <c r="M120" s="295">
        <f t="shared" si="148"/>
        <v>0</v>
      </c>
      <c r="N120" s="295">
        <f t="shared" si="149"/>
        <v>0</v>
      </c>
      <c r="O120" s="297"/>
      <c r="P120" s="297"/>
      <c r="Q120" s="297"/>
      <c r="R120" s="297"/>
      <c r="S120" s="297"/>
      <c r="T120" s="297"/>
      <c r="U120" s="293">
        <f t="shared" si="150"/>
        <v>0</v>
      </c>
      <c r="V120" s="298"/>
      <c r="W120" s="295">
        <f t="shared" si="151"/>
        <v>0</v>
      </c>
      <c r="X120" s="295">
        <f t="shared" si="152"/>
        <v>0</v>
      </c>
      <c r="Y120" s="297"/>
      <c r="Z120" s="297"/>
      <c r="AA120" s="297"/>
      <c r="AB120" s="297"/>
      <c r="AC120" s="297"/>
      <c r="AD120" s="297"/>
      <c r="AE120" s="293">
        <f t="shared" si="153"/>
        <v>0</v>
      </c>
      <c r="AF120" s="294"/>
      <c r="AG120" s="295">
        <f t="shared" si="154"/>
        <v>0</v>
      </c>
      <c r="AH120" s="295">
        <f t="shared" si="155"/>
        <v>0</v>
      </c>
      <c r="AI120" s="297"/>
      <c r="AJ120" s="297"/>
      <c r="AK120" s="297"/>
      <c r="AL120" s="297"/>
      <c r="AM120" s="297"/>
      <c r="AN120" s="297"/>
      <c r="AO120" s="293">
        <f t="shared" si="156"/>
        <v>0</v>
      </c>
      <c r="AP120" s="298"/>
      <c r="AQ120" s="295">
        <f t="shared" si="157"/>
        <v>0</v>
      </c>
      <c r="AR120" s="295">
        <f t="shared" si="158"/>
        <v>0</v>
      </c>
      <c r="AS120" s="297"/>
      <c r="AT120" s="297"/>
      <c r="AU120" s="297"/>
      <c r="AV120" s="297"/>
      <c r="AW120" s="297"/>
      <c r="AX120" s="297"/>
      <c r="AY120" s="293">
        <f t="shared" si="159"/>
        <v>0</v>
      </c>
      <c r="AZ120" s="298"/>
      <c r="BA120" s="295">
        <f t="shared" si="160"/>
        <v>0</v>
      </c>
      <c r="BB120" s="295">
        <f t="shared" si="161"/>
        <v>0</v>
      </c>
      <c r="BC120" s="297"/>
      <c r="BD120" s="297"/>
      <c r="BE120" s="297"/>
      <c r="BF120" s="297"/>
      <c r="BG120" s="297"/>
      <c r="BH120" s="297"/>
      <c r="BI120" s="293">
        <f t="shared" si="162"/>
        <v>0</v>
      </c>
      <c r="BJ120" s="298"/>
      <c r="BK120" s="295">
        <f t="shared" si="163"/>
        <v>0</v>
      </c>
      <c r="BL120" s="295">
        <f t="shared" si="164"/>
        <v>0</v>
      </c>
      <c r="BM120" s="297"/>
      <c r="BN120" s="297"/>
      <c r="BO120" s="297"/>
      <c r="BP120" s="297"/>
      <c r="BQ120" s="297"/>
      <c r="BR120" s="297"/>
      <c r="BS120" s="293">
        <f t="shared" si="165"/>
        <v>0</v>
      </c>
      <c r="BT120" s="12"/>
      <c r="BU120" s="295">
        <f t="shared" si="166"/>
        <v>0</v>
      </c>
      <c r="BV120" s="295">
        <f t="shared" si="167"/>
        <v>0</v>
      </c>
      <c r="BW120" s="11"/>
      <c r="BX120" s="11"/>
      <c r="BY120" s="11"/>
      <c r="BZ120" s="11"/>
      <c r="CA120" s="11"/>
      <c r="CB120" s="11"/>
      <c r="CC120" s="293">
        <f t="shared" si="168"/>
        <v>0</v>
      </c>
    </row>
    <row r="121" spans="1:81" s="308" customFormat="1" ht="15.95" customHeight="1" x14ac:dyDescent="0.2">
      <c r="A121" s="56"/>
      <c r="B121" s="298"/>
      <c r="C121" s="295">
        <f t="shared" si="145"/>
        <v>0</v>
      </c>
      <c r="D121" s="295">
        <f t="shared" si="146"/>
        <v>0</v>
      </c>
      <c r="E121" s="297"/>
      <c r="F121" s="297"/>
      <c r="G121" s="297"/>
      <c r="H121" s="297"/>
      <c r="I121" s="297"/>
      <c r="J121" s="297"/>
      <c r="K121" s="293">
        <f t="shared" si="147"/>
        <v>0</v>
      </c>
      <c r="L121" s="294"/>
      <c r="M121" s="295">
        <f t="shared" si="148"/>
        <v>0</v>
      </c>
      <c r="N121" s="295">
        <f t="shared" si="149"/>
        <v>0</v>
      </c>
      <c r="O121" s="297"/>
      <c r="P121" s="297"/>
      <c r="Q121" s="297"/>
      <c r="R121" s="297"/>
      <c r="S121" s="297"/>
      <c r="T121" s="297"/>
      <c r="U121" s="293">
        <f t="shared" si="150"/>
        <v>0</v>
      </c>
      <c r="V121" s="298"/>
      <c r="W121" s="295">
        <f t="shared" si="151"/>
        <v>0</v>
      </c>
      <c r="X121" s="295">
        <f t="shared" si="152"/>
        <v>0</v>
      </c>
      <c r="Y121" s="297"/>
      <c r="Z121" s="297"/>
      <c r="AA121" s="297"/>
      <c r="AB121" s="297"/>
      <c r="AC121" s="297"/>
      <c r="AD121" s="297"/>
      <c r="AE121" s="293">
        <f t="shared" si="153"/>
        <v>0</v>
      </c>
      <c r="AF121" s="294"/>
      <c r="AG121" s="295">
        <f t="shared" si="154"/>
        <v>0</v>
      </c>
      <c r="AH121" s="295">
        <f t="shared" si="155"/>
        <v>0</v>
      </c>
      <c r="AI121" s="297"/>
      <c r="AJ121" s="297"/>
      <c r="AK121" s="297"/>
      <c r="AL121" s="297"/>
      <c r="AM121" s="297"/>
      <c r="AN121" s="297"/>
      <c r="AO121" s="293">
        <f t="shared" si="156"/>
        <v>0</v>
      </c>
      <c r="AP121" s="298"/>
      <c r="AQ121" s="295">
        <f t="shared" si="157"/>
        <v>0</v>
      </c>
      <c r="AR121" s="295">
        <f t="shared" si="158"/>
        <v>0</v>
      </c>
      <c r="AS121" s="297"/>
      <c r="AT121" s="297"/>
      <c r="AU121" s="297"/>
      <c r="AV121" s="297"/>
      <c r="AW121" s="297"/>
      <c r="AX121" s="297"/>
      <c r="AY121" s="293">
        <f t="shared" si="159"/>
        <v>0</v>
      </c>
      <c r="AZ121" s="298"/>
      <c r="BA121" s="295">
        <f t="shared" si="160"/>
        <v>0</v>
      </c>
      <c r="BB121" s="295">
        <f t="shared" si="161"/>
        <v>0</v>
      </c>
      <c r="BC121" s="297"/>
      <c r="BD121" s="297"/>
      <c r="BE121" s="297"/>
      <c r="BF121" s="297"/>
      <c r="BG121" s="297"/>
      <c r="BH121" s="297"/>
      <c r="BI121" s="293">
        <f t="shared" si="162"/>
        <v>0</v>
      </c>
      <c r="BJ121" s="298"/>
      <c r="BK121" s="295">
        <f t="shared" si="163"/>
        <v>0</v>
      </c>
      <c r="BL121" s="295">
        <f t="shared" si="164"/>
        <v>0</v>
      </c>
      <c r="BM121" s="297"/>
      <c r="BN121" s="297"/>
      <c r="BO121" s="297"/>
      <c r="BP121" s="297"/>
      <c r="BQ121" s="297"/>
      <c r="BR121" s="297"/>
      <c r="BS121" s="293">
        <f t="shared" si="165"/>
        <v>0</v>
      </c>
      <c r="BT121" s="12"/>
      <c r="BU121" s="295">
        <f t="shared" si="166"/>
        <v>0</v>
      </c>
      <c r="BV121" s="295">
        <f t="shared" si="167"/>
        <v>0</v>
      </c>
      <c r="BW121" s="11"/>
      <c r="BX121" s="11"/>
      <c r="BY121" s="11"/>
      <c r="BZ121" s="11"/>
      <c r="CA121" s="11"/>
      <c r="CB121" s="11"/>
      <c r="CC121" s="293">
        <f t="shared" si="168"/>
        <v>0</v>
      </c>
    </row>
    <row r="122" spans="1:81" s="308" customFormat="1" ht="15.95" customHeight="1" x14ac:dyDescent="0.2">
      <c r="A122" s="56"/>
      <c r="B122" s="298"/>
      <c r="C122" s="295">
        <f t="shared" si="145"/>
        <v>0</v>
      </c>
      <c r="D122" s="295">
        <f t="shared" si="146"/>
        <v>0</v>
      </c>
      <c r="E122" s="297"/>
      <c r="F122" s="297"/>
      <c r="G122" s="297"/>
      <c r="H122" s="297"/>
      <c r="I122" s="297"/>
      <c r="J122" s="297"/>
      <c r="K122" s="293">
        <f t="shared" si="147"/>
        <v>0</v>
      </c>
      <c r="L122" s="294"/>
      <c r="M122" s="295">
        <f t="shared" si="148"/>
        <v>0</v>
      </c>
      <c r="N122" s="295">
        <f t="shared" si="149"/>
        <v>0</v>
      </c>
      <c r="O122" s="297"/>
      <c r="P122" s="297"/>
      <c r="Q122" s="297"/>
      <c r="R122" s="297"/>
      <c r="S122" s="297"/>
      <c r="T122" s="297"/>
      <c r="U122" s="293">
        <f t="shared" si="150"/>
        <v>0</v>
      </c>
      <c r="V122" s="298"/>
      <c r="W122" s="295">
        <f t="shared" si="151"/>
        <v>0</v>
      </c>
      <c r="X122" s="295">
        <f t="shared" si="152"/>
        <v>0</v>
      </c>
      <c r="Y122" s="297"/>
      <c r="Z122" s="297"/>
      <c r="AA122" s="297"/>
      <c r="AB122" s="297"/>
      <c r="AC122" s="297"/>
      <c r="AD122" s="297"/>
      <c r="AE122" s="293">
        <f t="shared" si="153"/>
        <v>0</v>
      </c>
      <c r="AF122" s="294"/>
      <c r="AG122" s="295">
        <f t="shared" si="154"/>
        <v>0</v>
      </c>
      <c r="AH122" s="295">
        <f t="shared" si="155"/>
        <v>0</v>
      </c>
      <c r="AI122" s="297"/>
      <c r="AJ122" s="297"/>
      <c r="AK122" s="297"/>
      <c r="AL122" s="297"/>
      <c r="AM122" s="297"/>
      <c r="AN122" s="297"/>
      <c r="AO122" s="293">
        <f t="shared" si="156"/>
        <v>0</v>
      </c>
      <c r="AP122" s="298"/>
      <c r="AQ122" s="295">
        <f t="shared" si="157"/>
        <v>0</v>
      </c>
      <c r="AR122" s="295">
        <f t="shared" si="158"/>
        <v>0</v>
      </c>
      <c r="AS122" s="297"/>
      <c r="AT122" s="297"/>
      <c r="AU122" s="297"/>
      <c r="AV122" s="297"/>
      <c r="AW122" s="297"/>
      <c r="AX122" s="297"/>
      <c r="AY122" s="293">
        <f t="shared" si="159"/>
        <v>0</v>
      </c>
      <c r="AZ122" s="298"/>
      <c r="BA122" s="295">
        <f t="shared" si="160"/>
        <v>0</v>
      </c>
      <c r="BB122" s="295">
        <f t="shared" si="161"/>
        <v>0</v>
      </c>
      <c r="BC122" s="297"/>
      <c r="BD122" s="297"/>
      <c r="BE122" s="297"/>
      <c r="BF122" s="297"/>
      <c r="BG122" s="297"/>
      <c r="BH122" s="297"/>
      <c r="BI122" s="293">
        <f t="shared" si="162"/>
        <v>0</v>
      </c>
      <c r="BJ122" s="298"/>
      <c r="BK122" s="295">
        <f t="shared" si="163"/>
        <v>0</v>
      </c>
      <c r="BL122" s="295">
        <f t="shared" si="164"/>
        <v>0</v>
      </c>
      <c r="BM122" s="297"/>
      <c r="BN122" s="297"/>
      <c r="BO122" s="297"/>
      <c r="BP122" s="297"/>
      <c r="BQ122" s="297"/>
      <c r="BR122" s="297"/>
      <c r="BS122" s="293">
        <f t="shared" si="165"/>
        <v>0</v>
      </c>
      <c r="BT122" s="12"/>
      <c r="BU122" s="295">
        <f t="shared" si="166"/>
        <v>0</v>
      </c>
      <c r="BV122" s="295">
        <f t="shared" si="167"/>
        <v>0</v>
      </c>
      <c r="BW122" s="11"/>
      <c r="BX122" s="11"/>
      <c r="BY122" s="11"/>
      <c r="BZ122" s="11"/>
      <c r="CA122" s="11"/>
      <c r="CB122" s="11"/>
      <c r="CC122" s="293">
        <f t="shared" si="168"/>
        <v>0</v>
      </c>
    </row>
    <row r="123" spans="1:81" s="308" customFormat="1" ht="15.95" customHeight="1" x14ac:dyDescent="0.2">
      <c r="A123" s="307" t="s">
        <v>259</v>
      </c>
      <c r="B123" s="298"/>
      <c r="C123" s="295">
        <f t="shared" si="145"/>
        <v>0</v>
      </c>
      <c r="D123" s="295">
        <f t="shared" si="146"/>
        <v>0</v>
      </c>
      <c r="E123" s="297"/>
      <c r="F123" s="297"/>
      <c r="G123" s="297"/>
      <c r="H123" s="297"/>
      <c r="I123" s="297"/>
      <c r="J123" s="297"/>
      <c r="K123" s="293">
        <f t="shared" si="147"/>
        <v>0</v>
      </c>
      <c r="L123" s="294"/>
      <c r="M123" s="295">
        <f t="shared" si="148"/>
        <v>0</v>
      </c>
      <c r="N123" s="295">
        <f t="shared" si="149"/>
        <v>0</v>
      </c>
      <c r="O123" s="297"/>
      <c r="P123" s="297"/>
      <c r="Q123" s="297"/>
      <c r="R123" s="297"/>
      <c r="S123" s="297"/>
      <c r="T123" s="297"/>
      <c r="U123" s="293">
        <f t="shared" si="150"/>
        <v>0</v>
      </c>
      <c r="V123" s="298"/>
      <c r="W123" s="295">
        <f t="shared" si="151"/>
        <v>0</v>
      </c>
      <c r="X123" s="295">
        <f t="shared" si="152"/>
        <v>0</v>
      </c>
      <c r="Y123" s="297"/>
      <c r="Z123" s="297"/>
      <c r="AA123" s="297"/>
      <c r="AB123" s="297"/>
      <c r="AC123" s="297"/>
      <c r="AD123" s="297"/>
      <c r="AE123" s="293">
        <f t="shared" si="153"/>
        <v>0</v>
      </c>
      <c r="AF123" s="294"/>
      <c r="AG123" s="295">
        <f t="shared" si="154"/>
        <v>0</v>
      </c>
      <c r="AH123" s="295">
        <f t="shared" si="155"/>
        <v>0</v>
      </c>
      <c r="AI123" s="297"/>
      <c r="AJ123" s="297"/>
      <c r="AK123" s="297"/>
      <c r="AL123" s="297"/>
      <c r="AM123" s="297"/>
      <c r="AN123" s="297"/>
      <c r="AO123" s="293">
        <f t="shared" si="156"/>
        <v>0</v>
      </c>
      <c r="AP123" s="298"/>
      <c r="AQ123" s="295">
        <f t="shared" si="157"/>
        <v>0</v>
      </c>
      <c r="AR123" s="295">
        <f t="shared" si="158"/>
        <v>0</v>
      </c>
      <c r="AS123" s="297"/>
      <c r="AT123" s="297"/>
      <c r="AU123" s="297"/>
      <c r="AV123" s="297"/>
      <c r="AW123" s="297"/>
      <c r="AX123" s="297"/>
      <c r="AY123" s="293">
        <f t="shared" si="159"/>
        <v>0</v>
      </c>
      <c r="AZ123" s="298"/>
      <c r="BA123" s="295">
        <f t="shared" si="160"/>
        <v>0</v>
      </c>
      <c r="BB123" s="295">
        <f t="shared" si="161"/>
        <v>0</v>
      </c>
      <c r="BC123" s="297"/>
      <c r="BD123" s="297"/>
      <c r="BE123" s="297"/>
      <c r="BF123" s="297"/>
      <c r="BG123" s="297"/>
      <c r="BH123" s="297"/>
      <c r="BI123" s="293">
        <f t="shared" si="162"/>
        <v>0</v>
      </c>
      <c r="BJ123" s="298"/>
      <c r="BK123" s="295">
        <f t="shared" si="163"/>
        <v>-129778</v>
      </c>
      <c r="BL123" s="295">
        <f t="shared" si="164"/>
        <v>0</v>
      </c>
      <c r="BM123" s="297">
        <v>-129778</v>
      </c>
      <c r="BN123" s="297"/>
      <c r="BO123" s="297"/>
      <c r="BP123" s="297"/>
      <c r="BQ123" s="297"/>
      <c r="BR123" s="297"/>
      <c r="BS123" s="293">
        <f t="shared" si="165"/>
        <v>0</v>
      </c>
      <c r="BT123" s="12"/>
      <c r="BU123" s="295">
        <f t="shared" si="166"/>
        <v>8993</v>
      </c>
      <c r="BV123" s="295">
        <f t="shared" si="167"/>
        <v>0</v>
      </c>
      <c r="BW123" s="11">
        <v>8993</v>
      </c>
      <c r="BX123" s="11"/>
      <c r="BY123" s="11"/>
      <c r="BZ123" s="11"/>
      <c r="CA123" s="11"/>
      <c r="CB123" s="11"/>
      <c r="CC123" s="293">
        <f t="shared" si="168"/>
        <v>0</v>
      </c>
    </row>
    <row r="124" spans="1:81" ht="15.95" customHeight="1" x14ac:dyDescent="0.2">
      <c r="A124" s="309" t="s">
        <v>102</v>
      </c>
      <c r="B124" s="306"/>
      <c r="C124" s="290"/>
      <c r="D124" s="290"/>
      <c r="E124" s="292"/>
      <c r="F124" s="292"/>
      <c r="G124" s="292"/>
      <c r="H124" s="292"/>
      <c r="I124" s="292"/>
      <c r="J124" s="292"/>
      <c r="K124" s="293"/>
      <c r="L124" s="294"/>
      <c r="M124" s="295"/>
      <c r="N124" s="295"/>
      <c r="O124" s="297"/>
      <c r="P124" s="297"/>
      <c r="Q124" s="297"/>
      <c r="R124" s="297"/>
      <c r="S124" s="297"/>
      <c r="T124" s="297"/>
      <c r="U124" s="293"/>
      <c r="V124" s="298"/>
      <c r="W124" s="295"/>
      <c r="X124" s="295"/>
      <c r="Y124" s="297"/>
      <c r="Z124" s="297"/>
      <c r="AA124" s="297"/>
      <c r="AB124" s="297"/>
      <c r="AC124" s="297"/>
      <c r="AD124" s="297"/>
      <c r="AE124" s="293"/>
      <c r="AF124" s="294"/>
      <c r="AG124" s="295"/>
      <c r="AH124" s="295"/>
      <c r="AI124" s="297"/>
      <c r="AJ124" s="297"/>
      <c r="AK124" s="297"/>
      <c r="AL124" s="297"/>
      <c r="AM124" s="297"/>
      <c r="AN124" s="297"/>
      <c r="AO124" s="293"/>
      <c r="AP124" s="298"/>
      <c r="AQ124" s="295"/>
      <c r="AR124" s="295"/>
      <c r="AS124" s="297"/>
      <c r="AT124" s="297"/>
      <c r="AU124" s="297"/>
      <c r="AV124" s="297"/>
      <c r="AW124" s="297"/>
      <c r="AX124" s="297"/>
      <c r="AY124" s="293"/>
      <c r="AZ124" s="298"/>
      <c r="BA124" s="295"/>
      <c r="BB124" s="295"/>
      <c r="BC124" s="297"/>
      <c r="BD124" s="297"/>
      <c r="BE124" s="297"/>
      <c r="BF124" s="297"/>
      <c r="BG124" s="297"/>
      <c r="BH124" s="297"/>
      <c r="BI124" s="293"/>
      <c r="BJ124" s="298"/>
      <c r="BK124" s="295"/>
      <c r="BL124" s="295"/>
      <c r="BM124" s="297"/>
      <c r="BN124" s="297"/>
      <c r="BO124" s="297"/>
      <c r="BP124" s="297"/>
      <c r="BQ124" s="297"/>
      <c r="BR124" s="297"/>
      <c r="BS124" s="293"/>
      <c r="BT124" s="298"/>
      <c r="BU124" s="295"/>
      <c r="BV124" s="295"/>
      <c r="BW124" s="297"/>
      <c r="BX124" s="297"/>
      <c r="BY124" s="297"/>
      <c r="BZ124" s="297"/>
      <c r="CA124" s="297"/>
      <c r="CB124" s="297"/>
      <c r="CC124" s="293"/>
    </row>
    <row r="125" spans="1:81" s="308" customFormat="1" ht="15.95" customHeight="1" x14ac:dyDescent="0.2">
      <c r="A125" s="310" t="s">
        <v>149</v>
      </c>
      <c r="B125" s="311">
        <f>SUM(B$111:B124)</f>
        <v>3430</v>
      </c>
      <c r="C125" s="295">
        <f>SUM(C$111:C124)</f>
        <v>19291490</v>
      </c>
      <c r="D125" s="295">
        <f>IFERROR(C125/B125,0)</f>
        <v>5624.3411078717199</v>
      </c>
      <c r="E125" s="312">
        <f>SUM(E$111:E124)</f>
        <v>128297</v>
      </c>
      <c r="F125" s="312">
        <f>SUM(F$111:F124)</f>
        <v>0</v>
      </c>
      <c r="G125" s="312">
        <f>SUM(G$111:G124)</f>
        <v>0</v>
      </c>
      <c r="H125" s="312">
        <f>SUM(H$111:H124)</f>
        <v>19163193</v>
      </c>
      <c r="I125" s="312">
        <f>SUM(I$111:I124)</f>
        <v>0</v>
      </c>
      <c r="J125" s="312">
        <f>SUM(J$111:J124)</f>
        <v>14662810</v>
      </c>
      <c r="K125" s="293">
        <f>SUM(K$111:K124)</f>
        <v>128297</v>
      </c>
      <c r="L125" s="313">
        <f>SUM(L$111:L124)</f>
        <v>3516</v>
      </c>
      <c r="M125" s="295">
        <f>SUM(M$111:M124)</f>
        <v>19278936</v>
      </c>
      <c r="N125" s="295">
        <f>IFERROR(M125/L125,0)</f>
        <v>5483.2013651877132</v>
      </c>
      <c r="O125" s="312">
        <f>SUM(O$111:O124)</f>
        <v>194839</v>
      </c>
      <c r="P125" s="312">
        <f>SUM(P$111:P124)</f>
        <v>0</v>
      </c>
      <c r="Q125" s="312">
        <f>SUM(Q$111:Q124)</f>
        <v>0</v>
      </c>
      <c r="R125" s="312">
        <f>SUM(R$111:R124)</f>
        <v>19084097</v>
      </c>
      <c r="S125" s="312">
        <f>SUM(S$111:S124)</f>
        <v>0</v>
      </c>
      <c r="T125" s="312">
        <f>SUM(T$111:T124)</f>
        <v>14739249</v>
      </c>
      <c r="U125" s="293">
        <f>SUM(U$111:U124)</f>
        <v>194839</v>
      </c>
      <c r="V125" s="311">
        <f>SUM(V$111:V124)</f>
        <v>3202</v>
      </c>
      <c r="W125" s="295">
        <f>SUM(W$111:W124)</f>
        <v>18142904</v>
      </c>
      <c r="X125" s="295">
        <f>IFERROR(W125/V125,0)</f>
        <v>5666.1161773891317</v>
      </c>
      <c r="Y125" s="312">
        <f>SUM(Y$111:Y124)</f>
        <v>225842</v>
      </c>
      <c r="Z125" s="312">
        <f>SUM(Z$111:Z124)</f>
        <v>0</v>
      </c>
      <c r="AA125" s="312">
        <f>SUM(AA$111:AA124)</f>
        <v>0</v>
      </c>
      <c r="AB125" s="312">
        <f>SUM(AB$111:AB124)</f>
        <v>17917062</v>
      </c>
      <c r="AC125" s="312">
        <f>SUM(AC$111:AC124)</f>
        <v>0</v>
      </c>
      <c r="AD125" s="312">
        <f>SUM(AD$111:AD124)</f>
        <v>14108436</v>
      </c>
      <c r="AE125" s="293">
        <f>SUM(AE$111:AE124)</f>
        <v>225842</v>
      </c>
      <c r="AF125" s="313">
        <f>SUM(AF$111:AF124)</f>
        <v>2759</v>
      </c>
      <c r="AG125" s="295">
        <f>SUM(AG$111:AG124)</f>
        <v>17168407</v>
      </c>
      <c r="AH125" s="295">
        <f>IFERROR(AG125/AF125,0)</f>
        <v>6222.6919173613633</v>
      </c>
      <c r="AI125" s="312">
        <f>SUM(AI$111:AI124)</f>
        <v>0</v>
      </c>
      <c r="AJ125" s="312">
        <f>SUM(AJ$111:AJ124)</f>
        <v>0</v>
      </c>
      <c r="AK125" s="312">
        <f>SUM(AK$111:AK124)</f>
        <v>0</v>
      </c>
      <c r="AL125" s="312">
        <f>SUM(AL$111:AL124)</f>
        <v>17168407</v>
      </c>
      <c r="AM125" s="312">
        <f>SUM(AM$111:AM124)</f>
        <v>0</v>
      </c>
      <c r="AN125" s="312">
        <f>SUM(AN$111:AN124)</f>
        <v>13471440</v>
      </c>
      <c r="AO125" s="293">
        <f>SUM(AO$111:AO124)</f>
        <v>0</v>
      </c>
      <c r="AP125" s="311">
        <f>SUM(AP$111:AP124)</f>
        <v>2643</v>
      </c>
      <c r="AQ125" s="295">
        <f>SUM(AQ$111:AQ124)</f>
        <v>16707707</v>
      </c>
      <c r="AR125" s="295">
        <f>IFERROR(AQ125/AP125,0)</f>
        <v>6321.4933787362843</v>
      </c>
      <c r="AS125" s="312">
        <f>SUM(AS$111:AS124)</f>
        <v>43028</v>
      </c>
      <c r="AT125" s="312">
        <f>SUM(AT$111:AT124)</f>
        <v>0</v>
      </c>
      <c r="AU125" s="312">
        <f>SUM(AU$111:AU124)</f>
        <v>0</v>
      </c>
      <c r="AV125" s="312">
        <f>SUM(AV$111:AV124)</f>
        <v>16664679</v>
      </c>
      <c r="AW125" s="312">
        <f>SUM(AW$111:AW124)</f>
        <v>0</v>
      </c>
      <c r="AX125" s="312">
        <f>SUM(AX$111:AX124)</f>
        <v>12967027</v>
      </c>
      <c r="AY125" s="293">
        <f>SUM(AY$111:AY124)</f>
        <v>43028</v>
      </c>
      <c r="AZ125" s="311">
        <f>SUM(AZ$111:AZ124)</f>
        <v>2490</v>
      </c>
      <c r="BA125" s="295">
        <f>SUM(BA$111:BA124)</f>
        <v>15181582</v>
      </c>
      <c r="BB125" s="295">
        <f>IFERROR(BA125/AZ125,0)</f>
        <v>6097.0208835341364</v>
      </c>
      <c r="BC125" s="312">
        <f>SUM(BC$111:BC124)</f>
        <v>58394</v>
      </c>
      <c r="BD125" s="312">
        <f>SUM(BD$111:BD124)</f>
        <v>0</v>
      </c>
      <c r="BE125" s="312">
        <f>SUM(BE$111:BE124)</f>
        <v>14550</v>
      </c>
      <c r="BF125" s="312">
        <f>SUM(BF$111:BF124)</f>
        <v>15108638</v>
      </c>
      <c r="BG125" s="312">
        <f>SUM(BG$111:BG124)</f>
        <v>0</v>
      </c>
      <c r="BH125" s="312">
        <f>SUM(BH$111:BH124)</f>
        <v>10796202</v>
      </c>
      <c r="BI125" s="293">
        <f>SUM(BI$111:BI124)</f>
        <v>58394</v>
      </c>
      <c r="BJ125" s="311">
        <f>SUM(BJ$111:BJ124)</f>
        <v>2370</v>
      </c>
      <c r="BK125" s="295">
        <f>SUM(BK$111:BK124)</f>
        <v>13993544</v>
      </c>
      <c r="BL125" s="295">
        <f>IFERROR(BK125/BJ125,0)</f>
        <v>5904.4489451476793</v>
      </c>
      <c r="BM125" s="312">
        <f>SUM(BM$111:BM124)</f>
        <v>-19640</v>
      </c>
      <c r="BN125" s="312">
        <f>SUM(BN$111:BN124)</f>
        <v>0</v>
      </c>
      <c r="BO125" s="312">
        <f>SUM(BO$111:BO124)</f>
        <v>0</v>
      </c>
      <c r="BP125" s="312">
        <f>SUM(BP$111:BP124)</f>
        <v>14013184</v>
      </c>
      <c r="BQ125" s="312">
        <f>SUM(BQ$111:BQ124)</f>
        <v>0</v>
      </c>
      <c r="BR125" s="312">
        <f>SUM(BR$111:BR124)</f>
        <v>10698339</v>
      </c>
      <c r="BS125" s="293">
        <f>SUM(BS$111:BS124)</f>
        <v>110138</v>
      </c>
      <c r="BT125" s="311">
        <f>SUM(BT$111:BT124)</f>
        <v>2211</v>
      </c>
      <c r="BU125" s="295">
        <f>SUM(BU$111:BU124)</f>
        <v>13907240</v>
      </c>
      <c r="BV125" s="295">
        <f>IFERROR(BU125/BT125,0)</f>
        <v>6290.0226142017191</v>
      </c>
      <c r="BW125" s="312">
        <f>SUM(BW$111:BW124)</f>
        <v>65816</v>
      </c>
      <c r="BX125" s="312">
        <f>SUM(BX$111:BX124)</f>
        <v>0</v>
      </c>
      <c r="BY125" s="312">
        <f>SUM(BY$111:BY124)</f>
        <v>0</v>
      </c>
      <c r="BZ125" s="312">
        <f>SUM(BZ$111:BZ124)</f>
        <v>13841424</v>
      </c>
      <c r="CA125" s="312">
        <f>SUM(CA$111:CA124)</f>
        <v>0</v>
      </c>
      <c r="CB125" s="312">
        <f>SUM(CB$111:CB124)</f>
        <v>10578812</v>
      </c>
      <c r="CC125" s="293">
        <f>SUM(CC$111:CC124)</f>
        <v>56823</v>
      </c>
    </row>
    <row r="126" spans="1:81" s="308" customFormat="1" ht="15.95" customHeight="1" x14ac:dyDescent="0.2">
      <c r="A126" s="304"/>
      <c r="B126" s="298"/>
      <c r="C126" s="295"/>
      <c r="D126" s="295"/>
      <c r="E126" s="297"/>
      <c r="F126" s="297"/>
      <c r="G126" s="297"/>
      <c r="H126" s="297"/>
      <c r="I126" s="297"/>
      <c r="J126" s="297"/>
      <c r="K126" s="293"/>
      <c r="L126" s="294"/>
      <c r="M126" s="295"/>
      <c r="N126" s="295"/>
      <c r="O126" s="297"/>
      <c r="P126" s="297"/>
      <c r="Q126" s="297"/>
      <c r="R126" s="297"/>
      <c r="S126" s="297"/>
      <c r="T126" s="297"/>
      <c r="U126" s="293"/>
      <c r="V126" s="298"/>
      <c r="W126" s="295"/>
      <c r="X126" s="295"/>
      <c r="Y126" s="297"/>
      <c r="Z126" s="297"/>
      <c r="AA126" s="297"/>
      <c r="AB126" s="297"/>
      <c r="AC126" s="297"/>
      <c r="AD126" s="297"/>
      <c r="AE126" s="293"/>
      <c r="AF126" s="294"/>
      <c r="AG126" s="295"/>
      <c r="AH126" s="295"/>
      <c r="AI126" s="297"/>
      <c r="AJ126" s="297"/>
      <c r="AK126" s="297"/>
      <c r="AL126" s="297"/>
      <c r="AM126" s="297"/>
      <c r="AN126" s="297"/>
      <c r="AO126" s="293"/>
      <c r="AP126" s="298"/>
      <c r="AQ126" s="295"/>
      <c r="AR126" s="295"/>
      <c r="AS126" s="297"/>
      <c r="AT126" s="297"/>
      <c r="AU126" s="297"/>
      <c r="AV126" s="297"/>
      <c r="AW126" s="297"/>
      <c r="AX126" s="297"/>
      <c r="AY126" s="293"/>
      <c r="AZ126" s="298"/>
      <c r="BA126" s="295"/>
      <c r="BB126" s="295"/>
      <c r="BC126" s="297"/>
      <c r="BD126" s="297"/>
      <c r="BE126" s="297"/>
      <c r="BF126" s="297"/>
      <c r="BG126" s="297"/>
      <c r="BH126" s="297"/>
      <c r="BI126" s="293"/>
      <c r="BJ126" s="298"/>
      <c r="BK126" s="295"/>
      <c r="BL126" s="295"/>
      <c r="BM126" s="297"/>
      <c r="BN126" s="297"/>
      <c r="BO126" s="297"/>
      <c r="BP126" s="297"/>
      <c r="BQ126" s="297"/>
      <c r="BR126" s="297"/>
      <c r="BS126" s="293"/>
      <c r="BT126" s="298"/>
      <c r="BU126" s="295"/>
      <c r="BV126" s="295"/>
      <c r="BW126" s="297"/>
      <c r="BX126" s="297"/>
      <c r="BY126" s="297"/>
      <c r="BZ126" s="297"/>
      <c r="CA126" s="297"/>
      <c r="CB126" s="297"/>
      <c r="CC126" s="293"/>
    </row>
    <row r="127" spans="1:81" s="315" customFormat="1" ht="33" customHeight="1" x14ac:dyDescent="0.2">
      <c r="A127" s="314" t="s">
        <v>150</v>
      </c>
      <c r="B127" s="311">
        <f>SUM(B125,B109,B75)</f>
        <v>14178</v>
      </c>
      <c r="C127" s="366">
        <f>SUM(C125,C109,C75)</f>
        <v>55590744.230000004</v>
      </c>
      <c r="D127" s="295">
        <f>IFERROR(C127/B127,0)</f>
        <v>3920.91580124136</v>
      </c>
      <c r="E127" s="312">
        <f t="shared" ref="E127:M127" si="170">SUM(E125,E109,E75)</f>
        <v>8073390.2300000004</v>
      </c>
      <c r="F127" s="312">
        <f t="shared" si="170"/>
        <v>3972074</v>
      </c>
      <c r="G127" s="312">
        <f t="shared" si="170"/>
        <v>1478192</v>
      </c>
      <c r="H127" s="312">
        <f t="shared" si="170"/>
        <v>35246063</v>
      </c>
      <c r="I127" s="312">
        <f t="shared" si="170"/>
        <v>6821025</v>
      </c>
      <c r="J127" s="312">
        <f t="shared" si="170"/>
        <v>45718574</v>
      </c>
      <c r="K127" s="367">
        <f t="shared" si="170"/>
        <v>5631573</v>
      </c>
      <c r="L127" s="313">
        <f t="shared" si="170"/>
        <v>14314</v>
      </c>
      <c r="M127" s="366">
        <f t="shared" si="170"/>
        <v>55661027</v>
      </c>
      <c r="N127" s="295">
        <f>IFERROR(M127/L127,0)</f>
        <v>3888.5725164174933</v>
      </c>
      <c r="O127" s="312">
        <f t="shared" ref="O127:W127" si="171">SUM(O125,O109,O75)</f>
        <v>7941643</v>
      </c>
      <c r="P127" s="312">
        <f t="shared" si="171"/>
        <v>4017077</v>
      </c>
      <c r="Q127" s="312">
        <f t="shared" si="171"/>
        <v>1635901</v>
      </c>
      <c r="R127" s="312">
        <f t="shared" si="171"/>
        <v>34562153</v>
      </c>
      <c r="S127" s="312">
        <f t="shared" si="171"/>
        <v>7504253</v>
      </c>
      <c r="T127" s="312">
        <f t="shared" si="171"/>
        <v>46315759</v>
      </c>
      <c r="U127" s="367">
        <f t="shared" si="171"/>
        <v>5795538</v>
      </c>
      <c r="V127" s="311">
        <f t="shared" si="171"/>
        <v>13759</v>
      </c>
      <c r="W127" s="366">
        <f t="shared" si="171"/>
        <v>56241316</v>
      </c>
      <c r="X127" s="295">
        <f>IFERROR(W127/V127,0)</f>
        <v>4087.6020059597354</v>
      </c>
      <c r="Y127" s="312">
        <f t="shared" ref="Y127:AG127" si="172">SUM(Y125,Y109,Y75)</f>
        <v>8524919</v>
      </c>
      <c r="Z127" s="312">
        <f t="shared" si="172"/>
        <v>3125427</v>
      </c>
      <c r="AA127" s="312">
        <f t="shared" si="172"/>
        <v>1746539</v>
      </c>
      <c r="AB127" s="312">
        <f t="shared" si="172"/>
        <v>33914901</v>
      </c>
      <c r="AC127" s="312">
        <f t="shared" si="172"/>
        <v>8929530</v>
      </c>
      <c r="AD127" s="312">
        <f t="shared" si="172"/>
        <v>46904741</v>
      </c>
      <c r="AE127" s="367">
        <f t="shared" si="172"/>
        <v>6202426</v>
      </c>
      <c r="AF127" s="313">
        <f t="shared" si="172"/>
        <v>13644</v>
      </c>
      <c r="AG127" s="366">
        <f t="shared" si="172"/>
        <v>55781576</v>
      </c>
      <c r="AH127" s="295">
        <f>IFERROR(AG127/AF127,0)</f>
        <v>4088.3594253884489</v>
      </c>
      <c r="AI127" s="312">
        <f t="shared" ref="AI127:AQ127" si="173">SUM(AI125,AI109,AI75)</f>
        <v>8784104</v>
      </c>
      <c r="AJ127" s="312">
        <f t="shared" si="173"/>
        <v>4286011</v>
      </c>
      <c r="AK127" s="312">
        <f t="shared" si="173"/>
        <v>1756464</v>
      </c>
      <c r="AL127" s="312">
        <f t="shared" si="173"/>
        <v>32257364</v>
      </c>
      <c r="AM127" s="312">
        <f t="shared" si="173"/>
        <v>8697633</v>
      </c>
      <c r="AN127" s="312">
        <f t="shared" si="173"/>
        <v>46359189</v>
      </c>
      <c r="AO127" s="367">
        <f t="shared" si="173"/>
        <v>5763728</v>
      </c>
      <c r="AP127" s="311">
        <f t="shared" si="173"/>
        <v>12797</v>
      </c>
      <c r="AQ127" s="366">
        <f t="shared" si="173"/>
        <v>53333008</v>
      </c>
      <c r="AR127" s="366">
        <f>IFERROR(AQ127/AP127,0)</f>
        <v>4167.618035477065</v>
      </c>
      <c r="AS127" s="368">
        <f t="shared" ref="AS127:BA127" si="174">SUM(AS125,AS109,AS75)</f>
        <v>9008003</v>
      </c>
      <c r="AT127" s="368">
        <f t="shared" si="174"/>
        <v>3176345</v>
      </c>
      <c r="AU127" s="368">
        <f t="shared" si="174"/>
        <v>1789668</v>
      </c>
      <c r="AV127" s="368">
        <f t="shared" si="174"/>
        <v>31208746</v>
      </c>
      <c r="AW127" s="368">
        <f t="shared" si="174"/>
        <v>8150246</v>
      </c>
      <c r="AX127" s="368">
        <f t="shared" si="174"/>
        <v>43386345</v>
      </c>
      <c r="AY127" s="367">
        <f t="shared" si="174"/>
        <v>6073807</v>
      </c>
      <c r="AZ127" s="311">
        <f t="shared" si="174"/>
        <v>12996</v>
      </c>
      <c r="BA127" s="366">
        <f t="shared" si="174"/>
        <v>53055376</v>
      </c>
      <c r="BB127" s="366">
        <f>IFERROR(BA127/AZ127,0)</f>
        <v>4082.4389042782395</v>
      </c>
      <c r="BC127" s="368">
        <f t="shared" ref="BC127:BK127" si="175">SUM(BC125,BC109,BC75)</f>
        <v>8601013</v>
      </c>
      <c r="BD127" s="368">
        <f t="shared" si="175"/>
        <v>4783345</v>
      </c>
      <c r="BE127" s="368">
        <f t="shared" si="175"/>
        <v>1923846</v>
      </c>
      <c r="BF127" s="368">
        <f t="shared" si="175"/>
        <v>29244581</v>
      </c>
      <c r="BG127" s="368">
        <f t="shared" si="175"/>
        <v>8502591</v>
      </c>
      <c r="BH127" s="368">
        <f t="shared" si="175"/>
        <v>43337600</v>
      </c>
      <c r="BI127" s="367">
        <f t="shared" si="175"/>
        <v>6336554</v>
      </c>
      <c r="BJ127" s="311">
        <f t="shared" si="175"/>
        <v>12448</v>
      </c>
      <c r="BK127" s="366">
        <f t="shared" si="175"/>
        <v>53208938</v>
      </c>
      <c r="BL127" s="366">
        <f>IFERROR(BK127/BJ127,0)</f>
        <v>4274.4969473007714</v>
      </c>
      <c r="BM127" s="368">
        <f t="shared" ref="BM127:BU127" si="176">SUM(BM125,BM109,BM75)</f>
        <v>9032510</v>
      </c>
      <c r="BN127" s="368">
        <f t="shared" si="176"/>
        <v>4717621</v>
      </c>
      <c r="BO127" s="368">
        <f t="shared" si="176"/>
        <v>2155764</v>
      </c>
      <c r="BP127" s="368">
        <f t="shared" si="176"/>
        <v>27824335</v>
      </c>
      <c r="BQ127" s="368">
        <f t="shared" si="176"/>
        <v>9478708</v>
      </c>
      <c r="BR127" s="368">
        <f t="shared" si="176"/>
        <v>42962195</v>
      </c>
      <c r="BS127" s="367">
        <f t="shared" si="176"/>
        <v>5879472</v>
      </c>
      <c r="BT127" s="311">
        <f t="shared" si="176"/>
        <v>12341</v>
      </c>
      <c r="BU127" s="366">
        <f t="shared" si="176"/>
        <v>53511397</v>
      </c>
      <c r="BV127" s="366">
        <f>IFERROR(BU127/BT127,0)</f>
        <v>4336.0665262134353</v>
      </c>
      <c r="BW127" s="368">
        <f t="shared" ref="BW127:CC127" si="177">SUM(BW125,BW109,BW75)</f>
        <v>10064449</v>
      </c>
      <c r="BX127" s="368">
        <f t="shared" si="177"/>
        <v>4355089</v>
      </c>
      <c r="BY127" s="368">
        <f t="shared" si="177"/>
        <v>2790340</v>
      </c>
      <c r="BZ127" s="368">
        <f t="shared" si="177"/>
        <v>26669889</v>
      </c>
      <c r="CA127" s="368">
        <f t="shared" si="177"/>
        <v>9631630</v>
      </c>
      <c r="CB127" s="368">
        <f t="shared" si="177"/>
        <v>42845621.25</v>
      </c>
      <c r="CC127" s="367">
        <f t="shared" si="177"/>
        <v>6545366</v>
      </c>
    </row>
    <row r="128" spans="1:81" s="320" customFormat="1" ht="50.25" customHeight="1" x14ac:dyDescent="0.25">
      <c r="A128" s="316" t="s">
        <v>151</v>
      </c>
      <c r="B128" s="317" t="str">
        <f>B2</f>
        <v>2015-16</v>
      </c>
      <c r="C128" s="455" t="str">
        <f>B128&amp;" COMMENTS"</f>
        <v>2015-16 COMMENTS</v>
      </c>
      <c r="D128" s="456"/>
      <c r="E128" s="456"/>
      <c r="F128" s="456"/>
      <c r="G128" s="456"/>
      <c r="H128" s="456"/>
      <c r="I128" s="456"/>
      <c r="J128" s="456"/>
      <c r="K128" s="457"/>
      <c r="L128" s="317" t="str">
        <f>L2</f>
        <v>2016-17</v>
      </c>
      <c r="M128" s="473" t="str">
        <f>L128&amp;" COMMENTS"</f>
        <v>2016-17 COMMENTS</v>
      </c>
      <c r="N128" s="474"/>
      <c r="O128" s="474"/>
      <c r="P128" s="474"/>
      <c r="Q128" s="474"/>
      <c r="R128" s="474"/>
      <c r="S128" s="474"/>
      <c r="T128" s="474"/>
      <c r="U128" s="318"/>
      <c r="V128" s="319" t="str">
        <f>V2</f>
        <v>2017-18</v>
      </c>
      <c r="W128" s="455" t="str">
        <f>V128&amp;" COMMENTS"</f>
        <v>2017-18 COMMENTS</v>
      </c>
      <c r="X128" s="456"/>
      <c r="Y128" s="456"/>
      <c r="Z128" s="456"/>
      <c r="AA128" s="456"/>
      <c r="AB128" s="456"/>
      <c r="AC128" s="456"/>
      <c r="AD128" s="456"/>
      <c r="AE128" s="457"/>
      <c r="AF128" s="317" t="str">
        <f>AF2</f>
        <v>2018-19</v>
      </c>
      <c r="AG128" s="455" t="str">
        <f>AF128&amp;" COMMENTS"</f>
        <v>2018-19 COMMENTS</v>
      </c>
      <c r="AH128" s="456"/>
      <c r="AI128" s="456"/>
      <c r="AJ128" s="456"/>
      <c r="AK128" s="456"/>
      <c r="AL128" s="456"/>
      <c r="AM128" s="456"/>
      <c r="AN128" s="456"/>
      <c r="AO128" s="457"/>
      <c r="AP128" s="319" t="str">
        <f>AP2</f>
        <v>2019-20</v>
      </c>
      <c r="AQ128" s="455" t="str">
        <f>AP128&amp;" COMMENTS"</f>
        <v>2019-20 COMMENTS</v>
      </c>
      <c r="AR128" s="456"/>
      <c r="AS128" s="456"/>
      <c r="AT128" s="456"/>
      <c r="AU128" s="456"/>
      <c r="AV128" s="456"/>
      <c r="AW128" s="456"/>
      <c r="AX128" s="456"/>
      <c r="AY128" s="457"/>
      <c r="AZ128" s="319" t="str">
        <f>AZ2</f>
        <v>2020-21</v>
      </c>
      <c r="BA128" s="455" t="str">
        <f>AZ128&amp;" COMMENTS"</f>
        <v>2020-21 COMMENTS</v>
      </c>
      <c r="BB128" s="456"/>
      <c r="BC128" s="456"/>
      <c r="BD128" s="456"/>
      <c r="BE128" s="456"/>
      <c r="BF128" s="456"/>
      <c r="BG128" s="456"/>
      <c r="BH128" s="456"/>
      <c r="BI128" s="457"/>
      <c r="BJ128" s="319" t="str">
        <f>BJ2</f>
        <v>2021-22</v>
      </c>
      <c r="BK128" s="455" t="str">
        <f>BJ128&amp;" COMMENTS"</f>
        <v>2021-22 COMMENTS</v>
      </c>
      <c r="BL128" s="456"/>
      <c r="BM128" s="456"/>
      <c r="BN128" s="456"/>
      <c r="BO128" s="456"/>
      <c r="BP128" s="456"/>
      <c r="BQ128" s="456"/>
      <c r="BR128" s="456"/>
      <c r="BS128" s="457"/>
      <c r="BT128" s="319" t="str">
        <f>BT2</f>
        <v>2022-23</v>
      </c>
      <c r="BU128" s="455" t="str">
        <f>BT128&amp;" COMMENTS"</f>
        <v>2022-23 COMMENTS</v>
      </c>
      <c r="BV128" s="456"/>
      <c r="BW128" s="456"/>
      <c r="BX128" s="456"/>
      <c r="BY128" s="456"/>
      <c r="BZ128" s="456"/>
      <c r="CA128" s="456"/>
      <c r="CB128" s="456"/>
      <c r="CC128" s="457"/>
    </row>
    <row r="129" spans="1:81" s="326" customFormat="1" ht="20.25" customHeight="1" x14ac:dyDescent="0.2">
      <c r="A129" s="321" t="s">
        <v>152</v>
      </c>
      <c r="B129" s="322">
        <v>6747</v>
      </c>
      <c r="C129" s="458"/>
      <c r="D129" s="459"/>
      <c r="E129" s="459"/>
      <c r="F129" s="459"/>
      <c r="G129" s="459"/>
      <c r="H129" s="459"/>
      <c r="I129" s="459"/>
      <c r="J129" s="459"/>
      <c r="K129" s="459"/>
      <c r="L129" s="323">
        <v>6788</v>
      </c>
      <c r="M129" s="458"/>
      <c r="N129" s="459"/>
      <c r="O129" s="459"/>
      <c r="P129" s="459"/>
      <c r="Q129" s="459"/>
      <c r="R129" s="459"/>
      <c r="S129" s="459"/>
      <c r="T129" s="459"/>
      <c r="U129" s="324"/>
      <c r="V129" s="325">
        <v>6644</v>
      </c>
      <c r="W129" s="458"/>
      <c r="X129" s="459"/>
      <c r="Y129" s="459"/>
      <c r="Z129" s="459"/>
      <c r="AA129" s="459"/>
      <c r="AB129" s="459"/>
      <c r="AC129" s="459"/>
      <c r="AD129" s="459"/>
      <c r="AE129" s="459"/>
      <c r="AF129" s="322">
        <v>6327</v>
      </c>
      <c r="AG129" s="458"/>
      <c r="AH129" s="459"/>
      <c r="AI129" s="459"/>
      <c r="AJ129" s="459"/>
      <c r="AK129" s="459"/>
      <c r="AL129" s="459"/>
      <c r="AM129" s="459"/>
      <c r="AN129" s="459"/>
      <c r="AO129" s="464"/>
      <c r="AP129" s="325">
        <v>6279</v>
      </c>
      <c r="AQ129" s="460"/>
      <c r="AR129" s="461"/>
      <c r="AS129" s="461"/>
      <c r="AT129" s="461"/>
      <c r="AU129" s="461"/>
      <c r="AV129" s="461"/>
      <c r="AW129" s="461"/>
      <c r="AX129" s="461"/>
      <c r="AY129" s="465"/>
      <c r="AZ129" s="325">
        <v>6225</v>
      </c>
      <c r="BA129" s="460"/>
      <c r="BB129" s="461"/>
      <c r="BC129" s="461"/>
      <c r="BD129" s="461"/>
      <c r="BE129" s="461"/>
      <c r="BF129" s="461"/>
      <c r="BG129" s="461"/>
      <c r="BH129" s="461"/>
      <c r="BI129" s="465"/>
      <c r="BJ129" s="325">
        <v>6275</v>
      </c>
      <c r="BK129" s="460"/>
      <c r="BL129" s="461"/>
      <c r="BM129" s="461"/>
      <c r="BN129" s="461"/>
      <c r="BO129" s="461"/>
      <c r="BP129" s="461"/>
      <c r="BQ129" s="461"/>
      <c r="BR129" s="461"/>
      <c r="BS129" s="465"/>
      <c r="BT129" s="13">
        <v>6041</v>
      </c>
      <c r="BU129" s="467"/>
      <c r="BV129" s="468"/>
      <c r="BW129" s="468"/>
      <c r="BX129" s="468"/>
      <c r="BY129" s="468"/>
      <c r="BZ129" s="468"/>
      <c r="CA129" s="468"/>
      <c r="CB129" s="468"/>
      <c r="CC129" s="469"/>
    </row>
    <row r="130" spans="1:81" s="326" customFormat="1" ht="30.75" customHeight="1" x14ac:dyDescent="0.2">
      <c r="A130" s="321" t="s">
        <v>153</v>
      </c>
      <c r="B130" s="322">
        <v>5350</v>
      </c>
      <c r="C130" s="460"/>
      <c r="D130" s="461"/>
      <c r="E130" s="461"/>
      <c r="F130" s="461"/>
      <c r="G130" s="461"/>
      <c r="H130" s="461"/>
      <c r="I130" s="461"/>
      <c r="J130" s="461"/>
      <c r="K130" s="461"/>
      <c r="L130" s="323">
        <v>5368</v>
      </c>
      <c r="M130" s="460"/>
      <c r="N130" s="461"/>
      <c r="O130" s="461"/>
      <c r="P130" s="461"/>
      <c r="Q130" s="461"/>
      <c r="R130" s="461"/>
      <c r="S130" s="461"/>
      <c r="T130" s="461"/>
      <c r="U130" s="327"/>
      <c r="V130" s="325">
        <v>5202</v>
      </c>
      <c r="W130" s="460"/>
      <c r="X130" s="461"/>
      <c r="Y130" s="461"/>
      <c r="Z130" s="461"/>
      <c r="AA130" s="461"/>
      <c r="AB130" s="461"/>
      <c r="AC130" s="461"/>
      <c r="AD130" s="461"/>
      <c r="AE130" s="461"/>
      <c r="AF130" s="322">
        <v>5131</v>
      </c>
      <c r="AG130" s="460"/>
      <c r="AH130" s="461"/>
      <c r="AI130" s="461"/>
      <c r="AJ130" s="461"/>
      <c r="AK130" s="461"/>
      <c r="AL130" s="461"/>
      <c r="AM130" s="461"/>
      <c r="AN130" s="461"/>
      <c r="AO130" s="465"/>
      <c r="AP130" s="325">
        <v>5083</v>
      </c>
      <c r="AQ130" s="460"/>
      <c r="AR130" s="461"/>
      <c r="AS130" s="461"/>
      <c r="AT130" s="461"/>
      <c r="AU130" s="461"/>
      <c r="AV130" s="461"/>
      <c r="AW130" s="461"/>
      <c r="AX130" s="461"/>
      <c r="AY130" s="465"/>
      <c r="AZ130" s="325">
        <v>5236</v>
      </c>
      <c r="BA130" s="460"/>
      <c r="BB130" s="461"/>
      <c r="BC130" s="461"/>
      <c r="BD130" s="461"/>
      <c r="BE130" s="461"/>
      <c r="BF130" s="461"/>
      <c r="BG130" s="461"/>
      <c r="BH130" s="461"/>
      <c r="BI130" s="465"/>
      <c r="BJ130" s="325">
        <v>5084</v>
      </c>
      <c r="BK130" s="460"/>
      <c r="BL130" s="461"/>
      <c r="BM130" s="461"/>
      <c r="BN130" s="461"/>
      <c r="BO130" s="461"/>
      <c r="BP130" s="461"/>
      <c r="BQ130" s="461"/>
      <c r="BR130" s="461"/>
      <c r="BS130" s="465"/>
      <c r="BT130" s="13">
        <v>5085</v>
      </c>
      <c r="BU130" s="467"/>
      <c r="BV130" s="468"/>
      <c r="BW130" s="468"/>
      <c r="BX130" s="468"/>
      <c r="BY130" s="468"/>
      <c r="BZ130" s="468"/>
      <c r="CA130" s="468"/>
      <c r="CB130" s="468"/>
      <c r="CC130" s="469"/>
    </row>
    <row r="131" spans="1:81" s="326" customFormat="1" ht="30" customHeight="1" x14ac:dyDescent="0.2">
      <c r="A131" s="321" t="s">
        <v>154</v>
      </c>
      <c r="B131" s="322">
        <v>4128</v>
      </c>
      <c r="C131" s="460"/>
      <c r="D131" s="461"/>
      <c r="E131" s="461"/>
      <c r="F131" s="461"/>
      <c r="G131" s="461"/>
      <c r="H131" s="461"/>
      <c r="I131" s="461"/>
      <c r="J131" s="461"/>
      <c r="K131" s="461"/>
      <c r="L131" s="323">
        <v>4095</v>
      </c>
      <c r="M131" s="460"/>
      <c r="N131" s="461"/>
      <c r="O131" s="461"/>
      <c r="P131" s="461"/>
      <c r="Q131" s="461"/>
      <c r="R131" s="461"/>
      <c r="S131" s="461"/>
      <c r="T131" s="461"/>
      <c r="U131" s="327"/>
      <c r="V131" s="325">
        <v>3992</v>
      </c>
      <c r="W131" s="460"/>
      <c r="X131" s="461"/>
      <c r="Y131" s="461"/>
      <c r="Z131" s="461"/>
      <c r="AA131" s="461"/>
      <c r="AB131" s="461"/>
      <c r="AC131" s="461"/>
      <c r="AD131" s="461"/>
      <c r="AE131" s="461"/>
      <c r="AF131" s="322">
        <v>3913</v>
      </c>
      <c r="AG131" s="460"/>
      <c r="AH131" s="461"/>
      <c r="AI131" s="461"/>
      <c r="AJ131" s="461"/>
      <c r="AK131" s="461"/>
      <c r="AL131" s="461"/>
      <c r="AM131" s="461"/>
      <c r="AN131" s="461"/>
      <c r="AO131" s="465"/>
      <c r="AP131" s="325">
        <v>3984</v>
      </c>
      <c r="AQ131" s="460"/>
      <c r="AR131" s="461"/>
      <c r="AS131" s="461"/>
      <c r="AT131" s="461"/>
      <c r="AU131" s="461"/>
      <c r="AV131" s="461"/>
      <c r="AW131" s="461"/>
      <c r="AX131" s="461"/>
      <c r="AY131" s="465"/>
      <c r="AZ131" s="325">
        <v>4274</v>
      </c>
      <c r="BA131" s="460"/>
      <c r="BB131" s="461"/>
      <c r="BC131" s="461"/>
      <c r="BD131" s="461"/>
      <c r="BE131" s="461"/>
      <c r="BF131" s="461"/>
      <c r="BG131" s="461"/>
      <c r="BH131" s="461"/>
      <c r="BI131" s="465"/>
      <c r="BJ131" s="325">
        <v>3756</v>
      </c>
      <c r="BK131" s="460"/>
      <c r="BL131" s="461"/>
      <c r="BM131" s="461"/>
      <c r="BN131" s="461"/>
      <c r="BO131" s="461"/>
      <c r="BP131" s="461"/>
      <c r="BQ131" s="461"/>
      <c r="BR131" s="461"/>
      <c r="BS131" s="465"/>
      <c r="BT131" s="13">
        <v>3844</v>
      </c>
      <c r="BU131" s="467"/>
      <c r="BV131" s="468"/>
      <c r="BW131" s="468"/>
      <c r="BX131" s="468"/>
      <c r="BY131" s="468"/>
      <c r="BZ131" s="468"/>
      <c r="CA131" s="468"/>
      <c r="CB131" s="468"/>
      <c r="CC131" s="469"/>
    </row>
    <row r="132" spans="1:81" s="326" customFormat="1" ht="20.25" customHeight="1" x14ac:dyDescent="0.2">
      <c r="A132" s="321" t="s">
        <v>155</v>
      </c>
      <c r="B132" s="328">
        <f>IFERROR(B130/B129,"")</f>
        <v>0.79294501259819183</v>
      </c>
      <c r="C132" s="460"/>
      <c r="D132" s="461"/>
      <c r="E132" s="461"/>
      <c r="F132" s="461"/>
      <c r="G132" s="461"/>
      <c r="H132" s="461"/>
      <c r="I132" s="461"/>
      <c r="J132" s="461"/>
      <c r="K132" s="461"/>
      <c r="L132" s="329">
        <f>IFERROR(L130/L129,"")</f>
        <v>0.79080730701237478</v>
      </c>
      <c r="M132" s="460"/>
      <c r="N132" s="461"/>
      <c r="O132" s="461"/>
      <c r="P132" s="461"/>
      <c r="Q132" s="461"/>
      <c r="R132" s="461"/>
      <c r="S132" s="461"/>
      <c r="T132" s="461"/>
      <c r="U132" s="327"/>
      <c r="V132" s="330">
        <f>IFERROR(V130/V129,"")</f>
        <v>0.78296207104154125</v>
      </c>
      <c r="W132" s="460"/>
      <c r="X132" s="461"/>
      <c r="Y132" s="461"/>
      <c r="Z132" s="461"/>
      <c r="AA132" s="461"/>
      <c r="AB132" s="461"/>
      <c r="AC132" s="461"/>
      <c r="AD132" s="461"/>
      <c r="AE132" s="461"/>
      <c r="AF132" s="328">
        <f>IFERROR(AF130/AF129,"")</f>
        <v>0.81096886360044251</v>
      </c>
      <c r="AG132" s="460"/>
      <c r="AH132" s="461"/>
      <c r="AI132" s="461"/>
      <c r="AJ132" s="461"/>
      <c r="AK132" s="461"/>
      <c r="AL132" s="461"/>
      <c r="AM132" s="461"/>
      <c r="AN132" s="461"/>
      <c r="AO132" s="465"/>
      <c r="AP132" s="330">
        <f>IFERROR(AP130/AP129,"")</f>
        <v>0.80952380952380953</v>
      </c>
      <c r="AQ132" s="460"/>
      <c r="AR132" s="461"/>
      <c r="AS132" s="461"/>
      <c r="AT132" s="461"/>
      <c r="AU132" s="461"/>
      <c r="AV132" s="461"/>
      <c r="AW132" s="461"/>
      <c r="AX132" s="461"/>
      <c r="AY132" s="465"/>
      <c r="AZ132" s="330">
        <f>IFERROR(AZ130/AZ129,"")</f>
        <v>0.84112449799196787</v>
      </c>
      <c r="BA132" s="460"/>
      <c r="BB132" s="461"/>
      <c r="BC132" s="461"/>
      <c r="BD132" s="461"/>
      <c r="BE132" s="461"/>
      <c r="BF132" s="461"/>
      <c r="BG132" s="461"/>
      <c r="BH132" s="461"/>
      <c r="BI132" s="465"/>
      <c r="BJ132" s="330">
        <f>IFERROR(BJ130/BJ129,"")</f>
        <v>0.81019920318725103</v>
      </c>
      <c r="BK132" s="460"/>
      <c r="BL132" s="461"/>
      <c r="BM132" s="461"/>
      <c r="BN132" s="461"/>
      <c r="BO132" s="461"/>
      <c r="BP132" s="461"/>
      <c r="BQ132" s="461"/>
      <c r="BR132" s="461"/>
      <c r="BS132" s="465"/>
      <c r="BT132" s="330">
        <f>IFERROR(BT130/BT129,"")</f>
        <v>0.84174805495778848</v>
      </c>
      <c r="BU132" s="467"/>
      <c r="BV132" s="468"/>
      <c r="BW132" s="468"/>
      <c r="BX132" s="468"/>
      <c r="BY132" s="468"/>
      <c r="BZ132" s="468"/>
      <c r="CA132" s="468"/>
      <c r="CB132" s="468"/>
      <c r="CC132" s="469"/>
    </row>
    <row r="133" spans="1:81" s="326" customFormat="1" ht="29.25" customHeight="1" x14ac:dyDescent="0.2">
      <c r="A133" s="321" t="s">
        <v>156</v>
      </c>
      <c r="B133" s="322">
        <v>4573</v>
      </c>
      <c r="C133" s="460"/>
      <c r="D133" s="461"/>
      <c r="E133" s="461"/>
      <c r="F133" s="461"/>
      <c r="G133" s="461"/>
      <c r="H133" s="461"/>
      <c r="I133" s="461"/>
      <c r="J133" s="461"/>
      <c r="K133" s="461"/>
      <c r="L133" s="323">
        <v>4636</v>
      </c>
      <c r="M133" s="460"/>
      <c r="N133" s="461"/>
      <c r="O133" s="461"/>
      <c r="P133" s="461"/>
      <c r="Q133" s="461"/>
      <c r="R133" s="461"/>
      <c r="S133" s="461"/>
      <c r="T133" s="461"/>
      <c r="U133" s="327"/>
      <c r="V133" s="325">
        <v>4488</v>
      </c>
      <c r="W133" s="460"/>
      <c r="X133" s="461"/>
      <c r="Y133" s="461"/>
      <c r="Z133" s="461"/>
      <c r="AA133" s="461"/>
      <c r="AB133" s="461"/>
      <c r="AC133" s="461"/>
      <c r="AD133" s="461"/>
      <c r="AE133" s="461"/>
      <c r="AF133" s="322">
        <v>4440</v>
      </c>
      <c r="AG133" s="460"/>
      <c r="AH133" s="461"/>
      <c r="AI133" s="461"/>
      <c r="AJ133" s="461"/>
      <c r="AK133" s="461"/>
      <c r="AL133" s="461"/>
      <c r="AM133" s="461"/>
      <c r="AN133" s="461"/>
      <c r="AO133" s="465"/>
      <c r="AP133" s="325">
        <v>4365</v>
      </c>
      <c r="AQ133" s="460"/>
      <c r="AR133" s="461"/>
      <c r="AS133" s="461"/>
      <c r="AT133" s="461"/>
      <c r="AU133" s="461"/>
      <c r="AV133" s="461"/>
      <c r="AW133" s="461"/>
      <c r="AX133" s="461"/>
      <c r="AY133" s="465"/>
      <c r="AZ133" s="325">
        <v>4498</v>
      </c>
      <c r="BA133" s="460"/>
      <c r="BB133" s="461"/>
      <c r="BC133" s="461"/>
      <c r="BD133" s="461"/>
      <c r="BE133" s="461"/>
      <c r="BF133" s="461"/>
      <c r="BG133" s="461"/>
      <c r="BH133" s="461"/>
      <c r="BI133" s="465"/>
      <c r="BJ133" s="325">
        <v>4359</v>
      </c>
      <c r="BK133" s="460"/>
      <c r="BL133" s="461"/>
      <c r="BM133" s="461"/>
      <c r="BN133" s="461"/>
      <c r="BO133" s="461"/>
      <c r="BP133" s="461"/>
      <c r="BQ133" s="461"/>
      <c r="BR133" s="461"/>
      <c r="BS133" s="465"/>
      <c r="BT133" s="13">
        <v>4306</v>
      </c>
      <c r="BU133" s="467"/>
      <c r="BV133" s="468"/>
      <c r="BW133" s="468"/>
      <c r="BX133" s="468"/>
      <c r="BY133" s="468"/>
      <c r="BZ133" s="468"/>
      <c r="CA133" s="468"/>
      <c r="CB133" s="468"/>
      <c r="CC133" s="469"/>
    </row>
    <row r="134" spans="1:81" s="326" customFormat="1" ht="20.25" customHeight="1" x14ac:dyDescent="0.2">
      <c r="A134" s="321" t="s">
        <v>157</v>
      </c>
      <c r="B134" s="328">
        <f>IFERROR(B133/B130,"")</f>
        <v>0.85476635514018695</v>
      </c>
      <c r="C134" s="460"/>
      <c r="D134" s="461"/>
      <c r="E134" s="461"/>
      <c r="F134" s="461"/>
      <c r="G134" s="461"/>
      <c r="H134" s="461"/>
      <c r="I134" s="461"/>
      <c r="J134" s="461"/>
      <c r="K134" s="461"/>
      <c r="L134" s="329">
        <f>IFERROR(L133/L130,"")</f>
        <v>0.86363636363636365</v>
      </c>
      <c r="M134" s="460"/>
      <c r="N134" s="461"/>
      <c r="O134" s="461"/>
      <c r="P134" s="461"/>
      <c r="Q134" s="461"/>
      <c r="R134" s="461"/>
      <c r="S134" s="461"/>
      <c r="T134" s="461"/>
      <c r="U134" s="327"/>
      <c r="V134" s="330">
        <f>IFERROR(V133/V130,"")</f>
        <v>0.86274509803921573</v>
      </c>
      <c r="W134" s="460"/>
      <c r="X134" s="461"/>
      <c r="Y134" s="461"/>
      <c r="Z134" s="461"/>
      <c r="AA134" s="461"/>
      <c r="AB134" s="461"/>
      <c r="AC134" s="461"/>
      <c r="AD134" s="461"/>
      <c r="AE134" s="461"/>
      <c r="AF134" s="328">
        <f>IFERROR(AF133/AF130,"")</f>
        <v>0.86532839602416678</v>
      </c>
      <c r="AG134" s="460"/>
      <c r="AH134" s="461"/>
      <c r="AI134" s="461"/>
      <c r="AJ134" s="461"/>
      <c r="AK134" s="461"/>
      <c r="AL134" s="461"/>
      <c r="AM134" s="461"/>
      <c r="AN134" s="461"/>
      <c r="AO134" s="465"/>
      <c r="AP134" s="330">
        <f>IFERROR(AP133/AP130,"")</f>
        <v>0.85874483572693294</v>
      </c>
      <c r="AQ134" s="460"/>
      <c r="AR134" s="461"/>
      <c r="AS134" s="461"/>
      <c r="AT134" s="461"/>
      <c r="AU134" s="461"/>
      <c r="AV134" s="461"/>
      <c r="AW134" s="461"/>
      <c r="AX134" s="461"/>
      <c r="AY134" s="465"/>
      <c r="AZ134" s="330">
        <f>IFERROR(AZ133/AZ130,"")</f>
        <v>0.85905271199388844</v>
      </c>
      <c r="BA134" s="460"/>
      <c r="BB134" s="461"/>
      <c r="BC134" s="461"/>
      <c r="BD134" s="461"/>
      <c r="BE134" s="461"/>
      <c r="BF134" s="461"/>
      <c r="BG134" s="461"/>
      <c r="BH134" s="461"/>
      <c r="BI134" s="465"/>
      <c r="BJ134" s="330">
        <f>IFERROR(BJ133/BJ130,"")</f>
        <v>0.85739575137686863</v>
      </c>
      <c r="BK134" s="460"/>
      <c r="BL134" s="461"/>
      <c r="BM134" s="461"/>
      <c r="BN134" s="461"/>
      <c r="BO134" s="461"/>
      <c r="BP134" s="461"/>
      <c r="BQ134" s="461"/>
      <c r="BR134" s="461"/>
      <c r="BS134" s="465"/>
      <c r="BT134" s="330">
        <f>IFERROR(BT133/BT130,"")</f>
        <v>0.8468043264503442</v>
      </c>
      <c r="BU134" s="467"/>
      <c r="BV134" s="468"/>
      <c r="BW134" s="468"/>
      <c r="BX134" s="468"/>
      <c r="BY134" s="468"/>
      <c r="BZ134" s="468"/>
      <c r="CA134" s="468"/>
      <c r="CB134" s="468"/>
      <c r="CC134" s="469"/>
    </row>
    <row r="135" spans="1:81" s="333" customFormat="1" ht="20.25" customHeight="1" x14ac:dyDescent="0.2">
      <c r="A135" s="331" t="s">
        <v>234</v>
      </c>
      <c r="B135" s="332">
        <f>C127</f>
        <v>55590744.230000004</v>
      </c>
      <c r="C135" s="460"/>
      <c r="D135" s="461"/>
      <c r="E135" s="461"/>
      <c r="F135" s="461"/>
      <c r="G135" s="461"/>
      <c r="H135" s="461"/>
      <c r="I135" s="461"/>
      <c r="J135" s="461"/>
      <c r="K135" s="461"/>
      <c r="L135" s="332">
        <f>M127</f>
        <v>55661027</v>
      </c>
      <c r="M135" s="460"/>
      <c r="N135" s="461"/>
      <c r="O135" s="461"/>
      <c r="P135" s="461"/>
      <c r="Q135" s="461"/>
      <c r="R135" s="461"/>
      <c r="S135" s="461"/>
      <c r="T135" s="461"/>
      <c r="U135" s="327"/>
      <c r="V135" s="332">
        <f>W127</f>
        <v>56241316</v>
      </c>
      <c r="W135" s="460"/>
      <c r="X135" s="461"/>
      <c r="Y135" s="461"/>
      <c r="Z135" s="461"/>
      <c r="AA135" s="461"/>
      <c r="AB135" s="461"/>
      <c r="AC135" s="461"/>
      <c r="AD135" s="461"/>
      <c r="AE135" s="461"/>
      <c r="AF135" s="332">
        <f>AG127</f>
        <v>55781576</v>
      </c>
      <c r="AG135" s="460"/>
      <c r="AH135" s="461"/>
      <c r="AI135" s="461"/>
      <c r="AJ135" s="461"/>
      <c r="AK135" s="461"/>
      <c r="AL135" s="461"/>
      <c r="AM135" s="461"/>
      <c r="AN135" s="461"/>
      <c r="AO135" s="465"/>
      <c r="AP135" s="332">
        <f>AQ127</f>
        <v>53333008</v>
      </c>
      <c r="AQ135" s="460"/>
      <c r="AR135" s="461"/>
      <c r="AS135" s="461"/>
      <c r="AT135" s="461"/>
      <c r="AU135" s="461"/>
      <c r="AV135" s="461"/>
      <c r="AW135" s="461"/>
      <c r="AX135" s="461"/>
      <c r="AY135" s="465"/>
      <c r="AZ135" s="332">
        <f>BA127</f>
        <v>53055376</v>
      </c>
      <c r="BA135" s="460"/>
      <c r="BB135" s="461"/>
      <c r="BC135" s="461"/>
      <c r="BD135" s="461"/>
      <c r="BE135" s="461"/>
      <c r="BF135" s="461"/>
      <c r="BG135" s="461"/>
      <c r="BH135" s="461"/>
      <c r="BI135" s="465"/>
      <c r="BJ135" s="332">
        <f>BK127</f>
        <v>53208938</v>
      </c>
      <c r="BK135" s="460"/>
      <c r="BL135" s="461"/>
      <c r="BM135" s="461"/>
      <c r="BN135" s="461"/>
      <c r="BO135" s="461"/>
      <c r="BP135" s="461"/>
      <c r="BQ135" s="461"/>
      <c r="BR135" s="461"/>
      <c r="BS135" s="465"/>
      <c r="BT135" s="332">
        <f>BU127</f>
        <v>53511397</v>
      </c>
      <c r="BU135" s="467"/>
      <c r="BV135" s="468"/>
      <c r="BW135" s="468"/>
      <c r="BX135" s="468"/>
      <c r="BY135" s="468"/>
      <c r="BZ135" s="468"/>
      <c r="CA135" s="468"/>
      <c r="CB135" s="468"/>
      <c r="CC135" s="469"/>
    </row>
    <row r="136" spans="1:81" s="333" customFormat="1" ht="20.25" customHeight="1" x14ac:dyDescent="0.2">
      <c r="A136" s="331" t="s">
        <v>158</v>
      </c>
      <c r="B136" s="332">
        <f>J127</f>
        <v>45718574</v>
      </c>
      <c r="C136" s="460"/>
      <c r="D136" s="461"/>
      <c r="E136" s="461"/>
      <c r="F136" s="461"/>
      <c r="G136" s="461"/>
      <c r="H136" s="461"/>
      <c r="I136" s="461"/>
      <c r="J136" s="461"/>
      <c r="K136" s="461"/>
      <c r="L136" s="332">
        <f>T127</f>
        <v>46315759</v>
      </c>
      <c r="M136" s="460"/>
      <c r="N136" s="461"/>
      <c r="O136" s="461"/>
      <c r="P136" s="461"/>
      <c r="Q136" s="461"/>
      <c r="R136" s="461"/>
      <c r="S136" s="461"/>
      <c r="T136" s="461"/>
      <c r="U136" s="327"/>
      <c r="V136" s="332">
        <f>AD127</f>
        <v>46904741</v>
      </c>
      <c r="W136" s="460"/>
      <c r="X136" s="461"/>
      <c r="Y136" s="461"/>
      <c r="Z136" s="461"/>
      <c r="AA136" s="461"/>
      <c r="AB136" s="461"/>
      <c r="AC136" s="461"/>
      <c r="AD136" s="461"/>
      <c r="AE136" s="461"/>
      <c r="AF136" s="332">
        <f>AN127</f>
        <v>46359189</v>
      </c>
      <c r="AG136" s="460"/>
      <c r="AH136" s="461"/>
      <c r="AI136" s="461"/>
      <c r="AJ136" s="461"/>
      <c r="AK136" s="461"/>
      <c r="AL136" s="461"/>
      <c r="AM136" s="461"/>
      <c r="AN136" s="461"/>
      <c r="AO136" s="465"/>
      <c r="AP136" s="332">
        <f>AX127</f>
        <v>43386345</v>
      </c>
      <c r="AQ136" s="460"/>
      <c r="AR136" s="461"/>
      <c r="AS136" s="461"/>
      <c r="AT136" s="461"/>
      <c r="AU136" s="461"/>
      <c r="AV136" s="461"/>
      <c r="AW136" s="461"/>
      <c r="AX136" s="461"/>
      <c r="AY136" s="465"/>
      <c r="AZ136" s="332">
        <f>BH127</f>
        <v>43337600</v>
      </c>
      <c r="BA136" s="460"/>
      <c r="BB136" s="461"/>
      <c r="BC136" s="461"/>
      <c r="BD136" s="461"/>
      <c r="BE136" s="461"/>
      <c r="BF136" s="461"/>
      <c r="BG136" s="461"/>
      <c r="BH136" s="461"/>
      <c r="BI136" s="465"/>
      <c r="BJ136" s="332">
        <f>BR127</f>
        <v>42962195</v>
      </c>
      <c r="BK136" s="460"/>
      <c r="BL136" s="461"/>
      <c r="BM136" s="461"/>
      <c r="BN136" s="461"/>
      <c r="BO136" s="461"/>
      <c r="BP136" s="461"/>
      <c r="BQ136" s="461"/>
      <c r="BR136" s="461"/>
      <c r="BS136" s="465"/>
      <c r="BT136" s="332">
        <f>CB127</f>
        <v>42845621.25</v>
      </c>
      <c r="BU136" s="467"/>
      <c r="BV136" s="468"/>
      <c r="BW136" s="468"/>
      <c r="BX136" s="468"/>
      <c r="BY136" s="468"/>
      <c r="BZ136" s="468"/>
      <c r="CA136" s="468"/>
      <c r="CB136" s="468"/>
      <c r="CC136" s="469"/>
    </row>
    <row r="137" spans="1:81" s="333" customFormat="1" ht="29.25" customHeight="1" x14ac:dyDescent="0.2">
      <c r="A137" s="331" t="s">
        <v>235</v>
      </c>
      <c r="B137" s="334">
        <f>K127</f>
        <v>5631573</v>
      </c>
      <c r="C137" s="460"/>
      <c r="D137" s="461"/>
      <c r="E137" s="461"/>
      <c r="F137" s="461"/>
      <c r="G137" s="461"/>
      <c r="H137" s="461"/>
      <c r="I137" s="461"/>
      <c r="J137" s="461"/>
      <c r="K137" s="461"/>
      <c r="L137" s="334">
        <f>U127</f>
        <v>5795538</v>
      </c>
      <c r="M137" s="460"/>
      <c r="N137" s="461"/>
      <c r="O137" s="461"/>
      <c r="P137" s="461"/>
      <c r="Q137" s="461"/>
      <c r="R137" s="461"/>
      <c r="S137" s="461"/>
      <c r="T137" s="461"/>
      <c r="U137" s="327"/>
      <c r="V137" s="334">
        <f>AE127</f>
        <v>6202426</v>
      </c>
      <c r="W137" s="460"/>
      <c r="X137" s="461"/>
      <c r="Y137" s="461"/>
      <c r="Z137" s="461"/>
      <c r="AA137" s="461"/>
      <c r="AB137" s="461"/>
      <c r="AC137" s="461"/>
      <c r="AD137" s="461"/>
      <c r="AE137" s="461"/>
      <c r="AF137" s="334">
        <f>AO127</f>
        <v>5763728</v>
      </c>
      <c r="AG137" s="460"/>
      <c r="AH137" s="461"/>
      <c r="AI137" s="461"/>
      <c r="AJ137" s="461"/>
      <c r="AK137" s="461"/>
      <c r="AL137" s="461"/>
      <c r="AM137" s="461"/>
      <c r="AN137" s="461"/>
      <c r="AO137" s="465"/>
      <c r="AP137" s="334">
        <f>AY127</f>
        <v>6073807</v>
      </c>
      <c r="AQ137" s="460"/>
      <c r="AR137" s="461"/>
      <c r="AS137" s="461"/>
      <c r="AT137" s="461"/>
      <c r="AU137" s="461"/>
      <c r="AV137" s="461"/>
      <c r="AW137" s="461"/>
      <c r="AX137" s="461"/>
      <c r="AY137" s="465"/>
      <c r="AZ137" s="334">
        <f>BI127</f>
        <v>6336554</v>
      </c>
      <c r="BA137" s="460"/>
      <c r="BB137" s="461"/>
      <c r="BC137" s="461"/>
      <c r="BD137" s="461"/>
      <c r="BE137" s="461"/>
      <c r="BF137" s="461"/>
      <c r="BG137" s="461"/>
      <c r="BH137" s="461"/>
      <c r="BI137" s="465"/>
      <c r="BJ137" s="334">
        <f>BS127</f>
        <v>5879472</v>
      </c>
      <c r="BK137" s="460"/>
      <c r="BL137" s="461"/>
      <c r="BM137" s="461"/>
      <c r="BN137" s="461"/>
      <c r="BO137" s="461"/>
      <c r="BP137" s="461"/>
      <c r="BQ137" s="461"/>
      <c r="BR137" s="461"/>
      <c r="BS137" s="465"/>
      <c r="BT137" s="334">
        <f>CC127</f>
        <v>6545366</v>
      </c>
      <c r="BU137" s="467"/>
      <c r="BV137" s="468"/>
      <c r="BW137" s="468"/>
      <c r="BX137" s="468"/>
      <c r="BY137" s="468"/>
      <c r="BZ137" s="468"/>
      <c r="CA137" s="468"/>
      <c r="CB137" s="468"/>
      <c r="CC137" s="469"/>
    </row>
    <row r="138" spans="1:81" s="333" customFormat="1" ht="27" customHeight="1" x14ac:dyDescent="0.2">
      <c r="A138" s="331" t="s">
        <v>236</v>
      </c>
      <c r="B138" s="334">
        <f>E127-B137</f>
        <v>2441817.2300000004</v>
      </c>
      <c r="C138" s="460"/>
      <c r="D138" s="461"/>
      <c r="E138" s="461"/>
      <c r="F138" s="461"/>
      <c r="G138" s="461"/>
      <c r="H138" s="461"/>
      <c r="I138" s="461"/>
      <c r="J138" s="461"/>
      <c r="K138" s="461"/>
      <c r="L138" s="334">
        <f>O127-L137</f>
        <v>2146105</v>
      </c>
      <c r="M138" s="460"/>
      <c r="N138" s="461"/>
      <c r="O138" s="461"/>
      <c r="P138" s="461"/>
      <c r="Q138" s="461"/>
      <c r="R138" s="461"/>
      <c r="S138" s="461"/>
      <c r="T138" s="461"/>
      <c r="U138" s="327"/>
      <c r="V138" s="334">
        <f>Y127-V137</f>
        <v>2322493</v>
      </c>
      <c r="W138" s="460"/>
      <c r="X138" s="461"/>
      <c r="Y138" s="461"/>
      <c r="Z138" s="461"/>
      <c r="AA138" s="461"/>
      <c r="AB138" s="461"/>
      <c r="AC138" s="461"/>
      <c r="AD138" s="461"/>
      <c r="AE138" s="461"/>
      <c r="AF138" s="334">
        <f>AI127-AF137</f>
        <v>3020376</v>
      </c>
      <c r="AG138" s="460"/>
      <c r="AH138" s="461"/>
      <c r="AI138" s="461"/>
      <c r="AJ138" s="461"/>
      <c r="AK138" s="461"/>
      <c r="AL138" s="461"/>
      <c r="AM138" s="461"/>
      <c r="AN138" s="461"/>
      <c r="AO138" s="465"/>
      <c r="AP138" s="334">
        <f>AS127-AP137</f>
        <v>2934196</v>
      </c>
      <c r="AQ138" s="460"/>
      <c r="AR138" s="461"/>
      <c r="AS138" s="461"/>
      <c r="AT138" s="461"/>
      <c r="AU138" s="461"/>
      <c r="AV138" s="461"/>
      <c r="AW138" s="461"/>
      <c r="AX138" s="461"/>
      <c r="AY138" s="465"/>
      <c r="AZ138" s="334">
        <f>BC127-AZ137</f>
        <v>2264459</v>
      </c>
      <c r="BA138" s="460"/>
      <c r="BB138" s="461"/>
      <c r="BC138" s="461"/>
      <c r="BD138" s="461"/>
      <c r="BE138" s="461"/>
      <c r="BF138" s="461"/>
      <c r="BG138" s="461"/>
      <c r="BH138" s="461"/>
      <c r="BI138" s="465"/>
      <c r="BJ138" s="334">
        <f>BM127-BJ137</f>
        <v>3153038</v>
      </c>
      <c r="BK138" s="460"/>
      <c r="BL138" s="461"/>
      <c r="BM138" s="461"/>
      <c r="BN138" s="461"/>
      <c r="BO138" s="461"/>
      <c r="BP138" s="461"/>
      <c r="BQ138" s="461"/>
      <c r="BR138" s="461"/>
      <c r="BS138" s="465"/>
      <c r="BT138" s="334">
        <f>BW127-BT137</f>
        <v>3519083</v>
      </c>
      <c r="BU138" s="467"/>
      <c r="BV138" s="468"/>
      <c r="BW138" s="468"/>
      <c r="BX138" s="468"/>
      <c r="BY138" s="468"/>
      <c r="BZ138" s="468"/>
      <c r="CA138" s="468"/>
      <c r="CB138" s="468"/>
      <c r="CC138" s="469"/>
    </row>
    <row r="139" spans="1:81" s="326" customFormat="1" ht="24.75" customHeight="1" x14ac:dyDescent="0.2">
      <c r="A139" s="321" t="s">
        <v>237</v>
      </c>
      <c r="B139" s="328">
        <f>IFERROR(B136/B135,"")</f>
        <v>0.8224134185152282</v>
      </c>
      <c r="C139" s="460"/>
      <c r="D139" s="461"/>
      <c r="E139" s="461"/>
      <c r="F139" s="461"/>
      <c r="G139" s="461"/>
      <c r="H139" s="461"/>
      <c r="I139" s="461"/>
      <c r="J139" s="461"/>
      <c r="K139" s="461"/>
      <c r="L139" s="329">
        <f>IFERROR(L136/L135,"")</f>
        <v>0.83210392434907821</v>
      </c>
      <c r="M139" s="460"/>
      <c r="N139" s="461"/>
      <c r="O139" s="461"/>
      <c r="P139" s="461"/>
      <c r="Q139" s="461"/>
      <c r="R139" s="461"/>
      <c r="S139" s="461"/>
      <c r="T139" s="461"/>
      <c r="U139" s="327"/>
      <c r="V139" s="330">
        <f>IFERROR(V136/V135,"")</f>
        <v>0.83399081557764398</v>
      </c>
      <c r="W139" s="460"/>
      <c r="X139" s="461"/>
      <c r="Y139" s="461"/>
      <c r="Z139" s="461"/>
      <c r="AA139" s="461"/>
      <c r="AB139" s="461"/>
      <c r="AC139" s="461"/>
      <c r="AD139" s="461"/>
      <c r="AE139" s="461"/>
      <c r="AF139" s="328">
        <f>IFERROR(AF136/AF135,"")</f>
        <v>0.83108424545050497</v>
      </c>
      <c r="AG139" s="460"/>
      <c r="AH139" s="461"/>
      <c r="AI139" s="461"/>
      <c r="AJ139" s="461"/>
      <c r="AK139" s="461"/>
      <c r="AL139" s="461"/>
      <c r="AM139" s="461"/>
      <c r="AN139" s="461"/>
      <c r="AO139" s="465"/>
      <c r="AP139" s="330">
        <f>IFERROR(AP136/AP135,"")</f>
        <v>0.8134989310934797</v>
      </c>
      <c r="AQ139" s="460"/>
      <c r="AR139" s="461"/>
      <c r="AS139" s="461"/>
      <c r="AT139" s="461"/>
      <c r="AU139" s="461"/>
      <c r="AV139" s="461"/>
      <c r="AW139" s="461"/>
      <c r="AX139" s="461"/>
      <c r="AY139" s="465"/>
      <c r="AZ139" s="330">
        <f>IFERROR(AZ136/AZ135,"")</f>
        <v>0.81683710996600989</v>
      </c>
      <c r="BA139" s="460"/>
      <c r="BB139" s="461"/>
      <c r="BC139" s="461"/>
      <c r="BD139" s="461"/>
      <c r="BE139" s="461"/>
      <c r="BF139" s="461"/>
      <c r="BG139" s="461"/>
      <c r="BH139" s="461"/>
      <c r="BI139" s="465"/>
      <c r="BJ139" s="330">
        <f>IFERROR(BJ136/BJ135,"")</f>
        <v>0.80742440302040985</v>
      </c>
      <c r="BK139" s="460"/>
      <c r="BL139" s="461"/>
      <c r="BM139" s="461"/>
      <c r="BN139" s="461"/>
      <c r="BO139" s="461"/>
      <c r="BP139" s="461"/>
      <c r="BQ139" s="461"/>
      <c r="BR139" s="461"/>
      <c r="BS139" s="465"/>
      <c r="BT139" s="330">
        <f>IFERROR(BT136/BT135,"")</f>
        <v>0.80068216589449159</v>
      </c>
      <c r="BU139" s="467"/>
      <c r="BV139" s="468"/>
      <c r="BW139" s="468"/>
      <c r="BX139" s="468"/>
      <c r="BY139" s="468"/>
      <c r="BZ139" s="468"/>
      <c r="CA139" s="468"/>
      <c r="CB139" s="468"/>
      <c r="CC139" s="469"/>
    </row>
    <row r="140" spans="1:81" s="333" customFormat="1" ht="20.25" customHeight="1" x14ac:dyDescent="0.2">
      <c r="A140" s="331" t="s">
        <v>238</v>
      </c>
      <c r="B140" s="335">
        <v>36352847</v>
      </c>
      <c r="C140" s="460"/>
      <c r="D140" s="461"/>
      <c r="E140" s="461"/>
      <c r="F140" s="461"/>
      <c r="G140" s="461"/>
      <c r="H140" s="461"/>
      <c r="I140" s="461"/>
      <c r="J140" s="461"/>
      <c r="K140" s="461"/>
      <c r="L140" s="336">
        <v>36526843</v>
      </c>
      <c r="M140" s="460"/>
      <c r="N140" s="461"/>
      <c r="O140" s="461"/>
      <c r="P140" s="461"/>
      <c r="Q140" s="461"/>
      <c r="R140" s="461"/>
      <c r="S140" s="461"/>
      <c r="T140" s="461"/>
      <c r="U140" s="327"/>
      <c r="V140" s="337">
        <v>37479196</v>
      </c>
      <c r="W140" s="460"/>
      <c r="X140" s="461"/>
      <c r="Y140" s="461"/>
      <c r="Z140" s="461"/>
      <c r="AA140" s="461"/>
      <c r="AB140" s="461"/>
      <c r="AC140" s="461"/>
      <c r="AD140" s="461"/>
      <c r="AE140" s="461"/>
      <c r="AF140" s="335">
        <v>37543393</v>
      </c>
      <c r="AG140" s="460"/>
      <c r="AH140" s="461"/>
      <c r="AI140" s="461"/>
      <c r="AJ140" s="461"/>
      <c r="AK140" s="461"/>
      <c r="AL140" s="461"/>
      <c r="AM140" s="461"/>
      <c r="AN140" s="461"/>
      <c r="AO140" s="465"/>
      <c r="AP140" s="337">
        <v>38939484</v>
      </c>
      <c r="AQ140" s="460"/>
      <c r="AR140" s="461"/>
      <c r="AS140" s="461"/>
      <c r="AT140" s="461"/>
      <c r="AU140" s="461"/>
      <c r="AV140" s="461"/>
      <c r="AW140" s="461"/>
      <c r="AX140" s="461"/>
      <c r="AY140" s="465"/>
      <c r="AZ140" s="337">
        <f>39716988-397235</f>
        <v>39319753</v>
      </c>
      <c r="BA140" s="460"/>
      <c r="BB140" s="461"/>
      <c r="BC140" s="461"/>
      <c r="BD140" s="461"/>
      <c r="BE140" s="461"/>
      <c r="BF140" s="461"/>
      <c r="BG140" s="461"/>
      <c r="BH140" s="461"/>
      <c r="BI140" s="465"/>
      <c r="BJ140" s="337">
        <f>39782428-939364</f>
        <v>38843064</v>
      </c>
      <c r="BK140" s="460"/>
      <c r="BL140" s="461"/>
      <c r="BM140" s="461"/>
      <c r="BN140" s="461"/>
      <c r="BO140" s="461"/>
      <c r="BP140" s="461"/>
      <c r="BQ140" s="461"/>
      <c r="BR140" s="461"/>
      <c r="BS140" s="465"/>
      <c r="BT140" s="14">
        <f>38869691-1189468</f>
        <v>37680223</v>
      </c>
      <c r="BU140" s="467"/>
      <c r="BV140" s="468"/>
      <c r="BW140" s="468"/>
      <c r="BX140" s="468"/>
      <c r="BY140" s="468"/>
      <c r="BZ140" s="468"/>
      <c r="CA140" s="468"/>
      <c r="CB140" s="468"/>
      <c r="CC140" s="469"/>
    </row>
    <row r="141" spans="1:81" s="326" customFormat="1" ht="20.25" customHeight="1" x14ac:dyDescent="0.2">
      <c r="A141" s="321" t="s">
        <v>239</v>
      </c>
      <c r="B141" s="15">
        <f>IFERROR(E127/B140,"")</f>
        <v>0.22208412535062247</v>
      </c>
      <c r="C141" s="460"/>
      <c r="D141" s="461"/>
      <c r="E141" s="461"/>
      <c r="F141" s="461"/>
      <c r="G141" s="461"/>
      <c r="H141" s="461"/>
      <c r="I141" s="461"/>
      <c r="J141" s="461"/>
      <c r="K141" s="461"/>
      <c r="L141" s="15">
        <f>IFERROR(O127/L140,"")</f>
        <v>0.21741936471213785</v>
      </c>
      <c r="M141" s="460"/>
      <c r="N141" s="461"/>
      <c r="O141" s="461"/>
      <c r="P141" s="461"/>
      <c r="Q141" s="461"/>
      <c r="R141" s="461"/>
      <c r="S141" s="461"/>
      <c r="T141" s="461"/>
      <c r="U141" s="327"/>
      <c r="V141" s="16">
        <f>IFERROR(Y127/V140,"")</f>
        <v>0.22745736061147095</v>
      </c>
      <c r="W141" s="460"/>
      <c r="X141" s="461"/>
      <c r="Y141" s="461"/>
      <c r="Z141" s="461"/>
      <c r="AA141" s="461"/>
      <c r="AB141" s="461"/>
      <c r="AC141" s="461"/>
      <c r="AD141" s="461"/>
      <c r="AE141" s="461"/>
      <c r="AF141" s="15">
        <f>IFERROR(AI127/AF140,"")</f>
        <v>0.23397203337482045</v>
      </c>
      <c r="AG141" s="460"/>
      <c r="AH141" s="461"/>
      <c r="AI141" s="461"/>
      <c r="AJ141" s="461"/>
      <c r="AK141" s="461"/>
      <c r="AL141" s="461"/>
      <c r="AM141" s="461"/>
      <c r="AN141" s="461"/>
      <c r="AO141" s="465"/>
      <c r="AP141" s="16">
        <f>IFERROR(AS127/AP140,"")</f>
        <v>0.23133339414564405</v>
      </c>
      <c r="AQ141" s="460"/>
      <c r="AR141" s="461"/>
      <c r="AS141" s="461"/>
      <c r="AT141" s="461"/>
      <c r="AU141" s="461"/>
      <c r="AV141" s="461"/>
      <c r="AW141" s="461"/>
      <c r="AX141" s="461"/>
      <c r="AY141" s="465"/>
      <c r="AZ141" s="16">
        <f>IFERROR(BC127/AZ140,"")</f>
        <v>0.21874534664548884</v>
      </c>
      <c r="BA141" s="460"/>
      <c r="BB141" s="461"/>
      <c r="BC141" s="461"/>
      <c r="BD141" s="461"/>
      <c r="BE141" s="461"/>
      <c r="BF141" s="461"/>
      <c r="BG141" s="461"/>
      <c r="BH141" s="461"/>
      <c r="BI141" s="465"/>
      <c r="BJ141" s="16">
        <f>IFERROR(BM127/BJ140,"")</f>
        <v>0.23253855566079956</v>
      </c>
      <c r="BK141" s="460"/>
      <c r="BL141" s="461"/>
      <c r="BM141" s="461"/>
      <c r="BN141" s="461"/>
      <c r="BO141" s="461"/>
      <c r="BP141" s="461"/>
      <c r="BQ141" s="461"/>
      <c r="BR141" s="461"/>
      <c r="BS141" s="465"/>
      <c r="BT141" s="16">
        <f>IFERROR(BW127/BT140,"")</f>
        <v>0.2671016304760192</v>
      </c>
      <c r="BU141" s="467"/>
      <c r="BV141" s="468"/>
      <c r="BW141" s="468"/>
      <c r="BX141" s="468"/>
      <c r="BY141" s="468"/>
      <c r="BZ141" s="468"/>
      <c r="CA141" s="468"/>
      <c r="CB141" s="468"/>
      <c r="CC141" s="469"/>
    </row>
    <row r="142" spans="1:81" s="338" customFormat="1" ht="20.25" customHeight="1" x14ac:dyDescent="0.2">
      <c r="A142" s="321" t="s">
        <v>240</v>
      </c>
      <c r="B142" s="328">
        <f>IFERROR(E127/C127,"")</f>
        <v>0.14522903662878342</v>
      </c>
      <c r="C142" s="460"/>
      <c r="D142" s="461"/>
      <c r="E142" s="461"/>
      <c r="F142" s="461"/>
      <c r="G142" s="461"/>
      <c r="H142" s="461"/>
      <c r="I142" s="461"/>
      <c r="J142" s="461"/>
      <c r="K142" s="461"/>
      <c r="L142" s="328">
        <f>IFERROR(O127/M127,"")</f>
        <v>0.14267870048463174</v>
      </c>
      <c r="M142" s="460"/>
      <c r="N142" s="461"/>
      <c r="O142" s="461"/>
      <c r="P142" s="461"/>
      <c r="Q142" s="461"/>
      <c r="R142" s="461"/>
      <c r="S142" s="461"/>
      <c r="T142" s="461"/>
      <c r="U142" s="327"/>
      <c r="V142" s="330">
        <f>IFERROR(Y127/W127,"")</f>
        <v>0.15157751642938086</v>
      </c>
      <c r="W142" s="460"/>
      <c r="X142" s="461"/>
      <c r="Y142" s="461"/>
      <c r="Z142" s="461"/>
      <c r="AA142" s="461"/>
      <c r="AB142" s="461"/>
      <c r="AC142" s="461"/>
      <c r="AD142" s="461"/>
      <c r="AE142" s="461"/>
      <c r="AF142" s="328">
        <f>IFERROR(AI127/AG127,"")</f>
        <v>0.15747321301929512</v>
      </c>
      <c r="AG142" s="460"/>
      <c r="AH142" s="461"/>
      <c r="AI142" s="461"/>
      <c r="AJ142" s="461"/>
      <c r="AK142" s="461"/>
      <c r="AL142" s="461"/>
      <c r="AM142" s="461"/>
      <c r="AN142" s="461"/>
      <c r="AO142" s="465"/>
      <c r="AP142" s="330">
        <f>IFERROR(AS127/AQ127,"")</f>
        <v>0.16890108654662794</v>
      </c>
      <c r="AQ142" s="460"/>
      <c r="AR142" s="461"/>
      <c r="AS142" s="461"/>
      <c r="AT142" s="461"/>
      <c r="AU142" s="461"/>
      <c r="AV142" s="461"/>
      <c r="AW142" s="461"/>
      <c r="AX142" s="461"/>
      <c r="AY142" s="465"/>
      <c r="AZ142" s="330">
        <f>IFERROR(BC127/BA127,"")</f>
        <v>0.16211388267232335</v>
      </c>
      <c r="BA142" s="460"/>
      <c r="BB142" s="461"/>
      <c r="BC142" s="461"/>
      <c r="BD142" s="461"/>
      <c r="BE142" s="461"/>
      <c r="BF142" s="461"/>
      <c r="BG142" s="461"/>
      <c r="BH142" s="461"/>
      <c r="BI142" s="465"/>
      <c r="BJ142" s="330">
        <f>IFERROR(BM127/BK127,"")</f>
        <v>0.16975550235563808</v>
      </c>
      <c r="BK142" s="460"/>
      <c r="BL142" s="461"/>
      <c r="BM142" s="461"/>
      <c r="BN142" s="461"/>
      <c r="BO142" s="461"/>
      <c r="BP142" s="461"/>
      <c r="BQ142" s="461"/>
      <c r="BR142" s="461"/>
      <c r="BS142" s="465"/>
      <c r="BT142" s="330">
        <f>IFERROR(BW127/BU127,"")</f>
        <v>0.18808047564147876</v>
      </c>
      <c r="BU142" s="467"/>
      <c r="BV142" s="468"/>
      <c r="BW142" s="468"/>
      <c r="BX142" s="468"/>
      <c r="BY142" s="468"/>
      <c r="BZ142" s="468"/>
      <c r="CA142" s="468"/>
      <c r="CB142" s="468"/>
      <c r="CC142" s="469"/>
    </row>
    <row r="143" spans="1:81" s="338" customFormat="1" ht="20.25" customHeight="1" x14ac:dyDescent="0.2">
      <c r="A143" s="321" t="s">
        <v>241</v>
      </c>
      <c r="B143" s="328">
        <f>IFERROR(C75/B135,"")</f>
        <v>0.59030239088418113</v>
      </c>
      <c r="C143" s="460"/>
      <c r="D143" s="461"/>
      <c r="E143" s="461"/>
      <c r="F143" s="461"/>
      <c r="G143" s="461"/>
      <c r="H143" s="461"/>
      <c r="I143" s="461"/>
      <c r="J143" s="461"/>
      <c r="K143" s="461"/>
      <c r="L143" s="328">
        <f>IFERROR(M75/L135,"")</f>
        <v>0.58448154397151175</v>
      </c>
      <c r="M143" s="460"/>
      <c r="N143" s="461"/>
      <c r="O143" s="461"/>
      <c r="P143" s="461"/>
      <c r="Q143" s="461"/>
      <c r="R143" s="461"/>
      <c r="S143" s="461"/>
      <c r="T143" s="461"/>
      <c r="U143" s="327"/>
      <c r="V143" s="330">
        <f>IFERROR(W75/V135,"")</f>
        <v>0.60089431406619287</v>
      </c>
      <c r="W143" s="460"/>
      <c r="X143" s="461"/>
      <c r="Y143" s="461"/>
      <c r="Z143" s="461"/>
      <c r="AA143" s="461"/>
      <c r="AB143" s="461"/>
      <c r="AC143" s="461"/>
      <c r="AD143" s="461"/>
      <c r="AE143" s="461"/>
      <c r="AF143" s="328">
        <f>IFERROR(AG75/AF135,"")</f>
        <v>0.61837248915304943</v>
      </c>
      <c r="AG143" s="460"/>
      <c r="AH143" s="461"/>
      <c r="AI143" s="461"/>
      <c r="AJ143" s="461"/>
      <c r="AK143" s="461"/>
      <c r="AL143" s="461"/>
      <c r="AM143" s="461"/>
      <c r="AN143" s="461"/>
      <c r="AO143" s="465"/>
      <c r="AP143" s="330">
        <f>IFERROR(AQ75/AP135,"")</f>
        <v>0.60988270153447932</v>
      </c>
      <c r="AQ143" s="460"/>
      <c r="AR143" s="461"/>
      <c r="AS143" s="461"/>
      <c r="AT143" s="461"/>
      <c r="AU143" s="461"/>
      <c r="AV143" s="461"/>
      <c r="AW143" s="461"/>
      <c r="AX143" s="461"/>
      <c r="AY143" s="465"/>
      <c r="AZ143" s="330">
        <f>IFERROR(BA75/AZ135,"")</f>
        <v>0.63399237807682296</v>
      </c>
      <c r="BA143" s="460"/>
      <c r="BB143" s="461"/>
      <c r="BC143" s="461"/>
      <c r="BD143" s="461"/>
      <c r="BE143" s="461"/>
      <c r="BF143" s="461"/>
      <c r="BG143" s="461"/>
      <c r="BH143" s="461"/>
      <c r="BI143" s="465"/>
      <c r="BJ143" s="330">
        <f>IFERROR(BK75/BJ135,"")</f>
        <v>0.65059001929337512</v>
      </c>
      <c r="BK143" s="460"/>
      <c r="BL143" s="461"/>
      <c r="BM143" s="461"/>
      <c r="BN143" s="461"/>
      <c r="BO143" s="461"/>
      <c r="BP143" s="461"/>
      <c r="BQ143" s="461"/>
      <c r="BR143" s="461"/>
      <c r="BS143" s="465"/>
      <c r="BT143" s="330">
        <f>IFERROR(BU75/BT135,"")</f>
        <v>0.64510784496992291</v>
      </c>
      <c r="BU143" s="467"/>
      <c r="BV143" s="468"/>
      <c r="BW143" s="468"/>
      <c r="BX143" s="468"/>
      <c r="BY143" s="468"/>
      <c r="BZ143" s="468"/>
      <c r="CA143" s="468"/>
      <c r="CB143" s="468"/>
      <c r="CC143" s="469"/>
    </row>
    <row r="144" spans="1:81" s="338" customFormat="1" ht="20.25" customHeight="1" x14ac:dyDescent="0.2">
      <c r="A144" s="321" t="s">
        <v>242</v>
      </c>
      <c r="B144" s="328">
        <f>IFERROR(C109/B135,"")</f>
        <v>6.2670594687233599E-2</v>
      </c>
      <c r="C144" s="460"/>
      <c r="D144" s="461"/>
      <c r="E144" s="461"/>
      <c r="F144" s="461"/>
      <c r="G144" s="461"/>
      <c r="H144" s="461"/>
      <c r="I144" s="461"/>
      <c r="J144" s="461"/>
      <c r="K144" s="461"/>
      <c r="L144" s="328">
        <f>IFERROR(M109/L135,"")</f>
        <v>6.9155173870579137E-2</v>
      </c>
      <c r="M144" s="460"/>
      <c r="N144" s="461"/>
      <c r="O144" s="461"/>
      <c r="P144" s="461"/>
      <c r="Q144" s="461"/>
      <c r="R144" s="461"/>
      <c r="S144" s="461"/>
      <c r="T144" s="461"/>
      <c r="U144" s="327"/>
      <c r="V144" s="330">
        <f>IFERROR(W109/V135,"")</f>
        <v>7.6515368168127498E-2</v>
      </c>
      <c r="W144" s="460"/>
      <c r="X144" s="461"/>
      <c r="Y144" s="461"/>
      <c r="Z144" s="461"/>
      <c r="AA144" s="461"/>
      <c r="AB144" s="461"/>
      <c r="AC144" s="461"/>
      <c r="AD144" s="461"/>
      <c r="AE144" s="461"/>
      <c r="AF144" s="328">
        <f>IFERROR(AG109/AF135,"")</f>
        <v>7.3848343761388172E-2</v>
      </c>
      <c r="AG144" s="460"/>
      <c r="AH144" s="461"/>
      <c r="AI144" s="461"/>
      <c r="AJ144" s="461"/>
      <c r="AK144" s="461"/>
      <c r="AL144" s="461"/>
      <c r="AM144" s="461"/>
      <c r="AN144" s="461"/>
      <c r="AO144" s="465"/>
      <c r="AP144" s="330">
        <f>IFERROR(AQ109/AP135,"")</f>
        <v>7.6845881259875681E-2</v>
      </c>
      <c r="AQ144" s="460"/>
      <c r="AR144" s="461"/>
      <c r="AS144" s="461"/>
      <c r="AT144" s="461"/>
      <c r="AU144" s="461"/>
      <c r="AV144" s="461"/>
      <c r="AW144" s="461"/>
      <c r="AX144" s="461"/>
      <c r="AY144" s="465"/>
      <c r="AZ144" s="330">
        <f>IFERROR(BA109/AZ135,"")</f>
        <v>7.9861652474199782E-2</v>
      </c>
      <c r="BA144" s="460"/>
      <c r="BB144" s="461"/>
      <c r="BC144" s="461"/>
      <c r="BD144" s="461"/>
      <c r="BE144" s="461"/>
      <c r="BF144" s="461"/>
      <c r="BG144" s="461"/>
      <c r="BH144" s="461"/>
      <c r="BI144" s="465"/>
      <c r="BJ144" s="330">
        <f>IFERROR(BK109/BJ135,"")</f>
        <v>8.641762404654646E-2</v>
      </c>
      <c r="BK144" s="460"/>
      <c r="BL144" s="461"/>
      <c r="BM144" s="461"/>
      <c r="BN144" s="461"/>
      <c r="BO144" s="461"/>
      <c r="BP144" s="461"/>
      <c r="BQ144" s="461"/>
      <c r="BR144" s="461"/>
      <c r="BS144" s="465"/>
      <c r="BT144" s="330">
        <f>IFERROR(BU109/BT135,"")</f>
        <v>9.4999108320793793E-2</v>
      </c>
      <c r="BU144" s="467"/>
      <c r="BV144" s="468"/>
      <c r="BW144" s="468"/>
      <c r="BX144" s="468"/>
      <c r="BY144" s="468"/>
      <c r="BZ144" s="468"/>
      <c r="CA144" s="468"/>
      <c r="CB144" s="468"/>
      <c r="CC144" s="469"/>
    </row>
    <row r="145" spans="1:81" s="338" customFormat="1" ht="27" customHeight="1" x14ac:dyDescent="0.2">
      <c r="A145" s="321" t="s">
        <v>243</v>
      </c>
      <c r="B145" s="328">
        <f>IFERROR(SUM(C32,C89)/B135,"")</f>
        <v>0.42129209321434546</v>
      </c>
      <c r="C145" s="460"/>
      <c r="D145" s="461"/>
      <c r="E145" s="461"/>
      <c r="F145" s="461"/>
      <c r="G145" s="461"/>
      <c r="H145" s="461"/>
      <c r="I145" s="461"/>
      <c r="J145" s="461"/>
      <c r="K145" s="461"/>
      <c r="L145" s="328">
        <f>IFERROR(SUM(M32,M89)/L135,"")</f>
        <v>0.4177844400894723</v>
      </c>
      <c r="M145" s="460"/>
      <c r="N145" s="461"/>
      <c r="O145" s="461"/>
      <c r="P145" s="461"/>
      <c r="Q145" s="461"/>
      <c r="R145" s="461"/>
      <c r="S145" s="461"/>
      <c r="T145" s="461"/>
      <c r="U145" s="327"/>
      <c r="V145" s="330">
        <f>IFERROR(SUM(W32,W89)/V135,"")</f>
        <v>0.42099454073940945</v>
      </c>
      <c r="W145" s="460"/>
      <c r="X145" s="461"/>
      <c r="Y145" s="461"/>
      <c r="Z145" s="461"/>
      <c r="AA145" s="461"/>
      <c r="AB145" s="461"/>
      <c r="AC145" s="461"/>
      <c r="AD145" s="461"/>
      <c r="AE145" s="461"/>
      <c r="AF145" s="328">
        <f>IFERROR(SUM(AG32,AG89)/AF135,"")</f>
        <v>0.43125577878975668</v>
      </c>
      <c r="AG145" s="460"/>
      <c r="AH145" s="461"/>
      <c r="AI145" s="461"/>
      <c r="AJ145" s="461"/>
      <c r="AK145" s="461"/>
      <c r="AL145" s="461"/>
      <c r="AM145" s="461"/>
      <c r="AN145" s="461"/>
      <c r="AO145" s="465"/>
      <c r="AP145" s="330">
        <f>IFERROR(SUM(AQ32,AQ89)/AP135,"")</f>
        <v>0.40854026084559114</v>
      </c>
      <c r="AQ145" s="460"/>
      <c r="AR145" s="461"/>
      <c r="AS145" s="461"/>
      <c r="AT145" s="461"/>
      <c r="AU145" s="461"/>
      <c r="AV145" s="461"/>
      <c r="AW145" s="461"/>
      <c r="AX145" s="461"/>
      <c r="AY145" s="465"/>
      <c r="AZ145" s="330">
        <f>IFERROR(SUM(BA32,BA89)/AZ135,"")</f>
        <v>0.41511589702050172</v>
      </c>
      <c r="BA145" s="460"/>
      <c r="BB145" s="461"/>
      <c r="BC145" s="461"/>
      <c r="BD145" s="461"/>
      <c r="BE145" s="461"/>
      <c r="BF145" s="461"/>
      <c r="BG145" s="461"/>
      <c r="BH145" s="461"/>
      <c r="BI145" s="465"/>
      <c r="BJ145" s="330">
        <f>IFERROR(SUM(BK32,BK89)/BJ135,"")</f>
        <v>0.39724880432682191</v>
      </c>
      <c r="BK145" s="460"/>
      <c r="BL145" s="461"/>
      <c r="BM145" s="461"/>
      <c r="BN145" s="461"/>
      <c r="BO145" s="461"/>
      <c r="BP145" s="461"/>
      <c r="BQ145" s="461"/>
      <c r="BR145" s="461"/>
      <c r="BS145" s="465"/>
      <c r="BT145" s="330">
        <f>IFERROR(SUM(BU32,BU89)/BT135,"")</f>
        <v>0.37863924576665414</v>
      </c>
      <c r="BU145" s="467"/>
      <c r="BV145" s="468"/>
      <c r="BW145" s="468"/>
      <c r="BX145" s="468"/>
      <c r="BY145" s="468"/>
      <c r="BZ145" s="468"/>
      <c r="CA145" s="468"/>
      <c r="CB145" s="468"/>
      <c r="CC145" s="469"/>
    </row>
    <row r="146" spans="1:81" s="338" customFormat="1" ht="27" customHeight="1" x14ac:dyDescent="0.2">
      <c r="A146" s="321" t="s">
        <v>244</v>
      </c>
      <c r="B146" s="328">
        <f>IFERROR(SUM(C48,C107)/B135,"")</f>
        <v>0.1828152936386763</v>
      </c>
      <c r="C146" s="460"/>
      <c r="D146" s="461"/>
      <c r="E146" s="461"/>
      <c r="F146" s="461"/>
      <c r="G146" s="461"/>
      <c r="H146" s="461"/>
      <c r="I146" s="461"/>
      <c r="J146" s="461"/>
      <c r="K146" s="461"/>
      <c r="L146" s="328">
        <f>IFERROR(SUM(M48,M107)/L135,"")</f>
        <v>0.18825854578644408</v>
      </c>
      <c r="M146" s="460"/>
      <c r="N146" s="461"/>
      <c r="O146" s="461"/>
      <c r="P146" s="461"/>
      <c r="Q146" s="461"/>
      <c r="R146" s="461"/>
      <c r="S146" s="461"/>
      <c r="T146" s="461"/>
      <c r="U146" s="327"/>
      <c r="V146" s="330">
        <f>IFERROR(SUM(W48,W107)/V135,"")</f>
        <v>0.204340417638876</v>
      </c>
      <c r="W146" s="460"/>
      <c r="X146" s="461"/>
      <c r="Y146" s="461"/>
      <c r="Z146" s="461"/>
      <c r="AA146" s="461"/>
      <c r="AB146" s="461"/>
      <c r="AC146" s="461"/>
      <c r="AD146" s="461"/>
      <c r="AE146" s="461"/>
      <c r="AF146" s="328">
        <f>IFERROR(SUM(AG48,AG107)/AF135,"")</f>
        <v>0.20767869663632307</v>
      </c>
      <c r="AG146" s="460"/>
      <c r="AH146" s="461"/>
      <c r="AI146" s="461"/>
      <c r="AJ146" s="461"/>
      <c r="AK146" s="461"/>
      <c r="AL146" s="461"/>
      <c r="AM146" s="461"/>
      <c r="AN146" s="461"/>
      <c r="AO146" s="465"/>
      <c r="AP146" s="330">
        <f>IFERROR(SUM(AQ48,AQ107)/AP135,"")</f>
        <v>0.22357377630003544</v>
      </c>
      <c r="AQ146" s="460"/>
      <c r="AR146" s="461"/>
      <c r="AS146" s="461"/>
      <c r="AT146" s="461"/>
      <c r="AU146" s="461"/>
      <c r="AV146" s="461"/>
      <c r="AW146" s="461"/>
      <c r="AX146" s="461"/>
      <c r="AY146" s="465"/>
      <c r="AZ146" s="330">
        <f>IFERROR(SUM(BA48,BA107)/AZ135,"")</f>
        <v>0.24871270349681435</v>
      </c>
      <c r="BA146" s="460"/>
      <c r="BB146" s="461"/>
      <c r="BC146" s="461"/>
      <c r="BD146" s="461"/>
      <c r="BE146" s="461"/>
      <c r="BF146" s="461"/>
      <c r="BG146" s="461"/>
      <c r="BH146" s="461"/>
      <c r="BI146" s="465"/>
      <c r="BJ146" s="330">
        <f>IFERROR(SUM(BK48,BK107)/BJ135,"")</f>
        <v>0.27942448315732216</v>
      </c>
      <c r="BK146" s="460"/>
      <c r="BL146" s="461"/>
      <c r="BM146" s="461"/>
      <c r="BN146" s="461"/>
      <c r="BO146" s="461"/>
      <c r="BP146" s="461"/>
      <c r="BQ146" s="461"/>
      <c r="BR146" s="461"/>
      <c r="BS146" s="465"/>
      <c r="BT146" s="330">
        <f>IFERROR(SUM(BU48,BU107)/BT135,"")</f>
        <v>0.28803785481436789</v>
      </c>
      <c r="BU146" s="467"/>
      <c r="BV146" s="468"/>
      <c r="BW146" s="468"/>
      <c r="BX146" s="468"/>
      <c r="BY146" s="468"/>
      <c r="BZ146" s="468"/>
      <c r="CA146" s="468"/>
      <c r="CB146" s="468"/>
      <c r="CC146" s="469"/>
    </row>
    <row r="147" spans="1:81" s="338" customFormat="1" ht="27" customHeight="1" x14ac:dyDescent="0.2">
      <c r="A147" s="321" t="s">
        <v>245</v>
      </c>
      <c r="B147" s="328">
        <f>IFERROR(SUM(C73)/B135,"")</f>
        <v>4.886559871839298E-2</v>
      </c>
      <c r="C147" s="460"/>
      <c r="D147" s="461"/>
      <c r="E147" s="461"/>
      <c r="F147" s="461"/>
      <c r="G147" s="461"/>
      <c r="H147" s="461"/>
      <c r="I147" s="461"/>
      <c r="J147" s="461"/>
      <c r="K147" s="461"/>
      <c r="L147" s="328">
        <f>IFERROR(SUM(M73)/L135,"")</f>
        <v>4.7593731966174467E-2</v>
      </c>
      <c r="M147" s="460"/>
      <c r="N147" s="461"/>
      <c r="O147" s="461"/>
      <c r="P147" s="461"/>
      <c r="Q147" s="461"/>
      <c r="R147" s="461"/>
      <c r="S147" s="461"/>
      <c r="T147" s="461"/>
      <c r="U147" s="327"/>
      <c r="V147" s="330">
        <f>IFERROR(SUM(W73)/V135,"")</f>
        <v>5.2074723856034948E-2</v>
      </c>
      <c r="W147" s="460"/>
      <c r="X147" s="461"/>
      <c r="Y147" s="461"/>
      <c r="Z147" s="461"/>
      <c r="AA147" s="461"/>
      <c r="AB147" s="461"/>
      <c r="AC147" s="461"/>
      <c r="AD147" s="461"/>
      <c r="AE147" s="461"/>
      <c r="AF147" s="328">
        <f>IFERROR(SUM(AG73)/AF135,"")</f>
        <v>5.3286357488357805E-2</v>
      </c>
      <c r="AG147" s="460"/>
      <c r="AH147" s="461"/>
      <c r="AI147" s="461"/>
      <c r="AJ147" s="461"/>
      <c r="AK147" s="461"/>
      <c r="AL147" s="461"/>
      <c r="AM147" s="461"/>
      <c r="AN147" s="461"/>
      <c r="AO147" s="465"/>
      <c r="AP147" s="330">
        <f>IFERROR(SUM(AQ73)/AP135,"")</f>
        <v>5.461454564872846E-2</v>
      </c>
      <c r="AQ147" s="460"/>
      <c r="AR147" s="461"/>
      <c r="AS147" s="461"/>
      <c r="AT147" s="461"/>
      <c r="AU147" s="461"/>
      <c r="AV147" s="461"/>
      <c r="AW147" s="461"/>
      <c r="AX147" s="461"/>
      <c r="AY147" s="465"/>
      <c r="AZ147" s="330">
        <f>IFERROR(SUM(BA73)/AZ135,"")</f>
        <v>5.0025430033706672E-2</v>
      </c>
      <c r="BA147" s="460"/>
      <c r="BB147" s="461"/>
      <c r="BC147" s="461"/>
      <c r="BD147" s="461"/>
      <c r="BE147" s="461"/>
      <c r="BF147" s="461"/>
      <c r="BG147" s="461"/>
      <c r="BH147" s="461"/>
      <c r="BI147" s="465"/>
      <c r="BJ147" s="330">
        <f>IFERROR(SUM(BK73)/BJ135,"")</f>
        <v>6.0334355855777462E-2</v>
      </c>
      <c r="BK147" s="460"/>
      <c r="BL147" s="461"/>
      <c r="BM147" s="461"/>
      <c r="BN147" s="461"/>
      <c r="BO147" s="461"/>
      <c r="BP147" s="461"/>
      <c r="BQ147" s="461"/>
      <c r="BR147" s="461"/>
      <c r="BS147" s="465"/>
      <c r="BT147" s="330">
        <f>IFERROR(SUM(BU73)/BT135,"")</f>
        <v>7.3429852709694723E-2</v>
      </c>
      <c r="BU147" s="467"/>
      <c r="BV147" s="468"/>
      <c r="BW147" s="468"/>
      <c r="BX147" s="468"/>
      <c r="BY147" s="468"/>
      <c r="BZ147" s="468"/>
      <c r="CA147" s="468"/>
      <c r="CB147" s="468"/>
      <c r="CC147" s="469"/>
    </row>
    <row r="148" spans="1:81" s="338" customFormat="1" ht="25.5" customHeight="1" x14ac:dyDescent="0.2">
      <c r="A148" s="321" t="s">
        <v>246</v>
      </c>
      <c r="B148" s="328">
        <f>IFERROR(C125/B135,"")</f>
        <v>0.34702701442858519</v>
      </c>
      <c r="C148" s="462"/>
      <c r="D148" s="463"/>
      <c r="E148" s="463"/>
      <c r="F148" s="463"/>
      <c r="G148" s="463"/>
      <c r="H148" s="463"/>
      <c r="I148" s="463"/>
      <c r="J148" s="463"/>
      <c r="K148" s="463"/>
      <c r="L148" s="328">
        <f>IFERROR(M125/L135,"")</f>
        <v>0.34636328215790918</v>
      </c>
      <c r="M148" s="462"/>
      <c r="N148" s="463"/>
      <c r="O148" s="463"/>
      <c r="P148" s="463"/>
      <c r="Q148" s="463"/>
      <c r="R148" s="463"/>
      <c r="S148" s="463"/>
      <c r="T148" s="463"/>
      <c r="U148" s="369"/>
      <c r="V148" s="330">
        <f>IFERROR(W125/V135,"")</f>
        <v>0.32259031776567959</v>
      </c>
      <c r="W148" s="462"/>
      <c r="X148" s="463"/>
      <c r="Y148" s="463"/>
      <c r="Z148" s="463"/>
      <c r="AA148" s="463"/>
      <c r="AB148" s="463"/>
      <c r="AC148" s="463"/>
      <c r="AD148" s="463"/>
      <c r="AE148" s="463"/>
      <c r="AF148" s="328">
        <f>IFERROR(AG125/AF135,"")</f>
        <v>0.30777916708556247</v>
      </c>
      <c r="AG148" s="462"/>
      <c r="AH148" s="463"/>
      <c r="AI148" s="463"/>
      <c r="AJ148" s="463"/>
      <c r="AK148" s="463"/>
      <c r="AL148" s="463"/>
      <c r="AM148" s="463"/>
      <c r="AN148" s="463"/>
      <c r="AO148" s="466"/>
      <c r="AP148" s="330">
        <f>IFERROR(AQ125/AP135,"")</f>
        <v>0.31327141720564494</v>
      </c>
      <c r="AQ148" s="462"/>
      <c r="AR148" s="463"/>
      <c r="AS148" s="463"/>
      <c r="AT148" s="463"/>
      <c r="AU148" s="463"/>
      <c r="AV148" s="463"/>
      <c r="AW148" s="463"/>
      <c r="AX148" s="463"/>
      <c r="AY148" s="466"/>
      <c r="AZ148" s="330">
        <f>IFERROR(BA125/AZ135,"")</f>
        <v>0.28614596944897724</v>
      </c>
      <c r="BA148" s="462"/>
      <c r="BB148" s="463"/>
      <c r="BC148" s="463"/>
      <c r="BD148" s="463"/>
      <c r="BE148" s="463"/>
      <c r="BF148" s="463"/>
      <c r="BG148" s="463"/>
      <c r="BH148" s="463"/>
      <c r="BI148" s="466"/>
      <c r="BJ148" s="330">
        <f>IFERROR(BK125/BJ135,"")</f>
        <v>0.26299235666007842</v>
      </c>
      <c r="BK148" s="462"/>
      <c r="BL148" s="463"/>
      <c r="BM148" s="463"/>
      <c r="BN148" s="463"/>
      <c r="BO148" s="463"/>
      <c r="BP148" s="463"/>
      <c r="BQ148" s="463"/>
      <c r="BR148" s="463"/>
      <c r="BS148" s="466"/>
      <c r="BT148" s="330">
        <f>IFERROR(BU125/BT135,"")</f>
        <v>0.25989304670928326</v>
      </c>
      <c r="BU148" s="470"/>
      <c r="BV148" s="471"/>
      <c r="BW148" s="471"/>
      <c r="BX148" s="471"/>
      <c r="BY148" s="471"/>
      <c r="BZ148" s="471"/>
      <c r="CA148" s="471"/>
      <c r="CB148" s="471"/>
      <c r="CC148" s="472"/>
    </row>
    <row r="149" spans="1:81" s="326" customFormat="1" x14ac:dyDescent="0.2">
      <c r="B149" s="339"/>
      <c r="C149" s="339"/>
      <c r="D149" s="340"/>
      <c r="E149" s="339"/>
      <c r="F149" s="339"/>
      <c r="G149" s="339"/>
      <c r="H149" s="339"/>
      <c r="I149" s="339"/>
      <c r="J149" s="339"/>
      <c r="K149" s="339"/>
      <c r="L149" s="339"/>
      <c r="M149" s="339"/>
      <c r="N149" s="340"/>
      <c r="O149" s="339"/>
      <c r="P149" s="339"/>
      <c r="Q149" s="339"/>
      <c r="R149" s="339"/>
      <c r="S149" s="339"/>
      <c r="T149" s="339"/>
      <c r="U149" s="339"/>
      <c r="V149" s="339"/>
      <c r="W149" s="339"/>
      <c r="X149" s="340"/>
      <c r="Y149" s="339"/>
      <c r="Z149" s="339"/>
      <c r="AA149" s="339"/>
      <c r="AB149" s="339"/>
      <c r="AC149" s="339"/>
      <c r="AD149" s="339"/>
      <c r="AE149" s="339"/>
      <c r="AF149" s="339"/>
      <c r="AG149" s="339"/>
      <c r="AH149" s="340"/>
      <c r="AI149" s="339"/>
      <c r="AJ149" s="339"/>
      <c r="AK149" s="339"/>
      <c r="AL149" s="339"/>
      <c r="AM149" s="339"/>
      <c r="AN149" s="339"/>
      <c r="AO149" s="339"/>
      <c r="AP149" s="339"/>
      <c r="AQ149" s="339"/>
      <c r="AR149" s="340"/>
      <c r="AS149" s="339"/>
      <c r="AT149" s="339"/>
      <c r="AU149" s="339"/>
      <c r="AV149" s="339"/>
      <c r="AW149" s="339"/>
      <c r="AX149" s="339"/>
      <c r="AY149" s="339"/>
      <c r="AZ149" s="339"/>
      <c r="BA149" s="339"/>
      <c r="BB149" s="340"/>
      <c r="BC149" s="339"/>
      <c r="BD149" s="339"/>
      <c r="BE149" s="339"/>
      <c r="BF149" s="339"/>
      <c r="BG149" s="339"/>
      <c r="BH149" s="339"/>
      <c r="BI149" s="339"/>
      <c r="BJ149" s="339"/>
      <c r="BK149" s="339"/>
      <c r="BL149" s="340"/>
      <c r="BM149" s="339"/>
      <c r="BN149" s="339"/>
      <c r="BO149" s="339"/>
      <c r="BP149" s="339"/>
      <c r="BQ149" s="339"/>
      <c r="BR149" s="339"/>
      <c r="BS149" s="339"/>
      <c r="BT149" s="339"/>
      <c r="BU149" s="339"/>
      <c r="BV149" s="340"/>
      <c r="BW149" s="339"/>
      <c r="BX149" s="339"/>
      <c r="BY149" s="339"/>
      <c r="BZ149" s="339"/>
      <c r="CA149" s="339"/>
      <c r="CB149" s="339"/>
      <c r="CC149" s="339"/>
    </row>
    <row r="150" spans="1:81" s="326" customFormat="1" x14ac:dyDescent="0.2">
      <c r="B150" s="339"/>
      <c r="C150" s="339"/>
      <c r="D150" s="339"/>
      <c r="E150" s="339"/>
      <c r="F150" s="339"/>
      <c r="G150" s="339"/>
      <c r="H150" s="339"/>
      <c r="I150" s="339"/>
      <c r="J150" s="339"/>
      <c r="K150" s="339"/>
      <c r="L150" s="339"/>
      <c r="M150" s="339"/>
      <c r="N150" s="339"/>
      <c r="O150" s="339"/>
      <c r="P150" s="339"/>
      <c r="Q150" s="339"/>
      <c r="R150" s="339"/>
      <c r="S150" s="339"/>
      <c r="T150" s="339"/>
      <c r="U150" s="339"/>
      <c r="V150" s="339"/>
      <c r="W150" s="339"/>
      <c r="X150" s="339"/>
      <c r="Y150" s="339"/>
      <c r="Z150" s="339"/>
      <c r="AA150" s="339"/>
      <c r="AB150" s="339"/>
      <c r="AC150" s="339"/>
      <c r="AD150" s="339"/>
      <c r="AE150" s="339"/>
      <c r="AF150" s="339"/>
      <c r="AG150" s="339"/>
      <c r="AH150" s="339"/>
      <c r="AI150" s="339"/>
      <c r="AJ150" s="339"/>
      <c r="AK150" s="339"/>
      <c r="AL150" s="339"/>
      <c r="AM150" s="339"/>
      <c r="AN150" s="339"/>
      <c r="AO150" s="339"/>
      <c r="AP150" s="339"/>
      <c r="AQ150" s="339"/>
      <c r="AR150" s="339"/>
      <c r="AS150" s="339"/>
      <c r="AT150" s="339"/>
      <c r="AU150" s="339"/>
      <c r="AV150" s="339"/>
      <c r="AW150" s="339"/>
      <c r="AX150" s="339"/>
      <c r="AY150" s="339"/>
      <c r="AZ150" s="339"/>
      <c r="BA150" s="339"/>
      <c r="BB150" s="339"/>
      <c r="BC150" s="339"/>
      <c r="BD150" s="339"/>
      <c r="BE150" s="339"/>
      <c r="BF150" s="339"/>
      <c r="BG150" s="339"/>
      <c r="BH150" s="339"/>
      <c r="BI150" s="339"/>
      <c r="BJ150" s="339"/>
      <c r="BK150" s="339"/>
      <c r="BL150" s="339"/>
      <c r="BM150" s="339"/>
      <c r="BN150" s="339"/>
      <c r="BO150" s="339"/>
      <c r="BP150" s="339"/>
      <c r="BQ150" s="339"/>
      <c r="BR150" s="339"/>
      <c r="BS150" s="339"/>
      <c r="BT150" s="339"/>
      <c r="BU150" s="339"/>
      <c r="BV150" s="339"/>
      <c r="BW150" s="339"/>
      <c r="BX150" s="339"/>
      <c r="BY150" s="339"/>
      <c r="BZ150" s="339"/>
      <c r="CA150" s="339"/>
      <c r="CB150" s="339"/>
      <c r="CC150" s="339"/>
    </row>
    <row r="151" spans="1:81" s="326" customFormat="1" ht="15" x14ac:dyDescent="0.25">
      <c r="B151" s="341"/>
      <c r="L151" s="341"/>
      <c r="V151" s="341"/>
      <c r="AF151" s="341"/>
      <c r="AP151" s="341"/>
      <c r="AZ151" s="341"/>
      <c r="BJ151" s="341"/>
      <c r="BT151" s="341"/>
    </row>
    <row r="152" spans="1:81" s="326" customFormat="1" x14ac:dyDescent="0.2"/>
    <row r="153" spans="1:81" s="326" customFormat="1" x14ac:dyDescent="0.2"/>
    <row r="154" spans="1:81" s="326" customFormat="1" x14ac:dyDescent="0.2"/>
    <row r="155" spans="1:81" s="326" customFormat="1" x14ac:dyDescent="0.2"/>
    <row r="156" spans="1:81" s="326" customFormat="1" x14ac:dyDescent="0.2"/>
    <row r="157" spans="1:81" s="326" customFormat="1" x14ac:dyDescent="0.2"/>
    <row r="158" spans="1:81" s="326" customFormat="1" x14ac:dyDescent="0.2"/>
    <row r="159" spans="1:81" s="326" customFormat="1" x14ac:dyDescent="0.2"/>
    <row r="160" spans="1:81" s="326" customFormat="1" x14ac:dyDescent="0.2"/>
    <row r="161" s="326" customFormat="1" x14ac:dyDescent="0.2"/>
    <row r="162" s="326" customFormat="1" x14ac:dyDescent="0.2"/>
    <row r="163" s="326" customFormat="1" x14ac:dyDescent="0.2"/>
    <row r="164" s="326" customFormat="1" x14ac:dyDescent="0.2"/>
    <row r="165" s="326" customFormat="1" x14ac:dyDescent="0.2"/>
    <row r="166" s="326" customFormat="1" x14ac:dyDescent="0.2"/>
    <row r="167" s="326" customFormat="1" x14ac:dyDescent="0.2"/>
    <row r="168" s="326" customFormat="1" x14ac:dyDescent="0.2"/>
    <row r="169" s="326" customFormat="1" x14ac:dyDescent="0.2"/>
    <row r="170" s="326" customFormat="1" x14ac:dyDescent="0.2"/>
  </sheetData>
  <sheetProtection formatColumns="0" insertRows="0"/>
  <mergeCells count="32">
    <mergeCell ref="BJ2:BS2"/>
    <mergeCell ref="BT2:CC2"/>
    <mergeCell ref="E5:I5"/>
    <mergeCell ref="O5:S5"/>
    <mergeCell ref="Y5:AC5"/>
    <mergeCell ref="AI5:AM5"/>
    <mergeCell ref="AS5:AW5"/>
    <mergeCell ref="BC5:BG5"/>
    <mergeCell ref="BM5:BQ5"/>
    <mergeCell ref="BW5:CA5"/>
    <mergeCell ref="B2:K2"/>
    <mergeCell ref="L2:U2"/>
    <mergeCell ref="V2:AE2"/>
    <mergeCell ref="AF2:AO2"/>
    <mergeCell ref="AP2:AY2"/>
    <mergeCell ref="AZ2:BI2"/>
    <mergeCell ref="BK128:BS128"/>
    <mergeCell ref="BU128:CC128"/>
    <mergeCell ref="C129:K148"/>
    <mergeCell ref="M129:T148"/>
    <mergeCell ref="W129:AE148"/>
    <mergeCell ref="AG129:AO148"/>
    <mergeCell ref="AQ129:AY148"/>
    <mergeCell ref="BA129:BI148"/>
    <mergeCell ref="BK129:BS148"/>
    <mergeCell ref="BU129:CC148"/>
    <mergeCell ref="C128:K128"/>
    <mergeCell ref="M128:T128"/>
    <mergeCell ref="W128:AE128"/>
    <mergeCell ref="AG128:AO128"/>
    <mergeCell ref="AQ128:AY128"/>
    <mergeCell ref="BA128:BI128"/>
  </mergeCells>
  <dataValidations count="2">
    <dataValidation type="custom" operator="greaterThanOrEqual" allowBlank="1" showInputMessage="1" showErrorMessage="1" errorTitle="data type error" error="value must be a number" sqref="B129:B131 B140 B133 L129:L131 V133 L133 L140 V129:V131 V140 AF50:AF71 E34:K47 AF133 AF129:AF131 AF140 V10:V30 AP10:AP30 AF10:AF30 AP133 AP129:AP131 AP140 L91:L105 L111:L123 AS34:AY47 B10:B30 L10:L30 AF34:AF46 V34:V46 AP34:AP46 AS50:AY72 V79:V87 AF79:AF87 L34:L46 B34:B46 AP50:AP71 AS79:AY88 B50:B71 AP79:AP87 AS91:AY106 L79:L87 V91:V105 AF91:AF105 B79:B87 AP91:AP105 AS111:AY124 V111:V123 B91:B105 AP111:AP123 BC111:BI124 Y111:AE124 B111:B123 AI111:AO124 AF111:AF123 AI91:AO106 AI79:AO88 AI50:AO72 AI34:AO47 AS10:AY31 Y91:AE106 Y34:AE47 Y10:AE31 Y50:AE72 E111:K124 O91:U106 O79:U88 O34:U47 O10:U31 O50:U72 E91:K106 E79:K88 L50:L71 O111:U124 AI10:AO31 Y79:AE88 V50:V71 AZ10:AZ30 AZ133 AZ129:AZ131 AZ140 BC91:BI106 AZ34:AZ46 BC10:BI31 AZ50:AZ71 BC34:BI47 AZ79:AZ87 BC50:BI72 AZ91:AZ105 BC79:BI88 AZ111:AZ123 E50:K72 E10:K31 BM91:BS106 BJ10:BJ30 BJ133 BJ129:BJ131 BJ140 BM79:BS88 BJ34:BJ46 BJ111:BJ123 BJ50:BJ71 BM10:BS31 BJ79:BJ87 BM34:BS47 BJ91:BJ105 BM50:BS72 BM111:BS124 BT91:BT105 BT133 BT129:BT131 BT140 BT79:BT87 BW91:CC106 BT10:BT30 BW79:CC88 BT34:BT46 BW10:CC31 BW34:CC47 BW50:CC72 BW111:CC124 BT111:BT123 BT50:BT62 BT64:BT71" xr:uid="{8B70B5ED-FD01-4C01-B168-AB3A4E2CC192}">
      <formula1>ISNUMBER(B10)</formula1>
    </dataValidation>
    <dataValidation type="whole" operator="greaterThanOrEqual" allowBlank="1" showInputMessage="1" showErrorMessage="1" errorTitle="Data Type Error" error="Value must be a number greater than or equal to 0." sqref="B106:D106 B124:D124 B88:D88 B72:D72 B47:D47 B31:D31 L106:N106 L124:N124 L88:N88 L72:N72 L47:N47 L31:N31 AF72:AH72 AF88:AH88 AF124:AH124 V106:X106 AF31:AH31 V31:X31 V47:X47 V72:X72 V88:X88 V124:X124 AF106:AH106 AF47:AH47 AP72:AR72 AP88:AR88 AP124:AR124 AP31:AR31 AP106:AR106 AP47:AR47 C34:D46 C10:D30 M79:N87 W91:X105 AQ10:AR30 M10:N30 W10:X30 AG10:AH30 AQ34:AR46 M34:N46 W34:X46 AG34:AH46 BA50:BB71 AQ50:AR71 M111:N123 AQ79:AR87 C79:D87 W79:X87 AG79:AH87 AQ91:AR105 M91:N105 C91:D105 AG91:AH105 AQ111:AR123 C111:D123 W111:X123 AG111:AH123 AG50:AH71 W50:X71 C50:D71 AZ72:BB72 AZ88:BB88 AZ124:BB124 AZ31:BB31 AZ106:BB106 AZ47:BB47 BA10:BB30 BA34:BB46 BA111:BB123 BA79:BB87 BA91:BB105 M50:N71 BK34:BL46 BJ72:BL72 BJ88:BL88 BJ124:BL124 BJ31:BL31 BJ106:BL106 BJ47:BL47 BK79:BL87 BK10:BL30 BK91:BL105 BK50:BL71 BK111:BL123 BU10:BV30 BT72:BV72 BT88:BV88 BT124:BV124 BT31:BV31 BT106:BV106 BT47:BV47 BU50:BV71 BU91:BV105 BU79:BV87 BU34:BV46 BU111:BV123" xr:uid="{CFD76BD7-5215-43CE-8DFD-1FAA5DDDEF89}">
      <formula1>0</formula1>
    </dataValidation>
  </dataValidations>
  <printOptions gridLines="1"/>
  <pageMargins left="0.3" right="0.3" top="0.75" bottom="0.3" header="0.3" footer="0.05"/>
  <pageSetup paperSize="5" scale="45" fitToHeight="0" orientation="landscape" r:id="rId1"/>
  <headerFooter>
    <oddHeader>&amp;C&amp;"-,Bold"&amp;22University of Nebraska at Kearney
&amp;A</oddHeader>
    <oddFooter>&amp;C&amp;P of &amp;N&amp;R&amp;F</oddFooter>
  </headerFooter>
  <rowBreaks count="1" manualBreakCount="1">
    <brk id="127" max="80"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B4A64-8ED9-4BF6-A073-689C5AE0FA3F}">
  <sheetPr>
    <pageSetUpPr fitToPage="1"/>
  </sheetPr>
  <dimension ref="A1:BT58"/>
  <sheetViews>
    <sheetView showGridLines="0" zoomScaleNormal="100" workbookViewId="0">
      <pane xSplit="4" ySplit="7" topLeftCell="BG8" activePane="bottomRight" state="frozen"/>
      <selection pane="topRight" activeCell="E1" sqref="E1"/>
      <selection pane="bottomLeft" activeCell="A8" sqref="A8"/>
      <selection pane="bottomRight" activeCell="BP57" sqref="BP57"/>
    </sheetView>
  </sheetViews>
  <sheetFormatPr defaultColWidth="8.42578125" defaultRowHeight="12.75" x14ac:dyDescent="0.2"/>
  <cols>
    <col min="1" max="1" width="1.5703125" style="1" customWidth="1"/>
    <col min="2" max="2" width="2.42578125" style="1" customWidth="1"/>
    <col min="3" max="3" width="3.28515625" style="1" customWidth="1"/>
    <col min="4" max="4" width="33.85546875" style="1" customWidth="1"/>
    <col min="5" max="5" width="2.42578125" style="1" hidden="1" customWidth="1"/>
    <col min="6" max="6" width="14.42578125" style="1" hidden="1" customWidth="1"/>
    <col min="7" max="7" width="3.28515625" style="1" hidden="1" customWidth="1"/>
    <col min="8" max="8" width="2.42578125" style="1" hidden="1" customWidth="1"/>
    <col min="9" max="9" width="14.42578125" style="1" hidden="1" customWidth="1"/>
    <col min="10" max="10" width="3.28515625" style="1" hidden="1" customWidth="1"/>
    <col min="11" max="11" width="2.42578125" style="1" hidden="1" customWidth="1"/>
    <col min="12" max="12" width="14.42578125" style="1" hidden="1" customWidth="1"/>
    <col min="13" max="13" width="3.28515625" style="1" hidden="1" customWidth="1"/>
    <col min="14" max="14" width="2.42578125" style="1" hidden="1" customWidth="1"/>
    <col min="15" max="15" width="14.42578125" style="1" hidden="1" customWidth="1"/>
    <col min="16" max="16" width="3.28515625" style="1" hidden="1" customWidth="1"/>
    <col min="17" max="17" width="2.42578125" style="1" hidden="1" customWidth="1"/>
    <col min="18" max="18" width="14.42578125" style="1" hidden="1" customWidth="1"/>
    <col min="19" max="19" width="3.28515625" style="1" hidden="1" customWidth="1"/>
    <col min="20" max="20" width="2.42578125" style="1" hidden="1" customWidth="1"/>
    <col min="21" max="21" width="14.42578125" style="1" hidden="1" customWidth="1"/>
    <col min="22" max="22" width="3.28515625" style="1" hidden="1" customWidth="1"/>
    <col min="23" max="23" width="2.42578125" style="1" hidden="1" customWidth="1"/>
    <col min="24" max="24" width="14.42578125" style="1" hidden="1" customWidth="1"/>
    <col min="25" max="25" width="2.5703125" style="1" hidden="1" customWidth="1"/>
    <col min="26" max="26" width="3.28515625" style="1" hidden="1" customWidth="1"/>
    <col min="27" max="27" width="14.7109375" style="1" hidden="1" customWidth="1"/>
    <col min="28" max="28" width="14.42578125" style="1" hidden="1" customWidth="1"/>
    <col min="29" max="29" width="3.28515625" style="1" hidden="1" customWidth="1"/>
    <col min="30" max="30" width="2.42578125" style="1" hidden="1" customWidth="1"/>
    <col min="31" max="31" width="14.42578125" style="1" hidden="1" customWidth="1"/>
    <col min="32" max="32" width="3.28515625" style="1" hidden="1" customWidth="1"/>
    <col min="33" max="33" width="2.42578125" style="1" hidden="1" customWidth="1"/>
    <col min="34" max="34" width="14.42578125" style="1" hidden="1" customWidth="1"/>
    <col min="35" max="35" width="2.5703125" style="1" hidden="1" customWidth="1"/>
    <col min="36" max="36" width="3.28515625" style="1" hidden="1" customWidth="1"/>
    <col min="37" max="37" width="14.42578125" style="1" hidden="1" customWidth="1"/>
    <col min="38" max="38" width="3.28515625" style="1" hidden="1" customWidth="1"/>
    <col min="39" max="39" width="2.42578125" style="1" hidden="1" customWidth="1"/>
    <col min="40" max="40" width="14.42578125" style="1" hidden="1" customWidth="1"/>
    <col min="41" max="41" width="3.28515625" style="1" hidden="1" customWidth="1"/>
    <col min="42" max="42" width="2.42578125" style="1" hidden="1" customWidth="1"/>
    <col min="43" max="43" width="14.42578125" style="1" hidden="1" customWidth="1"/>
    <col min="44" max="44" width="3.28515625" style="1" hidden="1" customWidth="1"/>
    <col min="45" max="45" width="1.85546875" style="1" hidden="1" customWidth="1"/>
    <col min="46" max="46" width="14.42578125" style="1" hidden="1" customWidth="1"/>
    <col min="47" max="47" width="1.140625" style="1" hidden="1" customWidth="1"/>
    <col min="48" max="48" width="2.42578125" style="1" hidden="1" customWidth="1"/>
    <col min="49" max="49" width="14.42578125" style="1" hidden="1" customWidth="1"/>
    <col min="50" max="50" width="2.5703125" style="1" hidden="1" customWidth="1"/>
    <col min="51" max="51" width="2.28515625" style="1" hidden="1" customWidth="1"/>
    <col min="52" max="52" width="14.42578125" style="1" hidden="1" customWidth="1"/>
    <col min="53" max="53" width="3.28515625" style="1" hidden="1" customWidth="1"/>
    <col min="54" max="54" width="2.28515625" style="1" hidden="1" customWidth="1"/>
    <col min="55" max="55" width="14.42578125" style="1" hidden="1" customWidth="1"/>
    <col min="56" max="56" width="3.28515625" style="1" hidden="1" customWidth="1"/>
    <col min="57" max="57" width="2.28515625" style="1" hidden="1" customWidth="1"/>
    <col min="58" max="58" width="15.28515625" style="1" hidden="1" customWidth="1"/>
    <col min="59" max="59" width="2.28515625" style="1" hidden="1" customWidth="1"/>
    <col min="60" max="60" width="14.85546875" style="1" hidden="1" customWidth="1"/>
    <col min="61" max="61" width="2.28515625" style="1" customWidth="1"/>
    <col min="62" max="62" width="15.28515625" style="1" bestFit="1" customWidth="1"/>
    <col min="63" max="63" width="2.28515625" style="1" customWidth="1"/>
    <col min="64" max="64" width="15.28515625" style="1" bestFit="1" customWidth="1"/>
    <col min="65" max="65" width="2.28515625" style="1" customWidth="1"/>
    <col min="66" max="66" width="15.28515625" style="1" bestFit="1" customWidth="1"/>
    <col min="67" max="67" width="2.28515625" style="1" customWidth="1"/>
    <col min="68" max="68" width="15.28515625" style="1" bestFit="1" customWidth="1"/>
    <col min="69" max="69" width="2.28515625" style="1" customWidth="1"/>
    <col min="70" max="70" width="15.28515625" style="1" bestFit="1" customWidth="1"/>
    <col min="71" max="71" width="2.28515625" style="1" customWidth="1"/>
    <col min="72" max="72" width="15.28515625" style="1" bestFit="1" customWidth="1"/>
    <col min="73" max="16384" width="8.42578125" style="1"/>
  </cols>
  <sheetData>
    <row r="1" spans="1:72" ht="15.75" x14ac:dyDescent="0.25">
      <c r="A1" s="32"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row>
    <row r="2" spans="1:72" ht="15.75" x14ac:dyDescent="0.25">
      <c r="A2" s="32" t="s">
        <v>1</v>
      </c>
    </row>
    <row r="3" spans="1:72" ht="18.75" x14ac:dyDescent="0.3">
      <c r="A3" s="34"/>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1:72" ht="15.75" customHeight="1" x14ac:dyDescent="0.25">
      <c r="A4" s="35" t="s">
        <v>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36"/>
      <c r="AX4" s="3"/>
      <c r="AY4" s="2"/>
      <c r="AZ4" s="2"/>
      <c r="BA4" s="3"/>
      <c r="BB4" s="2"/>
      <c r="BC4" s="2"/>
      <c r="BD4" s="3"/>
      <c r="BE4" s="2"/>
      <c r="BF4" s="2"/>
      <c r="BG4" s="2"/>
      <c r="BH4" s="2"/>
      <c r="BI4" s="2"/>
      <c r="BJ4" s="2"/>
      <c r="BK4" s="2"/>
      <c r="BL4" s="2"/>
      <c r="BM4" s="2"/>
      <c r="BN4" s="2"/>
      <c r="BO4" s="2"/>
      <c r="BP4" s="2"/>
      <c r="BQ4" s="2"/>
      <c r="BR4" s="2"/>
      <c r="BS4" s="2"/>
      <c r="BT4" s="2"/>
    </row>
    <row r="5" spans="1:72" x14ac:dyDescent="0.2">
      <c r="A5" s="37"/>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38"/>
      <c r="BD5" s="2"/>
      <c r="BE5" s="2"/>
      <c r="BF5" s="2"/>
      <c r="BG5" s="2"/>
      <c r="BH5" s="2"/>
      <c r="BI5" s="2"/>
      <c r="BJ5" s="2"/>
      <c r="BK5" s="2"/>
      <c r="BL5" s="2"/>
      <c r="BM5" s="2"/>
      <c r="BN5" s="2"/>
      <c r="BO5" s="2"/>
      <c r="BP5" s="2"/>
      <c r="BQ5" s="2"/>
      <c r="BR5" s="2"/>
      <c r="BS5" s="2"/>
      <c r="BT5" s="2"/>
    </row>
    <row r="6" spans="1:72" ht="12" customHeight="1" x14ac:dyDescent="0.2">
      <c r="A6" s="7"/>
      <c r="B6" s="7"/>
      <c r="C6" s="7"/>
      <c r="D6" s="7"/>
      <c r="F6" s="39" t="s">
        <v>3</v>
      </c>
      <c r="G6" s="39"/>
      <c r="I6" s="39" t="s">
        <v>3</v>
      </c>
      <c r="J6" s="39"/>
      <c r="L6" s="39" t="s">
        <v>3</v>
      </c>
      <c r="M6" s="39"/>
      <c r="O6" s="39" t="s">
        <v>3</v>
      </c>
      <c r="P6" s="39"/>
      <c r="R6" s="39" t="s">
        <v>3</v>
      </c>
      <c r="S6" s="39"/>
      <c r="U6" s="39" t="s">
        <v>3</v>
      </c>
      <c r="V6" s="39"/>
      <c r="X6" s="39" t="s">
        <v>3</v>
      </c>
      <c r="Y6" s="39"/>
      <c r="Z6" s="39"/>
      <c r="AA6" s="40" t="s">
        <v>3</v>
      </c>
      <c r="AB6" s="39" t="s">
        <v>3</v>
      </c>
      <c r="AC6" s="39"/>
      <c r="AE6" s="39" t="s">
        <v>3</v>
      </c>
      <c r="AF6" s="39"/>
      <c r="AH6" s="39" t="s">
        <v>3</v>
      </c>
      <c r="AI6" s="39"/>
      <c r="AJ6" s="39"/>
      <c r="AK6" s="41" t="s">
        <v>3</v>
      </c>
      <c r="AL6" s="39"/>
      <c r="AN6" s="39" t="s">
        <v>3</v>
      </c>
      <c r="AO6" s="39"/>
      <c r="AQ6" s="42" t="s">
        <v>3</v>
      </c>
      <c r="AR6" s="39"/>
      <c r="AT6" s="39" t="s">
        <v>3</v>
      </c>
      <c r="AU6" s="39"/>
      <c r="AW6" s="39" t="s">
        <v>3</v>
      </c>
      <c r="AX6" s="39"/>
      <c r="AZ6" s="39" t="s">
        <v>3</v>
      </c>
      <c r="BA6" s="39"/>
      <c r="BC6" s="39" t="s">
        <v>3</v>
      </c>
      <c r="BD6" s="39"/>
      <c r="BF6" s="39" t="s">
        <v>3</v>
      </c>
      <c r="BG6" s="39"/>
      <c r="BH6" s="39" t="s">
        <v>3</v>
      </c>
      <c r="BJ6" s="39" t="s">
        <v>3</v>
      </c>
      <c r="BL6" s="39" t="s">
        <v>3</v>
      </c>
      <c r="BN6" s="39" t="s">
        <v>3</v>
      </c>
      <c r="BP6" s="39" t="s">
        <v>3</v>
      </c>
      <c r="BR6" s="343" t="s">
        <v>253</v>
      </c>
      <c r="BT6" s="343" t="s">
        <v>253</v>
      </c>
    </row>
    <row r="7" spans="1:72" ht="12" customHeight="1" x14ac:dyDescent="0.2">
      <c r="A7" s="7"/>
      <c r="B7" s="7"/>
      <c r="C7" s="7"/>
      <c r="D7" s="7"/>
      <c r="F7" s="344" t="s">
        <v>4</v>
      </c>
      <c r="G7" s="39"/>
      <c r="I7" s="344" t="s">
        <v>5</v>
      </c>
      <c r="J7" s="39"/>
      <c r="L7" s="344" t="s">
        <v>6</v>
      </c>
      <c r="M7" s="39"/>
      <c r="O7" s="344" t="s">
        <v>7</v>
      </c>
      <c r="P7" s="39"/>
      <c r="R7" s="344" t="s">
        <v>8</v>
      </c>
      <c r="S7" s="39"/>
      <c r="U7" s="344" t="s">
        <v>9</v>
      </c>
      <c r="V7" s="39"/>
      <c r="X7" s="344" t="s">
        <v>10</v>
      </c>
      <c r="Y7" s="39"/>
      <c r="Z7" s="39"/>
      <c r="AA7" s="345" t="s">
        <v>69</v>
      </c>
      <c r="AB7" s="344" t="s">
        <v>11</v>
      </c>
      <c r="AC7" s="39"/>
      <c r="AE7" s="344" t="s">
        <v>12</v>
      </c>
      <c r="AF7" s="39"/>
      <c r="AH7" s="344" t="s">
        <v>13</v>
      </c>
      <c r="AI7" s="39"/>
      <c r="AJ7" s="39"/>
      <c r="AK7" s="346" t="s">
        <v>70</v>
      </c>
      <c r="AL7" s="39"/>
      <c r="AN7" s="347" t="s">
        <v>14</v>
      </c>
      <c r="AO7" s="39"/>
      <c r="AQ7" s="344" t="s">
        <v>15</v>
      </c>
      <c r="AR7" s="39"/>
      <c r="AT7" s="344" t="s">
        <v>16</v>
      </c>
      <c r="AU7" s="39"/>
      <c r="AW7" s="344" t="s">
        <v>17</v>
      </c>
      <c r="AX7" s="39"/>
      <c r="AZ7" s="344" t="s">
        <v>18</v>
      </c>
      <c r="BA7" s="39"/>
      <c r="BC7" s="344" t="s">
        <v>19</v>
      </c>
      <c r="BD7" s="39"/>
      <c r="BF7" s="344" t="s">
        <v>20</v>
      </c>
      <c r="BH7" s="344" t="s">
        <v>21</v>
      </c>
      <c r="BJ7" s="344" t="s">
        <v>68</v>
      </c>
      <c r="BL7" s="344" t="s">
        <v>71</v>
      </c>
      <c r="BN7" s="344" t="s">
        <v>232</v>
      </c>
      <c r="BP7" s="344" t="s">
        <v>249</v>
      </c>
      <c r="BR7" s="344" t="s">
        <v>255</v>
      </c>
      <c r="BT7" s="344" t="s">
        <v>260</v>
      </c>
    </row>
    <row r="8" spans="1:72" x14ac:dyDescent="0.2">
      <c r="A8" s="1" t="s">
        <v>22</v>
      </c>
      <c r="AA8" s="43"/>
      <c r="AK8" s="44"/>
      <c r="AQ8" s="4"/>
    </row>
    <row r="9" spans="1:72" x14ac:dyDescent="0.2">
      <c r="B9" s="1" t="s">
        <v>23</v>
      </c>
      <c r="E9" s="45" t="s">
        <v>24</v>
      </c>
      <c r="F9" s="1">
        <v>13922332</v>
      </c>
      <c r="H9" s="45" t="s">
        <v>24</v>
      </c>
      <c r="I9" s="1">
        <v>14060166</v>
      </c>
      <c r="K9" s="45" t="s">
        <v>24</v>
      </c>
      <c r="L9" s="1">
        <v>15553368</v>
      </c>
      <c r="N9" s="45" t="s">
        <v>24</v>
      </c>
      <c r="O9" s="1">
        <v>17253617</v>
      </c>
      <c r="Q9" s="45" t="s">
        <v>24</v>
      </c>
      <c r="R9" s="45">
        <v>19946347</v>
      </c>
      <c r="T9" s="45" t="s">
        <v>24</v>
      </c>
      <c r="U9" s="1">
        <v>22634268</v>
      </c>
      <c r="W9" s="45" t="s">
        <v>24</v>
      </c>
      <c r="X9" s="1">
        <v>24003595</v>
      </c>
      <c r="Z9" s="45" t="s">
        <v>24</v>
      </c>
      <c r="AA9" s="44">
        <v>25289667</v>
      </c>
      <c r="AB9" s="1">
        <v>26694242</v>
      </c>
      <c r="AD9" s="45" t="s">
        <v>24</v>
      </c>
      <c r="AE9" s="46">
        <v>28617655</v>
      </c>
      <c r="AG9" s="45" t="s">
        <v>24</v>
      </c>
      <c r="AH9" s="1">
        <v>28581177</v>
      </c>
      <c r="AJ9" s="45" t="s">
        <v>24</v>
      </c>
      <c r="AK9" s="44">
        <v>32578156</v>
      </c>
      <c r="AM9" s="45" t="s">
        <v>24</v>
      </c>
      <c r="AN9" s="4">
        <v>36310804</v>
      </c>
      <c r="AP9" s="45" t="s">
        <v>24</v>
      </c>
      <c r="AQ9" s="1">
        <v>38994589</v>
      </c>
      <c r="AS9" s="45" t="s">
        <v>24</v>
      </c>
      <c r="AT9" s="1">
        <v>38892904</v>
      </c>
      <c r="AV9" s="45" t="s">
        <v>24</v>
      </c>
      <c r="AW9" s="1">
        <v>37995662</v>
      </c>
      <c r="AY9" s="45" t="s">
        <v>24</v>
      </c>
      <c r="AZ9" s="1">
        <v>37216410</v>
      </c>
      <c r="BB9" s="45" t="s">
        <v>24</v>
      </c>
      <c r="BC9" s="1">
        <v>37605411</v>
      </c>
      <c r="BE9" s="45" t="s">
        <v>24</v>
      </c>
      <c r="BF9" s="1">
        <v>38376194</v>
      </c>
      <c r="BG9" s="45" t="s">
        <v>24</v>
      </c>
      <c r="BH9" s="1">
        <v>38268578</v>
      </c>
      <c r="BI9" s="45" t="s">
        <v>24</v>
      </c>
      <c r="BJ9" s="1">
        <v>39727008</v>
      </c>
      <c r="BK9" s="45" t="s">
        <v>24</v>
      </c>
      <c r="BL9" s="1">
        <v>39716988</v>
      </c>
      <c r="BM9" s="45" t="s">
        <v>24</v>
      </c>
      <c r="BN9" s="1">
        <v>39782428</v>
      </c>
      <c r="BO9" s="45" t="s">
        <v>24</v>
      </c>
      <c r="BP9" s="1">
        <v>38869691</v>
      </c>
      <c r="BQ9" s="45" t="s">
        <v>24</v>
      </c>
      <c r="BR9" s="1">
        <v>40191155</v>
      </c>
      <c r="BS9" s="45" t="s">
        <v>24</v>
      </c>
      <c r="BT9" s="1">
        <v>40191155</v>
      </c>
    </row>
    <row r="10" spans="1:72" x14ac:dyDescent="0.2">
      <c r="C10" s="1" t="s">
        <v>25</v>
      </c>
      <c r="E10" s="45"/>
      <c r="H10" s="45"/>
      <c r="K10" s="45"/>
      <c r="N10" s="45"/>
      <c r="Q10" s="45"/>
      <c r="R10" s="45">
        <v>-445919</v>
      </c>
      <c r="T10" s="45"/>
      <c r="U10" s="1">
        <v>-306752</v>
      </c>
      <c r="W10" s="45"/>
      <c r="X10" s="1">
        <v>-490341</v>
      </c>
      <c r="Z10" s="45"/>
      <c r="AA10" s="44">
        <v>-401914</v>
      </c>
      <c r="AB10" s="1">
        <v>-420046</v>
      </c>
      <c r="AD10" s="45"/>
      <c r="AE10" s="5">
        <v>-353741</v>
      </c>
      <c r="AG10" s="45"/>
      <c r="AH10" s="5">
        <v>-340155</v>
      </c>
      <c r="AI10" s="5"/>
      <c r="AJ10" s="45"/>
      <c r="AK10" s="47">
        <v>-205749</v>
      </c>
      <c r="AM10" s="45"/>
      <c r="AN10" s="4">
        <v>-241617</v>
      </c>
      <c r="AP10" s="45"/>
      <c r="AQ10" s="1">
        <v>-292557</v>
      </c>
      <c r="AS10" s="45"/>
      <c r="AT10" s="4">
        <v>-297115</v>
      </c>
      <c r="AU10" s="4"/>
      <c r="AV10" s="45"/>
      <c r="AW10" s="4">
        <v>-162110</v>
      </c>
      <c r="AY10" s="45"/>
      <c r="AZ10" s="4">
        <v>-322953</v>
      </c>
      <c r="BB10" s="45"/>
      <c r="BC10" s="4">
        <v>-273372</v>
      </c>
      <c r="BE10" s="45"/>
      <c r="BF10" s="4">
        <v>-332767</v>
      </c>
      <c r="BG10" s="45"/>
      <c r="BH10" s="4">
        <v>-703431</v>
      </c>
      <c r="BI10" s="45"/>
      <c r="BJ10" s="1">
        <f>-484825</f>
        <v>-484825</v>
      </c>
      <c r="BK10" s="45"/>
      <c r="BL10" s="1">
        <v>-236618</v>
      </c>
      <c r="BM10" s="45"/>
      <c r="BN10" s="1">
        <v>-166508</v>
      </c>
      <c r="BO10" s="45"/>
      <c r="BP10" s="1">
        <v>-63237</v>
      </c>
      <c r="BQ10" s="45"/>
      <c r="BR10" s="1">
        <v>-64781</v>
      </c>
      <c r="BS10" s="45"/>
      <c r="BT10" s="1">
        <v>-64781</v>
      </c>
    </row>
    <row r="11" spans="1:72" x14ac:dyDescent="0.2">
      <c r="C11" s="1" t="s">
        <v>26</v>
      </c>
      <c r="F11" s="1">
        <v>-2400213</v>
      </c>
      <c r="I11" s="1">
        <v>-2272304</v>
      </c>
      <c r="L11" s="1">
        <v>-2544339</v>
      </c>
      <c r="O11" s="1">
        <v>-3087488</v>
      </c>
      <c r="R11" s="1">
        <v>-3418961</v>
      </c>
      <c r="U11" s="1">
        <v>-4410556</v>
      </c>
      <c r="X11" s="1">
        <v>-4292892</v>
      </c>
      <c r="AA11" s="44">
        <v>-4199325</v>
      </c>
      <c r="AB11" s="1">
        <v>-4371704</v>
      </c>
      <c r="AE11" s="1">
        <v>-4598946</v>
      </c>
      <c r="AH11" s="1">
        <v>-5438519</v>
      </c>
      <c r="AK11" s="44">
        <f>-3954543-1391713-878269</f>
        <v>-6224525</v>
      </c>
      <c r="AN11" s="4">
        <v>-7144932</v>
      </c>
      <c r="AQ11" s="1">
        <v>-8384422</v>
      </c>
      <c r="AT11" s="1">
        <v>-8136590</v>
      </c>
      <c r="AW11" s="1">
        <v>-8007300</v>
      </c>
      <c r="AZ11" s="1">
        <v>-7750437</v>
      </c>
      <c r="BC11" s="1">
        <v>-7668271</v>
      </c>
      <c r="BF11" s="1">
        <v>-8192152</v>
      </c>
      <c r="BH11" s="1">
        <f>-8784104.53+703431</f>
        <v>-8080673.5299999993</v>
      </c>
      <c r="BJ11" s="1">
        <f>-9008003+484825</f>
        <v>-8523178</v>
      </c>
      <c r="BL11" s="1">
        <f>-8601013+236618</f>
        <v>-8364395</v>
      </c>
      <c r="BN11" s="1">
        <f>-9032510+166508</f>
        <v>-8866002</v>
      </c>
      <c r="BP11" s="1">
        <f>-10064449+63237</f>
        <v>-10001212</v>
      </c>
      <c r="BR11" s="1">
        <v>-10245358</v>
      </c>
      <c r="BT11" s="1">
        <v>-10245358</v>
      </c>
    </row>
    <row r="12" spans="1:72" x14ac:dyDescent="0.2">
      <c r="C12" s="1" t="s">
        <v>27</v>
      </c>
      <c r="F12" s="1">
        <v>-431378</v>
      </c>
      <c r="I12" s="1">
        <v>-309079</v>
      </c>
      <c r="L12" s="1">
        <v>-441961</v>
      </c>
      <c r="O12" s="1">
        <v>-644216</v>
      </c>
      <c r="R12" s="45">
        <f>-832260-35147</f>
        <v>-867407</v>
      </c>
      <c r="U12" s="1">
        <v>-921689</v>
      </c>
      <c r="X12" s="1">
        <v>-1199990</v>
      </c>
      <c r="AA12" s="44">
        <f>-1461989-63563</f>
        <v>-1525552</v>
      </c>
      <c r="AB12" s="1">
        <v>-2117046</v>
      </c>
      <c r="AE12" s="1">
        <v>-1924363</v>
      </c>
      <c r="AH12" s="1">
        <v>-922034</v>
      </c>
      <c r="AK12" s="44">
        <v>-1416930</v>
      </c>
      <c r="AN12" s="4">
        <f>-1084400-3934</f>
        <v>-1088334</v>
      </c>
      <c r="AQ12" s="1">
        <f>-1162785-3489</f>
        <v>-1166274</v>
      </c>
      <c r="AT12" s="1">
        <f>-1034389-3402</f>
        <v>-1037791</v>
      </c>
      <c r="AW12" s="1">
        <f>-901068-3524</f>
        <v>-904592</v>
      </c>
      <c r="AZ12" s="1">
        <v>-863563</v>
      </c>
      <c r="BC12" s="1">
        <f>-2755-1075813</f>
        <v>-1078568</v>
      </c>
      <c r="BF12" s="1">
        <v>-896998</v>
      </c>
      <c r="BH12" s="1">
        <v>-725185</v>
      </c>
      <c r="BJ12" s="1">
        <v>-787524</v>
      </c>
      <c r="BL12" s="1">
        <v>-397235</v>
      </c>
      <c r="BN12" s="1">
        <v>-939364</v>
      </c>
      <c r="BP12" s="1">
        <v>-1189468</v>
      </c>
      <c r="BR12" s="1">
        <v>-1039287</v>
      </c>
      <c r="BT12" s="1">
        <v>-1039287</v>
      </c>
    </row>
    <row r="13" spans="1:72" x14ac:dyDescent="0.2">
      <c r="A13" s="48"/>
      <c r="D13" s="1" t="s">
        <v>28</v>
      </c>
      <c r="E13" s="45" t="s">
        <v>24</v>
      </c>
      <c r="F13" s="49">
        <f>SUM(F9:F12)</f>
        <v>11090741</v>
      </c>
      <c r="H13" s="45" t="s">
        <v>24</v>
      </c>
      <c r="I13" s="49">
        <f>SUM(I9:I12)</f>
        <v>11478783</v>
      </c>
      <c r="K13" s="45" t="s">
        <v>24</v>
      </c>
      <c r="L13" s="49">
        <f>SUM(L9:L12)</f>
        <v>12567068</v>
      </c>
      <c r="N13" s="45" t="s">
        <v>24</v>
      </c>
      <c r="O13" s="49">
        <f>SUM(O9:O12)</f>
        <v>13521913</v>
      </c>
      <c r="Q13" s="45" t="s">
        <v>24</v>
      </c>
      <c r="R13" s="49">
        <f>SUM(R9:R12)</f>
        <v>15214060</v>
      </c>
      <c r="T13" s="45" t="s">
        <v>24</v>
      </c>
      <c r="U13" s="49">
        <f>SUM(U9:U12)</f>
        <v>16995271</v>
      </c>
      <c r="W13" s="45" t="s">
        <v>24</v>
      </c>
      <c r="X13" s="49">
        <f>SUM(X9:X12)</f>
        <v>18020372</v>
      </c>
      <c r="Z13" s="45" t="s">
        <v>24</v>
      </c>
      <c r="AA13" s="50">
        <f>SUM(AA9:AA12)</f>
        <v>19162876</v>
      </c>
      <c r="AB13" s="49">
        <f>SUM(AB9:AB12)</f>
        <v>19785446</v>
      </c>
      <c r="AD13" s="45" t="s">
        <v>24</v>
      </c>
      <c r="AE13" s="49">
        <f>SUM(AE9:AE12)</f>
        <v>21740605</v>
      </c>
      <c r="AG13" s="45" t="s">
        <v>24</v>
      </c>
      <c r="AH13" s="49">
        <f>SUM(AH9:AH12)</f>
        <v>21880469</v>
      </c>
      <c r="AJ13" s="45" t="s">
        <v>24</v>
      </c>
      <c r="AK13" s="50">
        <f>SUM(AK9:AK12)</f>
        <v>24730952</v>
      </c>
      <c r="AM13" s="45" t="s">
        <v>24</v>
      </c>
      <c r="AN13" s="6">
        <f>SUM(AN9:AN12)</f>
        <v>27835921</v>
      </c>
      <c r="AP13" s="45" t="s">
        <v>24</v>
      </c>
      <c r="AQ13" s="49">
        <f>SUM(AQ9:AQ12)</f>
        <v>29151336</v>
      </c>
      <c r="AS13" s="45" t="s">
        <v>24</v>
      </c>
      <c r="AT13" s="49">
        <f>SUM(AT9:AT12)</f>
        <v>29421408</v>
      </c>
      <c r="AV13" s="45" t="s">
        <v>24</v>
      </c>
      <c r="AW13" s="49">
        <f>SUM(AW9:AW12)</f>
        <v>28921660</v>
      </c>
      <c r="AY13" s="45" t="s">
        <v>24</v>
      </c>
      <c r="AZ13" s="49">
        <f>SUM(AZ9:AZ12)</f>
        <v>28279457</v>
      </c>
      <c r="BB13" s="45" t="s">
        <v>24</v>
      </c>
      <c r="BC13" s="49">
        <f>SUM(BC9:BC12)</f>
        <v>28585200</v>
      </c>
      <c r="BE13" s="45" t="s">
        <v>24</v>
      </c>
      <c r="BF13" s="49">
        <f>SUM(BF9:BF12)</f>
        <v>28954277</v>
      </c>
      <c r="BG13" s="45" t="s">
        <v>24</v>
      </c>
      <c r="BH13" s="49">
        <f>SUM(BH9:BH12)</f>
        <v>28759288.469999999</v>
      </c>
      <c r="BI13" s="45" t="s">
        <v>24</v>
      </c>
      <c r="BJ13" s="49">
        <f>SUM(BJ9:BJ12)</f>
        <v>29931481</v>
      </c>
      <c r="BK13" s="45" t="s">
        <v>24</v>
      </c>
      <c r="BL13" s="49">
        <f>SUM(BL9:BL12)</f>
        <v>30718740</v>
      </c>
      <c r="BM13" s="45" t="s">
        <v>24</v>
      </c>
      <c r="BN13" s="49">
        <f>SUM(BN9:BN12)</f>
        <v>29810554</v>
      </c>
      <c r="BO13" s="45" t="s">
        <v>24</v>
      </c>
      <c r="BP13" s="49">
        <f>SUM(BP9:BP12)</f>
        <v>27615774</v>
      </c>
      <c r="BQ13" s="45" t="s">
        <v>24</v>
      </c>
      <c r="BR13" s="49">
        <f>SUM(BR9:BR12)</f>
        <v>28841729</v>
      </c>
      <c r="BS13" s="45" t="s">
        <v>24</v>
      </c>
      <c r="BT13" s="49">
        <f>SUM(BT9:BT12)</f>
        <v>28841729</v>
      </c>
    </row>
    <row r="14" spans="1:72" x14ac:dyDescent="0.2">
      <c r="A14" s="1" t="s">
        <v>29</v>
      </c>
      <c r="AA14" s="44"/>
      <c r="AK14" s="44"/>
      <c r="AN14" s="4"/>
    </row>
    <row r="15" spans="1:72" x14ac:dyDescent="0.2">
      <c r="B15" s="1" t="s">
        <v>30</v>
      </c>
      <c r="E15" s="45" t="s">
        <v>24</v>
      </c>
      <c r="F15" s="1">
        <v>94450</v>
      </c>
      <c r="G15" s="51"/>
      <c r="H15" s="45" t="s">
        <v>24</v>
      </c>
      <c r="I15" s="1">
        <v>101897</v>
      </c>
      <c r="J15" s="51"/>
      <c r="K15" s="45" t="s">
        <v>24</v>
      </c>
      <c r="L15" s="1">
        <v>90522</v>
      </c>
      <c r="M15" s="51"/>
      <c r="N15" s="45" t="s">
        <v>24</v>
      </c>
      <c r="O15" s="1">
        <v>115250</v>
      </c>
      <c r="P15" s="51"/>
      <c r="Q15" s="45" t="s">
        <v>24</v>
      </c>
      <c r="R15" s="1">
        <v>136563</v>
      </c>
      <c r="S15" s="51"/>
      <c r="T15" s="45" t="s">
        <v>24</v>
      </c>
      <c r="U15" s="1">
        <v>136997</v>
      </c>
      <c r="V15" s="51"/>
      <c r="W15" s="45" t="s">
        <v>24</v>
      </c>
      <c r="X15" s="1">
        <v>136006</v>
      </c>
      <c r="Z15" s="45" t="s">
        <v>24</v>
      </c>
      <c r="AA15" s="44">
        <v>143240</v>
      </c>
      <c r="AB15" s="1">
        <v>144480</v>
      </c>
      <c r="AC15" s="51"/>
      <c r="AD15" s="45" t="s">
        <v>24</v>
      </c>
      <c r="AE15" s="1">
        <f>63589+93285</f>
        <v>156874</v>
      </c>
      <c r="AF15" s="51"/>
      <c r="AG15" s="45" t="s">
        <v>24</v>
      </c>
      <c r="AH15" s="1">
        <v>176856</v>
      </c>
      <c r="AJ15" s="45" t="s">
        <v>24</v>
      </c>
      <c r="AK15" s="44">
        <f>117375+51480</f>
        <v>168855</v>
      </c>
      <c r="AL15" s="51"/>
      <c r="AM15" s="45" t="s">
        <v>24</v>
      </c>
      <c r="AN15" s="4">
        <v>185925</v>
      </c>
      <c r="AO15" s="51"/>
      <c r="AP15" s="45" t="s">
        <v>24</v>
      </c>
      <c r="AQ15" s="4">
        <f>112975+59850</f>
        <v>172825</v>
      </c>
      <c r="AR15" s="51"/>
      <c r="AS15" s="45" t="s">
        <v>24</v>
      </c>
      <c r="AT15" s="4">
        <v>163495</v>
      </c>
      <c r="AU15" s="4"/>
      <c r="AV15" s="45" t="s">
        <v>24</v>
      </c>
      <c r="AW15" s="4">
        <v>151793</v>
      </c>
      <c r="AX15" s="51"/>
      <c r="AY15" s="45" t="s">
        <v>24</v>
      </c>
      <c r="AZ15" s="4">
        <v>153094</v>
      </c>
      <c r="BA15" s="51"/>
      <c r="BB15" s="45" t="s">
        <v>24</v>
      </c>
      <c r="BC15" s="4">
        <v>139040</v>
      </c>
      <c r="BD15" s="51"/>
      <c r="BE15" s="45" t="s">
        <v>24</v>
      </c>
      <c r="BF15" s="4">
        <v>140725</v>
      </c>
      <c r="BG15" s="45" t="s">
        <v>24</v>
      </c>
      <c r="BH15" s="4">
        <f>80325+60345</f>
        <v>140670</v>
      </c>
      <c r="BI15" s="45" t="s">
        <v>24</v>
      </c>
      <c r="BJ15" s="4">
        <f>81360+44870</f>
        <v>126230</v>
      </c>
      <c r="BK15" s="45" t="s">
        <v>24</v>
      </c>
      <c r="BL15" s="1">
        <v>115959</v>
      </c>
      <c r="BM15" s="45" t="s">
        <v>24</v>
      </c>
      <c r="BN15" s="1">
        <v>123391</v>
      </c>
      <c r="BO15" s="45" t="s">
        <v>24</v>
      </c>
      <c r="BP15" s="1">
        <v>98393</v>
      </c>
      <c r="BQ15" s="45" t="s">
        <v>24</v>
      </c>
      <c r="BR15" s="1">
        <v>98000</v>
      </c>
      <c r="BS15" s="45" t="s">
        <v>24</v>
      </c>
      <c r="BT15" s="1">
        <v>98000</v>
      </c>
    </row>
    <row r="16" spans="1:72" ht="12.95" hidden="1" customHeight="1" x14ac:dyDescent="0.2">
      <c r="B16" s="1" t="s">
        <v>31</v>
      </c>
      <c r="F16" s="1">
        <v>0</v>
      </c>
      <c r="I16" s="1">
        <v>0</v>
      </c>
      <c r="L16" s="1">
        <v>0</v>
      </c>
      <c r="O16" s="1">
        <v>0</v>
      </c>
      <c r="R16" s="1">
        <v>0</v>
      </c>
      <c r="AA16" s="44">
        <f>S16</f>
        <v>0</v>
      </c>
      <c r="AB16" s="1">
        <f>X16</f>
        <v>0</v>
      </c>
      <c r="AK16" s="44"/>
      <c r="AN16" s="4"/>
      <c r="AQ16" s="4"/>
      <c r="AT16" s="4"/>
      <c r="AU16" s="4"/>
      <c r="AW16" s="4"/>
      <c r="AZ16" s="4"/>
      <c r="BC16" s="4"/>
      <c r="BF16" s="4"/>
      <c r="BH16" s="4"/>
      <c r="BJ16" s="4"/>
    </row>
    <row r="17" spans="1:72" ht="12.95" customHeight="1" x14ac:dyDescent="0.2">
      <c r="B17" s="1" t="s">
        <v>32</v>
      </c>
      <c r="F17" s="1">
        <v>0</v>
      </c>
      <c r="I17" s="1">
        <v>0</v>
      </c>
      <c r="L17" s="1">
        <v>0</v>
      </c>
      <c r="O17" s="1">
        <v>54422</v>
      </c>
      <c r="R17" s="1">
        <v>51598</v>
      </c>
      <c r="U17" s="1">
        <v>55052</v>
      </c>
      <c r="X17" s="1">
        <v>47211</v>
      </c>
      <c r="AA17" s="44">
        <v>44975</v>
      </c>
      <c r="AB17" s="1">
        <v>61582</v>
      </c>
      <c r="AE17" s="1">
        <v>54977</v>
      </c>
      <c r="AH17" s="1">
        <v>49646</v>
      </c>
      <c r="AK17" s="44">
        <v>55120</v>
      </c>
      <c r="AN17" s="4">
        <v>68975</v>
      </c>
      <c r="AQ17" s="4">
        <v>64144</v>
      </c>
      <c r="AT17" s="4">
        <v>66084</v>
      </c>
      <c r="AU17" s="4"/>
      <c r="AW17" s="4">
        <v>77059</v>
      </c>
      <c r="AZ17" s="4">
        <v>60350</v>
      </c>
      <c r="BC17" s="4">
        <v>74084</v>
      </c>
      <c r="BF17" s="4">
        <v>78184</v>
      </c>
      <c r="BH17" s="4">
        <v>72411</v>
      </c>
      <c r="BJ17" s="4">
        <v>76105</v>
      </c>
      <c r="BL17" s="1">
        <v>86420</v>
      </c>
      <c r="BN17" s="1">
        <v>95350</v>
      </c>
      <c r="BP17" s="1">
        <v>98769</v>
      </c>
      <c r="BR17" s="1">
        <v>109000</v>
      </c>
      <c r="BT17" s="1">
        <v>109000</v>
      </c>
    </row>
    <row r="18" spans="1:72" ht="12.95" customHeight="1" x14ac:dyDescent="0.2">
      <c r="B18" s="1" t="s">
        <v>33</v>
      </c>
      <c r="F18" s="1">
        <v>3048</v>
      </c>
      <c r="I18" s="1">
        <v>2303</v>
      </c>
      <c r="L18" s="1">
        <v>1383</v>
      </c>
      <c r="O18" s="1">
        <v>1268</v>
      </c>
      <c r="R18" s="1">
        <v>1260</v>
      </c>
      <c r="U18" s="1">
        <v>875</v>
      </c>
      <c r="X18" s="1">
        <v>840</v>
      </c>
      <c r="AA18" s="44">
        <v>600</v>
      </c>
      <c r="AB18" s="1">
        <v>825</v>
      </c>
      <c r="AE18" s="1">
        <v>450</v>
      </c>
      <c r="AH18" s="1">
        <v>240</v>
      </c>
      <c r="AK18" s="44">
        <v>2595</v>
      </c>
      <c r="AN18" s="4">
        <v>2010</v>
      </c>
      <c r="AQ18" s="4">
        <v>1755</v>
      </c>
      <c r="AT18" s="4">
        <v>1290</v>
      </c>
      <c r="AU18" s="4"/>
      <c r="AW18" s="4">
        <v>1020</v>
      </c>
      <c r="AZ18" s="4">
        <v>1750</v>
      </c>
      <c r="BC18" s="4">
        <v>585</v>
      </c>
      <c r="BF18" s="4">
        <v>1095</v>
      </c>
      <c r="BH18" s="4">
        <v>630</v>
      </c>
      <c r="BJ18" s="4">
        <v>405</v>
      </c>
      <c r="BL18" s="1">
        <v>945</v>
      </c>
      <c r="BN18" s="1">
        <v>1185</v>
      </c>
      <c r="BP18" s="1">
        <v>375</v>
      </c>
    </row>
    <row r="19" spans="1:72" x14ac:dyDescent="0.2">
      <c r="B19" s="1" t="s">
        <v>34</v>
      </c>
      <c r="F19" s="1">
        <v>25804</v>
      </c>
      <c r="I19" s="1">
        <v>26406</v>
      </c>
      <c r="L19" s="1">
        <v>24031</v>
      </c>
      <c r="O19" s="1">
        <v>26005</v>
      </c>
      <c r="R19" s="1">
        <v>24580</v>
      </c>
      <c r="U19" s="1">
        <v>24846</v>
      </c>
      <c r="X19" s="1">
        <v>24838</v>
      </c>
      <c r="AA19" s="44">
        <v>28814</v>
      </c>
      <c r="AB19" s="1">
        <v>31812</v>
      </c>
      <c r="AE19" s="1">
        <v>31580</v>
      </c>
      <c r="AH19" s="1">
        <v>32010</v>
      </c>
      <c r="AK19" s="44">
        <v>30005</v>
      </c>
      <c r="AN19" s="4">
        <v>32710</v>
      </c>
      <c r="AQ19" s="4">
        <v>33690</v>
      </c>
      <c r="AT19" s="4">
        <v>34765</v>
      </c>
      <c r="AU19" s="4"/>
      <c r="AW19" s="4">
        <v>36135</v>
      </c>
      <c r="AZ19" s="4">
        <v>38225</v>
      </c>
      <c r="BC19" s="4">
        <v>37435</v>
      </c>
      <c r="BF19" s="4">
        <v>37680</v>
      </c>
      <c r="BH19" s="4">
        <v>35355</v>
      </c>
      <c r="BJ19" s="4">
        <v>36725</v>
      </c>
      <c r="BL19" s="1">
        <v>38395</v>
      </c>
      <c r="BN19" s="1">
        <v>38140</v>
      </c>
      <c r="BP19" s="1">
        <v>37685</v>
      </c>
      <c r="BR19" s="1">
        <v>38000</v>
      </c>
      <c r="BT19" s="1">
        <v>38000</v>
      </c>
    </row>
    <row r="20" spans="1:72" hidden="1" x14ac:dyDescent="0.2">
      <c r="B20" s="1" t="s">
        <v>35</v>
      </c>
      <c r="F20" s="1">
        <v>0</v>
      </c>
      <c r="I20" s="1">
        <v>0</v>
      </c>
      <c r="L20" s="1">
        <v>0</v>
      </c>
      <c r="O20" s="1">
        <v>0</v>
      </c>
      <c r="R20" s="1">
        <v>0</v>
      </c>
      <c r="U20" s="1">
        <v>0</v>
      </c>
      <c r="AA20" s="44">
        <f>S20</f>
        <v>0</v>
      </c>
      <c r="AB20" s="1">
        <f>X20</f>
        <v>0</v>
      </c>
      <c r="AE20" s="1">
        <f>AB20</f>
        <v>0</v>
      </c>
      <c r="AH20" s="1">
        <f>AE20</f>
        <v>0</v>
      </c>
      <c r="AK20" s="44"/>
      <c r="AN20" s="4"/>
    </row>
    <row r="21" spans="1:72" ht="12.95" hidden="1" customHeight="1" x14ac:dyDescent="0.2">
      <c r="B21" s="1" t="s">
        <v>36</v>
      </c>
      <c r="F21" s="1">
        <v>47966</v>
      </c>
      <c r="I21" s="1">
        <v>45099</v>
      </c>
      <c r="L21" s="1">
        <v>51948</v>
      </c>
      <c r="X21" s="1">
        <f>U21</f>
        <v>0</v>
      </c>
      <c r="AA21" s="44">
        <f>S21</f>
        <v>0</v>
      </c>
      <c r="AB21" s="1">
        <f>X21</f>
        <v>0</v>
      </c>
      <c r="AE21" s="1">
        <f>AB21</f>
        <v>0</v>
      </c>
      <c r="AH21" s="1">
        <f>AE21</f>
        <v>0</v>
      </c>
      <c r="AK21" s="44"/>
      <c r="AN21" s="4"/>
    </row>
    <row r="22" spans="1:72" x14ac:dyDescent="0.2">
      <c r="A22" s="48"/>
      <c r="D22" s="1" t="s">
        <v>37</v>
      </c>
      <c r="E22" s="45" t="s">
        <v>24</v>
      </c>
      <c r="F22" s="49">
        <f>SUM(F15:F21)</f>
        <v>171268</v>
      </c>
      <c r="H22" s="45" t="s">
        <v>24</v>
      </c>
      <c r="I22" s="49">
        <f>SUM(I15:I21)</f>
        <v>175705</v>
      </c>
      <c r="K22" s="45" t="s">
        <v>24</v>
      </c>
      <c r="L22" s="49">
        <f>SUM(L15:L21)</f>
        <v>167884</v>
      </c>
      <c r="N22" s="45" t="s">
        <v>24</v>
      </c>
      <c r="O22" s="49">
        <f>SUM(O15:O21)</f>
        <v>196945</v>
      </c>
      <c r="Q22" s="45" t="s">
        <v>24</v>
      </c>
      <c r="R22" s="49">
        <f>SUM(R15:R21)</f>
        <v>214001</v>
      </c>
      <c r="T22" s="45" t="s">
        <v>24</v>
      </c>
      <c r="U22" s="49">
        <f>SUM(U15:U21)</f>
        <v>217770</v>
      </c>
      <c r="W22" s="45" t="s">
        <v>24</v>
      </c>
      <c r="X22" s="49">
        <f>SUM(X15:X21)</f>
        <v>208895</v>
      </c>
      <c r="Z22" s="45" t="s">
        <v>24</v>
      </c>
      <c r="AA22" s="50">
        <f>SUM(AA15:AA21)</f>
        <v>217629</v>
      </c>
      <c r="AB22" s="49">
        <f>SUM(AB15:AB21)</f>
        <v>238699</v>
      </c>
      <c r="AD22" s="45" t="s">
        <v>24</v>
      </c>
      <c r="AE22" s="49">
        <f>SUM(AE15:AE21)</f>
        <v>243881</v>
      </c>
      <c r="AG22" s="45" t="s">
        <v>24</v>
      </c>
      <c r="AH22" s="49">
        <f>SUM(AH15:AH21)</f>
        <v>258752</v>
      </c>
      <c r="AJ22" s="45" t="s">
        <v>24</v>
      </c>
      <c r="AK22" s="50">
        <f>SUM(AK15:AK21)</f>
        <v>256575</v>
      </c>
      <c r="AM22" s="45" t="s">
        <v>24</v>
      </c>
      <c r="AN22" s="6">
        <f>SUM(AN15:AN21)</f>
        <v>289620</v>
      </c>
      <c r="AP22" s="45" t="s">
        <v>24</v>
      </c>
      <c r="AQ22" s="49">
        <f>SUM(AQ15:AQ21)</f>
        <v>272414</v>
      </c>
      <c r="AS22" s="45" t="s">
        <v>24</v>
      </c>
      <c r="AT22" s="49">
        <f>SUM(AT15:AT21)</f>
        <v>265634</v>
      </c>
      <c r="AV22" s="45" t="s">
        <v>24</v>
      </c>
      <c r="AW22" s="49">
        <f>SUM(AW15:AW21)</f>
        <v>266007</v>
      </c>
      <c r="AY22" s="45" t="s">
        <v>24</v>
      </c>
      <c r="AZ22" s="49">
        <f>SUM(AZ15:AZ21)</f>
        <v>253419</v>
      </c>
      <c r="BB22" s="45" t="s">
        <v>24</v>
      </c>
      <c r="BC22" s="49">
        <f>SUM(BC15:BC21)</f>
        <v>251144</v>
      </c>
      <c r="BE22" s="45" t="s">
        <v>24</v>
      </c>
      <c r="BF22" s="49">
        <f>SUM(BF15:BF21)</f>
        <v>257684</v>
      </c>
      <c r="BG22" s="45" t="s">
        <v>24</v>
      </c>
      <c r="BH22" s="49">
        <f>SUM(BH15:BH21)</f>
        <v>249066</v>
      </c>
      <c r="BI22" s="45" t="s">
        <v>24</v>
      </c>
      <c r="BJ22" s="49">
        <f>SUM(BJ15:BJ21)</f>
        <v>239465</v>
      </c>
      <c r="BK22" s="45" t="s">
        <v>24</v>
      </c>
      <c r="BL22" s="49">
        <f>SUM(BL15:BL21)</f>
        <v>241719</v>
      </c>
      <c r="BM22" s="45" t="s">
        <v>24</v>
      </c>
      <c r="BN22" s="49">
        <f>SUM(BN15:BN21)</f>
        <v>258066</v>
      </c>
      <c r="BO22" s="45" t="s">
        <v>24</v>
      </c>
      <c r="BP22" s="49">
        <f>SUM(BP15:BP21)</f>
        <v>235222</v>
      </c>
      <c r="BQ22" s="45" t="s">
        <v>24</v>
      </c>
      <c r="BR22" s="49">
        <f>SUM(BR15:BR21)</f>
        <v>245000</v>
      </c>
      <c r="BS22" s="45" t="s">
        <v>24</v>
      </c>
      <c r="BT22" s="49">
        <f>SUM(BT15:BT21)</f>
        <v>245000</v>
      </c>
    </row>
    <row r="23" spans="1:72" ht="12.95" customHeight="1" x14ac:dyDescent="0.2">
      <c r="A23" s="1" t="s">
        <v>38</v>
      </c>
      <c r="AA23" s="44"/>
      <c r="AK23" s="44"/>
      <c r="AN23" s="4"/>
    </row>
    <row r="24" spans="1:72" ht="12.95" customHeight="1" x14ac:dyDescent="0.2">
      <c r="B24" s="1" t="s">
        <v>39</v>
      </c>
      <c r="AA24" s="44"/>
      <c r="AK24" s="44"/>
      <c r="AN24" s="4"/>
    </row>
    <row r="25" spans="1:72" ht="12.95" customHeight="1" x14ac:dyDescent="0.2">
      <c r="C25" s="1" t="s">
        <v>40</v>
      </c>
      <c r="E25" s="45" t="s">
        <v>24</v>
      </c>
      <c r="F25" s="1">
        <v>0</v>
      </c>
      <c r="H25" s="45" t="s">
        <v>24</v>
      </c>
      <c r="I25" s="1">
        <v>0</v>
      </c>
      <c r="K25" s="45" t="s">
        <v>24</v>
      </c>
      <c r="L25" s="1">
        <v>0</v>
      </c>
      <c r="N25" s="45" t="s">
        <v>24</v>
      </c>
      <c r="O25" s="1">
        <v>0</v>
      </c>
      <c r="Q25" s="45" t="s">
        <v>24</v>
      </c>
      <c r="R25" s="1">
        <v>0</v>
      </c>
      <c r="T25" s="45" t="s">
        <v>24</v>
      </c>
      <c r="U25" s="1">
        <v>0</v>
      </c>
      <c r="W25" s="45" t="s">
        <v>24</v>
      </c>
      <c r="X25" s="1">
        <f>U25</f>
        <v>0</v>
      </c>
      <c r="Z25" s="45" t="s">
        <v>24</v>
      </c>
      <c r="AA25" s="44"/>
      <c r="AB25" s="1">
        <f>X25</f>
        <v>0</v>
      </c>
      <c r="AD25" s="45" t="s">
        <v>24</v>
      </c>
      <c r="AE25" s="1">
        <f>AB25</f>
        <v>0</v>
      </c>
      <c r="AG25" s="45" t="s">
        <v>24</v>
      </c>
      <c r="AH25" s="1">
        <f>AE25</f>
        <v>0</v>
      </c>
      <c r="AJ25" s="45" t="s">
        <v>24</v>
      </c>
      <c r="AK25" s="44"/>
      <c r="AM25" s="45" t="s">
        <v>24</v>
      </c>
      <c r="AN25" s="4"/>
      <c r="AP25" s="45" t="s">
        <v>24</v>
      </c>
      <c r="AS25" s="45" t="s">
        <v>24</v>
      </c>
      <c r="AV25" s="45" t="s">
        <v>24</v>
      </c>
      <c r="AY25" s="45" t="s">
        <v>24</v>
      </c>
      <c r="BB25" s="45" t="s">
        <v>24</v>
      </c>
      <c r="BE25" s="45" t="s">
        <v>24</v>
      </c>
      <c r="BG25" s="45" t="s">
        <v>24</v>
      </c>
      <c r="BI25" s="45" t="s">
        <v>24</v>
      </c>
      <c r="BK25" s="45" t="s">
        <v>24</v>
      </c>
      <c r="BM25" s="45" t="s">
        <v>24</v>
      </c>
      <c r="BO25" s="45" t="s">
        <v>24</v>
      </c>
      <c r="BQ25" s="45" t="s">
        <v>24</v>
      </c>
      <c r="BS25" s="45" t="s">
        <v>24</v>
      </c>
    </row>
    <row r="26" spans="1:72" hidden="1" x14ac:dyDescent="0.2">
      <c r="B26" s="1" t="s">
        <v>41</v>
      </c>
      <c r="X26" s="1">
        <f>U26</f>
        <v>0</v>
      </c>
      <c r="AA26" s="44"/>
      <c r="AB26" s="1">
        <f>X26</f>
        <v>0</v>
      </c>
      <c r="AE26" s="1">
        <f>AB26</f>
        <v>0</v>
      </c>
      <c r="AH26" s="1">
        <f>AE26</f>
        <v>0</v>
      </c>
      <c r="AK26" s="44"/>
      <c r="AN26" s="4"/>
    </row>
    <row r="27" spans="1:72" ht="12.95" hidden="1" customHeight="1" x14ac:dyDescent="0.2">
      <c r="B27" s="1" t="s">
        <v>42</v>
      </c>
      <c r="X27" s="1">
        <f>U27</f>
        <v>0</v>
      </c>
      <c r="AA27" s="44"/>
      <c r="AB27" s="1">
        <f>X27</f>
        <v>0</v>
      </c>
      <c r="AE27" s="1">
        <f>AB27</f>
        <v>0</v>
      </c>
      <c r="AH27" s="1">
        <f>AE27</f>
        <v>0</v>
      </c>
      <c r="AK27" s="44"/>
      <c r="AN27" s="4"/>
    </row>
    <row r="28" spans="1:72" ht="12.95" customHeight="1" x14ac:dyDescent="0.2">
      <c r="B28" s="1" t="s">
        <v>43</v>
      </c>
      <c r="X28" s="1">
        <f>U28</f>
        <v>0</v>
      </c>
      <c r="AA28" s="44"/>
      <c r="AB28" s="1">
        <f>X28</f>
        <v>0</v>
      </c>
      <c r="AH28" s="1">
        <f>AE28</f>
        <v>0</v>
      </c>
      <c r="AK28" s="44"/>
      <c r="AN28" s="4"/>
    </row>
    <row r="29" spans="1:72" x14ac:dyDescent="0.2">
      <c r="C29" s="1" t="s">
        <v>44</v>
      </c>
      <c r="F29" s="1">
        <v>43308</v>
      </c>
      <c r="I29" s="1">
        <v>63202</v>
      </c>
      <c r="L29" s="1">
        <v>82535</v>
      </c>
      <c r="O29" s="1">
        <v>111152</v>
      </c>
      <c r="R29" s="1">
        <v>153306</v>
      </c>
      <c r="U29" s="1">
        <v>138811</v>
      </c>
      <c r="X29" s="1">
        <f>167123-439</f>
        <v>166684</v>
      </c>
      <c r="AA29" s="44">
        <v>214757</v>
      </c>
      <c r="AB29" s="1">
        <v>155825</v>
      </c>
      <c r="AE29" s="1">
        <v>121677</v>
      </c>
      <c r="AH29" s="1">
        <v>145408</v>
      </c>
      <c r="AK29" s="44">
        <v>183174</v>
      </c>
      <c r="AN29" s="4">
        <v>186920</v>
      </c>
      <c r="AQ29" s="4">
        <v>176179</v>
      </c>
      <c r="AT29" s="4">
        <v>165272</v>
      </c>
      <c r="AU29" s="4"/>
      <c r="AW29" s="4">
        <v>141085</v>
      </c>
      <c r="AZ29" s="4">
        <v>177638</v>
      </c>
      <c r="BC29" s="4">
        <v>173189</v>
      </c>
      <c r="BF29" s="4">
        <v>227058</v>
      </c>
      <c r="BH29" s="4">
        <v>268516</v>
      </c>
      <c r="BJ29" s="4">
        <v>332475</v>
      </c>
      <c r="BL29" s="1">
        <v>411743</v>
      </c>
      <c r="BN29" s="1">
        <v>446569</v>
      </c>
      <c r="BP29" s="1">
        <v>366629</v>
      </c>
      <c r="BR29" s="1">
        <v>350000</v>
      </c>
      <c r="BT29" s="1">
        <v>350000</v>
      </c>
    </row>
    <row r="30" spans="1:72" x14ac:dyDescent="0.2">
      <c r="C30" s="1" t="s">
        <v>45</v>
      </c>
      <c r="F30" s="1">
        <v>-23308</v>
      </c>
      <c r="I30" s="1">
        <v>-43202</v>
      </c>
      <c r="L30" s="1">
        <v>-62535</v>
      </c>
      <c r="O30" s="1">
        <v>-91152</v>
      </c>
      <c r="R30" s="1">
        <v>-133306</v>
      </c>
      <c r="U30" s="1">
        <v>-118811</v>
      </c>
      <c r="X30" s="1">
        <v>-146684</v>
      </c>
      <c r="AA30" s="44">
        <v>-194757</v>
      </c>
      <c r="AB30" s="1">
        <v>-135825</v>
      </c>
      <c r="AE30" s="1">
        <v>-101677</v>
      </c>
      <c r="AH30" s="1">
        <v>-125408</v>
      </c>
      <c r="AK30" s="44">
        <v>-163174</v>
      </c>
      <c r="AN30" s="4">
        <v>-166920</v>
      </c>
      <c r="AQ30" s="4">
        <v>-156179</v>
      </c>
      <c r="AT30" s="4">
        <v>-145272</v>
      </c>
      <c r="AU30" s="4"/>
      <c r="AW30" s="4">
        <v>-121085</v>
      </c>
      <c r="AZ30" s="4">
        <v>-157638</v>
      </c>
      <c r="BC30" s="4">
        <v>-153189</v>
      </c>
      <c r="BF30" s="4">
        <v>-207058</v>
      </c>
      <c r="BH30" s="4">
        <v>-248516</v>
      </c>
      <c r="BJ30" s="4">
        <v>-312475</v>
      </c>
      <c r="BL30" s="1">
        <f>-411743+20000</f>
        <v>-391743</v>
      </c>
      <c r="BN30" s="1">
        <v>-426569</v>
      </c>
      <c r="BP30" s="1">
        <v>-346629</v>
      </c>
      <c r="BR30" s="1">
        <v>-330000</v>
      </c>
      <c r="BT30" s="1">
        <v>-330000</v>
      </c>
    </row>
    <row r="31" spans="1:72" x14ac:dyDescent="0.2">
      <c r="B31" s="1" t="s">
        <v>46</v>
      </c>
      <c r="F31" s="1">
        <v>305903</v>
      </c>
      <c r="G31" s="51"/>
      <c r="I31" s="1">
        <v>290381</v>
      </c>
      <c r="J31" s="51"/>
      <c r="L31" s="1">
        <v>254550</v>
      </c>
      <c r="M31" s="51"/>
      <c r="O31" s="1">
        <v>257963</v>
      </c>
      <c r="P31" s="51"/>
      <c r="R31" s="1">
        <v>301073</v>
      </c>
      <c r="S31" s="51"/>
      <c r="U31" s="1">
        <v>339621</v>
      </c>
      <c r="V31" s="51"/>
      <c r="X31" s="1">
        <v>388013</v>
      </c>
      <c r="AA31" s="44">
        <v>602662</v>
      </c>
      <c r="AB31" s="1">
        <v>604405</v>
      </c>
      <c r="AC31" s="51"/>
      <c r="AE31" s="1">
        <v>689213</v>
      </c>
      <c r="AF31" s="51"/>
      <c r="AH31" s="1">
        <v>643982</v>
      </c>
      <c r="AK31" s="44">
        <v>704951</v>
      </c>
      <c r="AL31" s="51"/>
      <c r="AN31" s="4">
        <v>651261</v>
      </c>
      <c r="AO31" s="51"/>
      <c r="AQ31" s="4">
        <v>589252</v>
      </c>
      <c r="AR31" s="51"/>
      <c r="AT31" s="4">
        <v>568268</v>
      </c>
      <c r="AU31" s="4"/>
      <c r="AW31" s="4">
        <v>606114</v>
      </c>
      <c r="AX31" s="51"/>
      <c r="AZ31" s="4">
        <v>656640</v>
      </c>
      <c r="BA31" s="51"/>
      <c r="BC31" s="4">
        <v>632204</v>
      </c>
      <c r="BD31" s="51"/>
      <c r="BF31" s="4">
        <v>636093</v>
      </c>
      <c r="BH31" s="4">
        <v>721038</v>
      </c>
      <c r="BJ31" s="4">
        <v>656956</v>
      </c>
      <c r="BL31" s="1">
        <v>429444</v>
      </c>
      <c r="BN31" s="1">
        <v>483349</v>
      </c>
      <c r="BP31" s="1">
        <v>468401</v>
      </c>
      <c r="BR31" s="1">
        <v>460000</v>
      </c>
      <c r="BT31" s="1">
        <v>460000</v>
      </c>
    </row>
    <row r="32" spans="1:72" hidden="1" x14ac:dyDescent="0.2">
      <c r="B32" s="1" t="s">
        <v>47</v>
      </c>
      <c r="G32" s="51"/>
      <c r="J32" s="51"/>
      <c r="M32" s="51"/>
      <c r="P32" s="51"/>
      <c r="S32" s="51"/>
      <c r="V32" s="51"/>
      <c r="AA32" s="44">
        <f>S32</f>
        <v>0</v>
      </c>
      <c r="AB32" s="1">
        <f>X32</f>
        <v>0</v>
      </c>
      <c r="AC32" s="51"/>
      <c r="AF32" s="51"/>
      <c r="AK32" s="44"/>
      <c r="AL32" s="51"/>
      <c r="AN32" s="4"/>
      <c r="AO32" s="51"/>
      <c r="AQ32" s="4"/>
      <c r="AR32" s="51"/>
      <c r="AT32" s="4"/>
      <c r="AU32" s="4"/>
      <c r="AW32" s="4"/>
      <c r="AX32" s="51"/>
      <c r="AZ32" s="4"/>
      <c r="BA32" s="51"/>
      <c r="BC32" s="4"/>
      <c r="BD32" s="51"/>
      <c r="BF32" s="4"/>
      <c r="BH32" s="4"/>
      <c r="BJ32" s="4"/>
    </row>
    <row r="33" spans="1:72" hidden="1" x14ac:dyDescent="0.2">
      <c r="AA33" s="44">
        <f>S33</f>
        <v>0</v>
      </c>
      <c r="AB33" s="1">
        <f>X33</f>
        <v>0</v>
      </c>
      <c r="AK33" s="44"/>
      <c r="AN33" s="4"/>
      <c r="AQ33" s="4"/>
      <c r="AT33" s="4"/>
      <c r="AU33" s="4"/>
      <c r="AW33" s="4"/>
      <c r="AZ33" s="4"/>
      <c r="BC33" s="4"/>
      <c r="BF33" s="4"/>
      <c r="BH33" s="4"/>
      <c r="BJ33" s="4"/>
    </row>
    <row r="34" spans="1:72" ht="12.95" hidden="1" customHeight="1" x14ac:dyDescent="0.2">
      <c r="B34" s="1" t="s">
        <v>48</v>
      </c>
      <c r="F34" s="1">
        <v>2800</v>
      </c>
      <c r="I34" s="1">
        <v>2775</v>
      </c>
      <c r="L34" s="1">
        <v>2700</v>
      </c>
      <c r="O34" s="1">
        <v>0</v>
      </c>
      <c r="R34" s="1">
        <v>0</v>
      </c>
      <c r="AA34" s="44">
        <f>S34</f>
        <v>0</v>
      </c>
      <c r="AB34" s="1">
        <f>X34</f>
        <v>0</v>
      </c>
      <c r="AK34" s="44"/>
      <c r="AN34" s="4"/>
      <c r="AQ34" s="4"/>
      <c r="AT34" s="4"/>
      <c r="AU34" s="4"/>
      <c r="AW34" s="4"/>
      <c r="AZ34" s="4"/>
      <c r="BC34" s="4"/>
      <c r="BF34" s="4"/>
      <c r="BH34" s="4"/>
      <c r="BJ34" s="4"/>
    </row>
    <row r="35" spans="1:72" ht="12.95" hidden="1" customHeight="1" x14ac:dyDescent="0.2">
      <c r="B35" s="1" t="s">
        <v>49</v>
      </c>
      <c r="O35" s="1">
        <v>0</v>
      </c>
      <c r="R35" s="1">
        <v>0</v>
      </c>
      <c r="AA35" s="44">
        <f>S35</f>
        <v>0</v>
      </c>
      <c r="AB35" s="1">
        <f>X35</f>
        <v>0</v>
      </c>
      <c r="AK35" s="44"/>
      <c r="AN35" s="4"/>
      <c r="AQ35" s="4"/>
      <c r="AT35" s="4"/>
      <c r="AU35" s="4"/>
      <c r="AW35" s="4"/>
      <c r="AZ35" s="4"/>
      <c r="BC35" s="4"/>
      <c r="BF35" s="4"/>
      <c r="BH35" s="4"/>
      <c r="BJ35" s="4"/>
    </row>
    <row r="36" spans="1:72" ht="12.95" hidden="1" customHeight="1" x14ac:dyDescent="0.2">
      <c r="B36" s="1" t="s">
        <v>50</v>
      </c>
      <c r="O36" s="1">
        <v>0</v>
      </c>
      <c r="R36" s="1">
        <v>0</v>
      </c>
      <c r="AA36" s="44">
        <f>S36</f>
        <v>0</v>
      </c>
      <c r="AB36" s="1">
        <f>X36</f>
        <v>0</v>
      </c>
      <c r="AK36" s="44"/>
      <c r="AN36" s="4"/>
      <c r="AQ36" s="4"/>
      <c r="AT36" s="4"/>
      <c r="AU36" s="4"/>
      <c r="AW36" s="4"/>
      <c r="AZ36" s="4"/>
      <c r="BC36" s="4"/>
      <c r="BF36" s="4"/>
      <c r="BH36" s="4"/>
      <c r="BJ36" s="4"/>
    </row>
    <row r="37" spans="1:72" x14ac:dyDescent="0.2">
      <c r="B37" s="1" t="s">
        <v>51</v>
      </c>
      <c r="F37" s="1">
        <v>195411</v>
      </c>
      <c r="I37" s="1">
        <v>193884</v>
      </c>
      <c r="L37" s="1">
        <v>229426</v>
      </c>
      <c r="O37" s="1">
        <v>182125</v>
      </c>
      <c r="R37" s="1">
        <v>549423</v>
      </c>
      <c r="U37" s="1">
        <v>554481</v>
      </c>
      <c r="X37" s="1">
        <v>719552</v>
      </c>
      <c r="AA37" s="44">
        <v>743637</v>
      </c>
      <c r="AB37" s="1">
        <v>894110</v>
      </c>
      <c r="AE37" s="1">
        <v>872232</v>
      </c>
      <c r="AH37" s="1">
        <v>890300</v>
      </c>
      <c r="AK37" s="44">
        <v>852548</v>
      </c>
      <c r="AN37" s="4">
        <v>863042</v>
      </c>
      <c r="AQ37" s="4">
        <v>1006460</v>
      </c>
      <c r="AT37" s="4">
        <v>1085750</v>
      </c>
      <c r="AU37" s="4"/>
      <c r="AW37" s="4">
        <v>1046159</v>
      </c>
      <c r="AZ37" s="4">
        <v>1156611</v>
      </c>
      <c r="BC37" s="4">
        <v>1215687</v>
      </c>
      <c r="BF37" s="4">
        <v>1255162</v>
      </c>
      <c r="BH37" s="4">
        <v>1327380</v>
      </c>
      <c r="BJ37" s="4">
        <v>1450083</v>
      </c>
      <c r="BL37" s="1">
        <v>1606815</v>
      </c>
      <c r="BN37" s="1">
        <v>1758298</v>
      </c>
      <c r="BP37" s="1">
        <v>1855263</v>
      </c>
    </row>
    <row r="38" spans="1:72" x14ac:dyDescent="0.2">
      <c r="B38" s="1" t="s">
        <v>52</v>
      </c>
      <c r="F38" s="1">
        <v>-195411</v>
      </c>
      <c r="I38" s="1">
        <v>-193884</v>
      </c>
      <c r="L38" s="1">
        <v>-229426</v>
      </c>
      <c r="O38" s="1">
        <v>-182125</v>
      </c>
      <c r="R38" s="1">
        <v>-549423</v>
      </c>
      <c r="U38" s="1">
        <v>-554481</v>
      </c>
      <c r="X38" s="1">
        <v>-719552</v>
      </c>
      <c r="AA38" s="44">
        <v>-743637</v>
      </c>
      <c r="AB38" s="1">
        <v>-894110</v>
      </c>
      <c r="AE38" s="1">
        <v>-872232</v>
      </c>
      <c r="AH38" s="1">
        <v>-890300</v>
      </c>
      <c r="AK38" s="44">
        <v>-852548</v>
      </c>
      <c r="AN38" s="4">
        <v>-863042</v>
      </c>
      <c r="AQ38" s="4">
        <v>-1006460</v>
      </c>
      <c r="AT38" s="4">
        <v>-1085750</v>
      </c>
      <c r="AU38" s="4"/>
      <c r="AW38" s="4">
        <v>-1046159</v>
      </c>
      <c r="AZ38" s="4">
        <v>-1156611</v>
      </c>
      <c r="BC38" s="4">
        <v>-1215687</v>
      </c>
      <c r="BF38" s="4">
        <v>-1255162</v>
      </c>
      <c r="BH38" s="4">
        <v>-1327380</v>
      </c>
      <c r="BJ38" s="4">
        <v>-1450083</v>
      </c>
      <c r="BL38" s="1">
        <v>-1606815</v>
      </c>
      <c r="BN38" s="1">
        <v>-1758298</v>
      </c>
      <c r="BP38" s="1">
        <v>-1855263</v>
      </c>
    </row>
    <row r="39" spans="1:72" x14ac:dyDescent="0.2">
      <c r="B39" s="1" t="s">
        <v>53</v>
      </c>
      <c r="F39" s="1">
        <v>162980</v>
      </c>
      <c r="I39" s="1">
        <v>100098</v>
      </c>
      <c r="L39" s="1">
        <v>78461</v>
      </c>
      <c r="O39" s="1">
        <v>70988</v>
      </c>
      <c r="R39" s="1">
        <f>71090+30+2046+5776</f>
        <v>78942</v>
      </c>
      <c r="U39" s="1">
        <v>73201</v>
      </c>
      <c r="X39" s="1">
        <f>74721+617</f>
        <v>75338</v>
      </c>
      <c r="AA39" s="44">
        <f>76551-37+1311</f>
        <v>77825</v>
      </c>
      <c r="AB39" s="1">
        <v>83322</v>
      </c>
      <c r="AE39" s="1">
        <f>65047+158+727</f>
        <v>65932</v>
      </c>
      <c r="AH39" s="1">
        <f>69747+752+1132</f>
        <v>71631</v>
      </c>
      <c r="AK39" s="44">
        <f>70746+429+760</f>
        <v>71935</v>
      </c>
      <c r="AN39" s="4">
        <f>62003+212+697</f>
        <v>62912</v>
      </c>
      <c r="AQ39" s="4">
        <v>68321</v>
      </c>
      <c r="AT39" s="4">
        <f>58817+26959+627</f>
        <v>86403</v>
      </c>
      <c r="AU39" s="4"/>
      <c r="AW39" s="4">
        <f>60053+35+745+4519</f>
        <v>65352</v>
      </c>
      <c r="AZ39" s="4">
        <v>61755</v>
      </c>
      <c r="BC39" s="4">
        <f>-3+63163+788-512+581</f>
        <v>64017</v>
      </c>
      <c r="BF39" s="4">
        <v>64935</v>
      </c>
      <c r="BH39" s="4">
        <f>65499+1085</f>
        <v>66584</v>
      </c>
      <c r="BJ39" s="4">
        <f>66275+44</f>
        <v>66319</v>
      </c>
      <c r="BL39" s="1">
        <v>66395</v>
      </c>
      <c r="BN39" s="1">
        <v>71179</v>
      </c>
      <c r="BP39" s="1">
        <v>75713</v>
      </c>
      <c r="BR39" s="1">
        <v>71000</v>
      </c>
      <c r="BT39" s="1">
        <v>71000</v>
      </c>
    </row>
    <row r="40" spans="1:72" x14ac:dyDescent="0.2">
      <c r="A40" s="7"/>
      <c r="B40" s="7"/>
      <c r="C40" s="7"/>
      <c r="D40" s="7" t="s">
        <v>54</v>
      </c>
      <c r="E40" s="45" t="s">
        <v>24</v>
      </c>
      <c r="F40" s="49">
        <f>SUM(F25:F39)</f>
        <v>491683</v>
      </c>
      <c r="H40" s="45" t="s">
        <v>24</v>
      </c>
      <c r="I40" s="49">
        <f>SUM(I25:I39)</f>
        <v>413254</v>
      </c>
      <c r="K40" s="45" t="s">
        <v>24</v>
      </c>
      <c r="L40" s="49">
        <f>SUM(L25:L39)</f>
        <v>355711</v>
      </c>
      <c r="N40" s="45" t="s">
        <v>24</v>
      </c>
      <c r="O40" s="49">
        <f>SUM(O25:O39)</f>
        <v>348951</v>
      </c>
      <c r="Q40" s="45" t="s">
        <v>24</v>
      </c>
      <c r="R40" s="49">
        <f>SUM(R25:R39)</f>
        <v>400015</v>
      </c>
      <c r="T40" s="45" t="s">
        <v>24</v>
      </c>
      <c r="U40" s="49">
        <f>SUM(U25:U39)</f>
        <v>432822</v>
      </c>
      <c r="W40" s="45" t="s">
        <v>24</v>
      </c>
      <c r="X40" s="49">
        <f>SUM(X25:X39)</f>
        <v>483351</v>
      </c>
      <c r="Z40" s="45" t="s">
        <v>24</v>
      </c>
      <c r="AA40" s="50">
        <f>SUM(AA25:AA39)</f>
        <v>700487</v>
      </c>
      <c r="AB40" s="49">
        <f>SUM(AB25:AB39)</f>
        <v>707727</v>
      </c>
      <c r="AD40" s="45" t="s">
        <v>24</v>
      </c>
      <c r="AE40" s="49">
        <f>SUM(AE25:AE39)</f>
        <v>775145</v>
      </c>
      <c r="AG40" s="45" t="s">
        <v>24</v>
      </c>
      <c r="AH40" s="49">
        <f>SUM(AH25:AH39)</f>
        <v>735613</v>
      </c>
      <c r="AJ40" s="45" t="s">
        <v>24</v>
      </c>
      <c r="AK40" s="50">
        <f>SUM(AK25:AK39)</f>
        <v>796886</v>
      </c>
      <c r="AM40" s="45" t="s">
        <v>24</v>
      </c>
      <c r="AN40" s="6">
        <f>SUM(AN25:AN39)</f>
        <v>734173</v>
      </c>
      <c r="AP40" s="45" t="s">
        <v>24</v>
      </c>
      <c r="AQ40" s="49">
        <f>SUM(AQ25:AQ39)</f>
        <v>677573</v>
      </c>
      <c r="AS40" s="45" t="s">
        <v>24</v>
      </c>
      <c r="AT40" s="49">
        <f>SUM(AT25:AT39)</f>
        <v>674671</v>
      </c>
      <c r="AV40" s="45" t="s">
        <v>24</v>
      </c>
      <c r="AW40" s="49">
        <f>SUM(AW25:AW39)</f>
        <v>691466</v>
      </c>
      <c r="AY40" s="45" t="s">
        <v>24</v>
      </c>
      <c r="AZ40" s="49">
        <f>SUM(AZ25:AZ39)</f>
        <v>738395</v>
      </c>
      <c r="BB40" s="45" t="s">
        <v>24</v>
      </c>
      <c r="BC40" s="49">
        <f>SUM(BC25:BC39)</f>
        <v>716221</v>
      </c>
      <c r="BE40" s="45" t="s">
        <v>24</v>
      </c>
      <c r="BF40" s="49">
        <f>SUM(BF25:BF39)</f>
        <v>721028</v>
      </c>
      <c r="BG40" s="45" t="s">
        <v>24</v>
      </c>
      <c r="BH40" s="49">
        <f>SUM(BH25:BH39)</f>
        <v>807622</v>
      </c>
      <c r="BI40" s="45" t="s">
        <v>24</v>
      </c>
      <c r="BJ40" s="49">
        <f>SUM(BJ25:BJ39)</f>
        <v>743275</v>
      </c>
      <c r="BK40" s="45" t="s">
        <v>24</v>
      </c>
      <c r="BL40" s="49">
        <f>SUM(BL25:BL39)</f>
        <v>515839</v>
      </c>
      <c r="BM40" s="45" t="s">
        <v>24</v>
      </c>
      <c r="BN40" s="49">
        <f>SUM(BN25:BN39)</f>
        <v>574528</v>
      </c>
      <c r="BO40" s="45" t="s">
        <v>24</v>
      </c>
      <c r="BP40" s="49">
        <f>SUM(BP25:BP39)</f>
        <v>564114</v>
      </c>
      <c r="BQ40" s="45" t="s">
        <v>24</v>
      </c>
      <c r="BR40" s="49">
        <f>SUM(BR25:BR39)</f>
        <v>551000</v>
      </c>
      <c r="BS40" s="45" t="s">
        <v>24</v>
      </c>
      <c r="BT40" s="49">
        <f>SUM(BT25:BT39)</f>
        <v>551000</v>
      </c>
    </row>
    <row r="41" spans="1:72" x14ac:dyDescent="0.2">
      <c r="A41" s="1" t="s">
        <v>55</v>
      </c>
      <c r="E41" s="45" t="s">
        <v>24</v>
      </c>
      <c r="F41" s="348">
        <f>F13+F22+F40</f>
        <v>11753692</v>
      </c>
      <c r="H41" s="45" t="s">
        <v>24</v>
      </c>
      <c r="I41" s="348">
        <f>I13+I22+I40</f>
        <v>12067742</v>
      </c>
      <c r="K41" s="45" t="s">
        <v>24</v>
      </c>
      <c r="L41" s="348">
        <f>L13+L22+L40</f>
        <v>13090663</v>
      </c>
      <c r="N41" s="45" t="s">
        <v>24</v>
      </c>
      <c r="O41" s="348">
        <f>O13+O22+O40</f>
        <v>14067809</v>
      </c>
      <c r="Q41" s="45" t="s">
        <v>24</v>
      </c>
      <c r="R41" s="348">
        <f>R13+R22+R40</f>
        <v>15828076</v>
      </c>
      <c r="T41" s="45" t="s">
        <v>24</v>
      </c>
      <c r="U41" s="348">
        <f>U13+U22+U40</f>
        <v>17645863</v>
      </c>
      <c r="W41" s="45" t="s">
        <v>24</v>
      </c>
      <c r="X41" s="348">
        <f>X13+X22+X40</f>
        <v>18712618</v>
      </c>
      <c r="Z41" s="45" t="s">
        <v>24</v>
      </c>
      <c r="AA41" s="349">
        <f>AA13+AA22+AA40</f>
        <v>20080992</v>
      </c>
      <c r="AB41" s="348">
        <f>AB13+AB22+AB40</f>
        <v>20731872</v>
      </c>
      <c r="AD41" s="45" t="s">
        <v>24</v>
      </c>
      <c r="AE41" s="348">
        <f>AE13+AE22+AE40</f>
        <v>22759631</v>
      </c>
      <c r="AG41" s="45" t="s">
        <v>24</v>
      </c>
      <c r="AH41" s="348">
        <f>AH13+AH22+AH40</f>
        <v>22874834</v>
      </c>
      <c r="AJ41" s="45" t="s">
        <v>24</v>
      </c>
      <c r="AK41" s="349">
        <f>AK13+AK22+AK40</f>
        <v>25784413</v>
      </c>
      <c r="AM41" s="45" t="s">
        <v>24</v>
      </c>
      <c r="AN41" s="350">
        <f>AN13+AN22+AN40</f>
        <v>28859714</v>
      </c>
      <c r="AP41" s="45" t="s">
        <v>24</v>
      </c>
      <c r="AQ41" s="348">
        <f>AQ13+AQ22+AQ40</f>
        <v>30101323</v>
      </c>
      <c r="AS41" s="45" t="s">
        <v>24</v>
      </c>
      <c r="AT41" s="348">
        <f>AT13+AT22+AT40</f>
        <v>30361713</v>
      </c>
      <c r="AV41" s="45" t="s">
        <v>24</v>
      </c>
      <c r="AW41" s="348">
        <f>AW13+AW22+AW40</f>
        <v>29879133</v>
      </c>
      <c r="AY41" s="45" t="s">
        <v>24</v>
      </c>
      <c r="AZ41" s="348">
        <f>AZ13+AZ22+AZ40</f>
        <v>29271271</v>
      </c>
      <c r="BB41" s="45" t="s">
        <v>24</v>
      </c>
      <c r="BC41" s="348">
        <f>BC13+BC22+BC40</f>
        <v>29552565</v>
      </c>
      <c r="BE41" s="45" t="s">
        <v>24</v>
      </c>
      <c r="BF41" s="348">
        <f>BF13+BF22+BF40</f>
        <v>29932989</v>
      </c>
      <c r="BG41" s="45" t="s">
        <v>24</v>
      </c>
      <c r="BH41" s="348">
        <f>BH13+BH22+BH40</f>
        <v>29815976.469999999</v>
      </c>
      <c r="BI41" s="45" t="s">
        <v>24</v>
      </c>
      <c r="BJ41" s="348">
        <f>BJ13+BJ22+BJ40</f>
        <v>30914221</v>
      </c>
      <c r="BK41" s="45" t="s">
        <v>24</v>
      </c>
      <c r="BL41" s="348">
        <f>BL13+BL22+BL40</f>
        <v>31476298</v>
      </c>
      <c r="BM41" s="45" t="s">
        <v>24</v>
      </c>
      <c r="BN41" s="348">
        <f>BN13+BN22+BN40</f>
        <v>30643148</v>
      </c>
      <c r="BO41" s="45" t="s">
        <v>24</v>
      </c>
      <c r="BP41" s="348">
        <f>BP13+BP22+BP40</f>
        <v>28415110</v>
      </c>
      <c r="BQ41" s="45" t="s">
        <v>24</v>
      </c>
      <c r="BR41" s="348">
        <f>BR13+BR22+BR40</f>
        <v>29637729</v>
      </c>
      <c r="BS41" s="45" t="s">
        <v>24</v>
      </c>
      <c r="BT41" s="348">
        <f>BT13+BT22+BT40</f>
        <v>29637729</v>
      </c>
    </row>
    <row r="42" spans="1:72" ht="12.95" customHeight="1" x14ac:dyDescent="0.2">
      <c r="A42" s="1" t="s">
        <v>56</v>
      </c>
      <c r="E42" s="45"/>
      <c r="H42" s="45"/>
      <c r="K42" s="45"/>
      <c r="N42" s="45"/>
      <c r="Q42" s="45"/>
      <c r="R42" s="1">
        <v>35147</v>
      </c>
      <c r="T42" s="45"/>
      <c r="U42" s="1">
        <v>1535188</v>
      </c>
      <c r="W42" s="45"/>
      <c r="X42" s="1">
        <v>264402</v>
      </c>
      <c r="Z42" s="45"/>
      <c r="AA42" s="44">
        <v>2879404</v>
      </c>
      <c r="AB42" s="1">
        <v>4024447</v>
      </c>
      <c r="AD42" s="45"/>
      <c r="AE42" s="1">
        <v>8336871</v>
      </c>
      <c r="AG42" s="45"/>
      <c r="AH42" s="1">
        <v>10596158</v>
      </c>
      <c r="AJ42" s="45"/>
      <c r="AK42" s="44">
        <v>13256603</v>
      </c>
      <c r="AM42" s="45"/>
      <c r="AN42" s="4">
        <v>15049966</v>
      </c>
      <c r="AP42" s="45"/>
      <c r="AQ42" s="1">
        <v>15599261</v>
      </c>
      <c r="AS42" s="45"/>
      <c r="AT42" s="1">
        <v>13131109</v>
      </c>
      <c r="AV42" s="45"/>
      <c r="AW42" s="1">
        <v>17241058</v>
      </c>
      <c r="AY42" s="45"/>
      <c r="AZ42" s="1">
        <v>16983363</v>
      </c>
      <c r="BB42" s="45"/>
      <c r="BC42" s="1">
        <v>18592197</v>
      </c>
      <c r="BE42" s="45"/>
      <c r="BF42" s="1">
        <v>17908379</v>
      </c>
      <c r="BG42" s="45"/>
      <c r="BH42" s="1">
        <v>16525885</v>
      </c>
      <c r="BI42" s="45"/>
      <c r="BJ42" s="1">
        <v>19000000</v>
      </c>
      <c r="BK42" s="45"/>
      <c r="BL42" s="1">
        <v>19763801</v>
      </c>
      <c r="BM42" s="45"/>
      <c r="BN42" s="1">
        <v>19000137</v>
      </c>
      <c r="BO42" s="45"/>
      <c r="BQ42" s="45"/>
      <c r="BS42" s="45"/>
    </row>
    <row r="43" spans="1:72" ht="12.95" customHeight="1" x14ac:dyDescent="0.2">
      <c r="A43" s="1" t="s">
        <v>57</v>
      </c>
      <c r="F43" s="1">
        <v>23308</v>
      </c>
      <c r="I43" s="1">
        <v>43202</v>
      </c>
      <c r="L43" s="1">
        <v>62535</v>
      </c>
      <c r="O43" s="1">
        <v>91152</v>
      </c>
      <c r="R43" s="1">
        <v>133306</v>
      </c>
      <c r="U43" s="1">
        <v>118811</v>
      </c>
      <c r="X43" s="1">
        <v>146684</v>
      </c>
      <c r="AA43" s="44">
        <v>194757</v>
      </c>
      <c r="AB43" s="1">
        <v>135825</v>
      </c>
      <c r="AE43" s="1">
        <v>121677</v>
      </c>
      <c r="AH43" s="1">
        <v>145408</v>
      </c>
      <c r="AK43" s="44">
        <v>183174</v>
      </c>
      <c r="AN43" s="4">
        <v>166920</v>
      </c>
      <c r="AQ43" s="1">
        <v>156179</v>
      </c>
      <c r="AT43" s="1">
        <v>145272</v>
      </c>
      <c r="AW43" s="1">
        <v>121085</v>
      </c>
      <c r="AZ43" s="1">
        <v>157638</v>
      </c>
      <c r="BC43" s="1">
        <v>153189</v>
      </c>
      <c r="BF43" s="1">
        <v>207058</v>
      </c>
      <c r="BH43" s="1">
        <v>248516</v>
      </c>
      <c r="BJ43" s="1">
        <v>312475</v>
      </c>
      <c r="BL43" s="1">
        <v>391743</v>
      </c>
      <c r="BN43" s="1">
        <v>426569</v>
      </c>
      <c r="BP43" s="1">
        <v>346629</v>
      </c>
    </row>
    <row r="44" spans="1:72" ht="12.95" customHeight="1" x14ac:dyDescent="0.2">
      <c r="A44" s="1" t="s">
        <v>58</v>
      </c>
      <c r="AA44" s="44">
        <f t="shared" ref="AA44:AA49" si="0">S44</f>
        <v>0</v>
      </c>
      <c r="AK44" s="44"/>
      <c r="AN44" s="1">
        <v>-2245000</v>
      </c>
      <c r="AQ44" s="1">
        <v>-5298700</v>
      </c>
      <c r="AT44" s="1">
        <f>-100000-500000</f>
        <v>-600000</v>
      </c>
      <c r="AW44" s="1">
        <v>-2509695</v>
      </c>
      <c r="AZ44" s="1">
        <v>-183700</v>
      </c>
      <c r="BC44" s="1">
        <v>-2620000</v>
      </c>
      <c r="BF44" s="1">
        <v>-5080000</v>
      </c>
      <c r="BH44" s="1">
        <v>-1329577</v>
      </c>
      <c r="BJ44" s="1">
        <v>-2700000</v>
      </c>
      <c r="BL44" s="1">
        <v>-4932809</v>
      </c>
      <c r="BN44" s="1">
        <v>-4085447</v>
      </c>
    </row>
    <row r="45" spans="1:72" x14ac:dyDescent="0.2">
      <c r="A45" s="1" t="s">
        <v>59</v>
      </c>
      <c r="AA45" s="44">
        <f t="shared" si="0"/>
        <v>0</v>
      </c>
      <c r="AB45" s="1">
        <f>X45</f>
        <v>0</v>
      </c>
      <c r="AK45" s="44"/>
      <c r="AN45" s="4"/>
    </row>
    <row r="46" spans="1:72" x14ac:dyDescent="0.2">
      <c r="A46" s="1" t="s">
        <v>60</v>
      </c>
      <c r="AA46" s="44">
        <f t="shared" si="0"/>
        <v>0</v>
      </c>
      <c r="AB46" s="1">
        <f>X46</f>
        <v>0</v>
      </c>
      <c r="AK46" s="44"/>
      <c r="AN46" s="4"/>
      <c r="BP46" s="1">
        <v>76440</v>
      </c>
    </row>
    <row r="47" spans="1:72" hidden="1" x14ac:dyDescent="0.2">
      <c r="A47" s="1" t="s">
        <v>61</v>
      </c>
      <c r="AA47" s="44">
        <f t="shared" si="0"/>
        <v>0</v>
      </c>
      <c r="AB47" s="1">
        <f>X47</f>
        <v>0</v>
      </c>
      <c r="AK47" s="44"/>
      <c r="AN47" s="4"/>
    </row>
    <row r="48" spans="1:72" hidden="1" x14ac:dyDescent="0.2">
      <c r="A48" s="1" t="s">
        <v>62</v>
      </c>
      <c r="AA48" s="44">
        <f t="shared" si="0"/>
        <v>0</v>
      </c>
      <c r="AB48" s="1">
        <f>X48</f>
        <v>0</v>
      </c>
      <c r="AK48" s="44"/>
      <c r="AN48" s="4"/>
    </row>
    <row r="49" spans="1:72" hidden="1" x14ac:dyDescent="0.2">
      <c r="A49" s="1" t="s">
        <v>63</v>
      </c>
      <c r="AA49" s="44">
        <f t="shared" si="0"/>
        <v>0</v>
      </c>
      <c r="AB49" s="1">
        <f>X49</f>
        <v>0</v>
      </c>
      <c r="AK49" s="44"/>
      <c r="AN49" s="4"/>
    </row>
    <row r="50" spans="1:72" ht="12.6" hidden="1" customHeight="1" x14ac:dyDescent="0.2">
      <c r="A50" s="1" t="s">
        <v>64</v>
      </c>
      <c r="AA50" s="10"/>
      <c r="AE50" s="1">
        <f>AB50</f>
        <v>0</v>
      </c>
      <c r="AH50" s="1">
        <v>-309339</v>
      </c>
      <c r="AK50" s="44">
        <f>24000+34405+35000+5952</f>
        <v>99357</v>
      </c>
      <c r="AN50" s="4">
        <v>-320709</v>
      </c>
      <c r="AQ50" s="1">
        <v>-471329</v>
      </c>
      <c r="AT50" s="1">
        <v>-502000</v>
      </c>
      <c r="AW50" s="1">
        <v>-570000</v>
      </c>
      <c r="AZ50" s="1">
        <v>-424000</v>
      </c>
      <c r="BC50" s="1">
        <v>-633000</v>
      </c>
      <c r="BF50" s="1">
        <v>0</v>
      </c>
      <c r="BH50" s="1">
        <v>0</v>
      </c>
      <c r="BJ50" s="1">
        <v>0</v>
      </c>
    </row>
    <row r="51" spans="1:72" ht="12.95" customHeight="1" x14ac:dyDescent="0.2">
      <c r="A51" s="1" t="s">
        <v>65</v>
      </c>
      <c r="F51" s="1">
        <v>-443045</v>
      </c>
      <c r="I51" s="1">
        <v>-586995</v>
      </c>
      <c r="L51" s="1">
        <v>-537934</v>
      </c>
      <c r="O51" s="1">
        <v>-537646</v>
      </c>
      <c r="R51" s="1">
        <v>-537646</v>
      </c>
      <c r="U51" s="1">
        <v>-537646</v>
      </c>
      <c r="X51" s="1">
        <v>-537646</v>
      </c>
      <c r="AA51" s="44">
        <v>-748910</v>
      </c>
      <c r="AB51" s="1">
        <v>-938128</v>
      </c>
      <c r="AE51" s="1">
        <v>-815976</v>
      </c>
      <c r="AH51" s="1">
        <v>-1399798</v>
      </c>
      <c r="AK51" s="44">
        <v>-1131134</v>
      </c>
      <c r="AN51" s="4">
        <v>-1131134</v>
      </c>
      <c r="AQ51" s="4">
        <v>-1131134</v>
      </c>
      <c r="AT51" s="4">
        <v>-1131134</v>
      </c>
      <c r="AU51" s="4"/>
      <c r="AW51" s="4">
        <v>-1131134</v>
      </c>
      <c r="AZ51" s="4">
        <v>-1131134</v>
      </c>
      <c r="BC51" s="4">
        <v>-1131134</v>
      </c>
      <c r="BF51" s="4">
        <v>-1131134</v>
      </c>
      <c r="BH51" s="4">
        <v>-1131134</v>
      </c>
      <c r="BJ51" s="4">
        <v>-1131134</v>
      </c>
      <c r="BL51" s="1">
        <v>-1131134</v>
      </c>
      <c r="BN51" s="1">
        <v>-1131134</v>
      </c>
      <c r="BP51" s="1">
        <v>-1131134</v>
      </c>
      <c r="BR51" s="1">
        <v>-1131134</v>
      </c>
      <c r="BT51" s="1">
        <v>-1131134</v>
      </c>
    </row>
    <row r="52" spans="1:72" ht="12.95" customHeight="1" x14ac:dyDescent="0.2">
      <c r="A52" s="1" t="s">
        <v>66</v>
      </c>
      <c r="F52" s="1">
        <v>56621</v>
      </c>
      <c r="I52" s="1">
        <v>226</v>
      </c>
      <c r="L52" s="1">
        <f>315000+3500</f>
        <v>318500</v>
      </c>
      <c r="O52" s="1">
        <f>-241604+34196</f>
        <v>-207408</v>
      </c>
      <c r="R52" s="1">
        <f>-817956+30000</f>
        <v>-787956</v>
      </c>
      <c r="U52" s="1">
        <v>3500</v>
      </c>
      <c r="AA52" s="44">
        <f>S51</f>
        <v>0</v>
      </c>
      <c r="AB52" s="1">
        <f>X52</f>
        <v>0</v>
      </c>
      <c r="AH52" s="1">
        <v>5328</v>
      </c>
      <c r="AK52" s="44">
        <v>-268438</v>
      </c>
      <c r="AN52" s="4">
        <v>61100</v>
      </c>
      <c r="AQ52" s="1">
        <v>30000</v>
      </c>
      <c r="AT52" s="1">
        <f>35000+35000</f>
        <v>70000</v>
      </c>
      <c r="AZ52" s="1">
        <v>-902807</v>
      </c>
      <c r="BC52" s="1">
        <f>370548-15611</f>
        <v>354937</v>
      </c>
      <c r="BF52" s="1">
        <v>27119</v>
      </c>
      <c r="BH52" s="1">
        <v>-15905</v>
      </c>
      <c r="BJ52" s="1">
        <v>-16527</v>
      </c>
      <c r="BL52" s="1">
        <v>-15574</v>
      </c>
    </row>
    <row r="53" spans="1:72" ht="12.95" customHeight="1" x14ac:dyDescent="0.2">
      <c r="A53" s="1" t="s">
        <v>53</v>
      </c>
      <c r="F53" s="1">
        <v>-1285720</v>
      </c>
      <c r="I53" s="1">
        <v>-1755045</v>
      </c>
      <c r="L53" s="1">
        <v>-674052</v>
      </c>
      <c r="O53" s="1">
        <v>-860408</v>
      </c>
      <c r="R53" s="1">
        <v>-854655</v>
      </c>
      <c r="U53" s="1">
        <f>-147712-756000</f>
        <v>-903712</v>
      </c>
      <c r="X53" s="1">
        <v>-321066</v>
      </c>
      <c r="AA53" s="44">
        <f>-203493-312340-11541-471000</f>
        <v>-998374</v>
      </c>
      <c r="AB53" s="1">
        <v>-5934660</v>
      </c>
      <c r="AE53" s="1">
        <f>-250000-27981-10696838</f>
        <v>-10974819</v>
      </c>
      <c r="AH53" s="1">
        <f>-12623-59333-12025444</f>
        <v>-12097400</v>
      </c>
      <c r="AK53" s="44">
        <f>-12537-7177-14316217</f>
        <v>-14335931</v>
      </c>
      <c r="AN53" s="1">
        <f>-15433-57669+202049-15842524</f>
        <v>-15713577</v>
      </c>
      <c r="AO53" s="46"/>
      <c r="AQ53" s="1">
        <v>-12403652</v>
      </c>
      <c r="AT53" s="1">
        <v>-16023720</v>
      </c>
      <c r="AW53" s="1">
        <v>-15398509</v>
      </c>
      <c r="AZ53" s="1">
        <v>-16251414</v>
      </c>
      <c r="BC53" s="1">
        <v>-16081736</v>
      </c>
      <c r="BF53" s="1">
        <v>-11555077</v>
      </c>
      <c r="BH53" s="1">
        <v>-16744027</v>
      </c>
      <c r="BJ53" s="1">
        <v>-19420481</v>
      </c>
      <c r="BL53" s="1">
        <v>-19660781</v>
      </c>
      <c r="BN53" s="1">
        <v>-19345280</v>
      </c>
      <c r="BP53" s="1">
        <v>2824912</v>
      </c>
    </row>
    <row r="54" spans="1:72" s="7" customFormat="1" ht="13.5" thickBot="1" x14ac:dyDescent="0.25">
      <c r="A54" s="7" t="s">
        <v>67</v>
      </c>
      <c r="E54" s="52" t="s">
        <v>24</v>
      </c>
      <c r="F54" s="53">
        <f>SUM(F41:F53)</f>
        <v>10104856</v>
      </c>
      <c r="H54" s="52" t="s">
        <v>24</v>
      </c>
      <c r="I54" s="53">
        <f>SUM(I41:I53)</f>
        <v>9769130</v>
      </c>
      <c r="K54" s="52" t="s">
        <v>24</v>
      </c>
      <c r="L54" s="53">
        <f>SUM(L41:L53)</f>
        <v>12259712</v>
      </c>
      <c r="N54" s="52" t="s">
        <v>24</v>
      </c>
      <c r="O54" s="53">
        <f>SUM(O41:O53)</f>
        <v>12553499</v>
      </c>
      <c r="Q54" s="52" t="s">
        <v>24</v>
      </c>
      <c r="R54" s="53">
        <f>SUM(R41:R53)</f>
        <v>13816272</v>
      </c>
      <c r="T54" s="52" t="s">
        <v>24</v>
      </c>
      <c r="U54" s="53">
        <f>SUM(U41:U53)</f>
        <v>17862004</v>
      </c>
      <c r="W54" s="52" t="s">
        <v>24</v>
      </c>
      <c r="X54" s="53">
        <f>SUM(X41:X53)</f>
        <v>18264992</v>
      </c>
      <c r="Z54" s="52" t="s">
        <v>24</v>
      </c>
      <c r="AA54" s="54">
        <f>SUM(AA41:AA53)</f>
        <v>21407869</v>
      </c>
      <c r="AB54" s="53">
        <f>SUM(AB41:AB53)</f>
        <v>18019356</v>
      </c>
      <c r="AD54" s="52" t="s">
        <v>24</v>
      </c>
      <c r="AE54" s="53">
        <f>SUM(AE41:AE53)</f>
        <v>19427384</v>
      </c>
      <c r="AG54" s="52" t="s">
        <v>24</v>
      </c>
      <c r="AH54" s="53">
        <f>SUM(AH41:AH53)</f>
        <v>19815191</v>
      </c>
      <c r="AJ54" s="52" t="s">
        <v>24</v>
      </c>
      <c r="AK54" s="54">
        <f>SUM(AK41:AK53)</f>
        <v>23588044</v>
      </c>
      <c r="AM54" s="52" t="s">
        <v>24</v>
      </c>
      <c r="AN54" s="55">
        <f>SUM(AN41:AN53)</f>
        <v>24727280</v>
      </c>
      <c r="AP54" s="52" t="s">
        <v>24</v>
      </c>
      <c r="AQ54" s="53">
        <f>SUM(AQ41:AQ53)</f>
        <v>26581948</v>
      </c>
      <c r="AS54" s="52" t="s">
        <v>24</v>
      </c>
      <c r="AT54" s="53">
        <f>SUM(AT41:AT53)</f>
        <v>25451240</v>
      </c>
      <c r="AV54" s="52" t="s">
        <v>24</v>
      </c>
      <c r="AW54" s="53">
        <f>SUM(AW41:AW53)</f>
        <v>27631938</v>
      </c>
      <c r="AY54" s="52" t="s">
        <v>24</v>
      </c>
      <c r="AZ54" s="53">
        <f>SUM(AZ41:AZ53)</f>
        <v>27519217</v>
      </c>
      <c r="BB54" s="52" t="s">
        <v>24</v>
      </c>
      <c r="BC54" s="53">
        <f>SUM(BC41:BC53)</f>
        <v>28187018</v>
      </c>
      <c r="BE54" s="52" t="s">
        <v>24</v>
      </c>
      <c r="BF54" s="53">
        <f>SUM(BF41:BF53)</f>
        <v>30309334</v>
      </c>
      <c r="BG54" s="52" t="s">
        <v>24</v>
      </c>
      <c r="BH54" s="53">
        <f>SUM(BH41:BH53)</f>
        <v>27369734.469999999</v>
      </c>
      <c r="BI54" s="52" t="s">
        <v>24</v>
      </c>
      <c r="BJ54" s="53">
        <f>SUM(BJ41:BJ53)</f>
        <v>26958554</v>
      </c>
      <c r="BK54" s="52" t="s">
        <v>24</v>
      </c>
      <c r="BL54" s="53">
        <f>SUM(BL41:BL53)</f>
        <v>25891544</v>
      </c>
      <c r="BM54" s="52" t="s">
        <v>24</v>
      </c>
      <c r="BN54" s="53">
        <f>SUM(BN41:BN53)</f>
        <v>25507993</v>
      </c>
      <c r="BO54" s="52" t="s">
        <v>24</v>
      </c>
      <c r="BP54" s="53">
        <f>SUM(BP41:BP53)</f>
        <v>30531957</v>
      </c>
      <c r="BQ54" s="52" t="s">
        <v>24</v>
      </c>
      <c r="BR54" s="53">
        <f>SUM(BR41:BR53)</f>
        <v>28506595</v>
      </c>
      <c r="BS54" s="52" t="s">
        <v>24</v>
      </c>
      <c r="BT54" s="53">
        <f>SUM(BT41:BT53)</f>
        <v>28506595</v>
      </c>
    </row>
    <row r="55" spans="1:72" ht="13.5" thickTop="1" x14ac:dyDescent="0.2"/>
    <row r="56" spans="1:72" x14ac:dyDescent="0.2">
      <c r="A56" s="8"/>
      <c r="B56" s="9"/>
      <c r="C56" s="9"/>
      <c r="D56" s="9"/>
    </row>
    <row r="57" spans="1:72" x14ac:dyDescent="0.2">
      <c r="A57" s="9"/>
      <c r="B57" s="9"/>
      <c r="C57" s="9"/>
      <c r="D57" s="9"/>
    </row>
    <row r="58" spans="1:72" ht="12.95" customHeight="1" x14ac:dyDescent="0.2">
      <c r="AQ58" s="4"/>
    </row>
  </sheetData>
  <pageMargins left="0" right="0" top="0.75" bottom="0.5" header="0.3" footer="0.3"/>
  <pageSetup scale="92" orientation="landscape" r:id="rId1"/>
  <headerFooter>
    <oddFooter>&amp;R&amp;F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1F1A5E4CC3B5438398D1FADFBC8214" ma:contentTypeVersion="9" ma:contentTypeDescription="Create a new document." ma:contentTypeScope="" ma:versionID="34c982d5ebb1115205bb4fa340ea36cf">
  <xsd:schema xmlns:xsd="http://www.w3.org/2001/XMLSchema" xmlns:xs="http://www.w3.org/2001/XMLSchema" xmlns:p="http://schemas.microsoft.com/office/2006/metadata/properties" xmlns:ns2="ac414d62-5914-48b6-bff8-b093c9582381" targetNamespace="http://schemas.microsoft.com/office/2006/metadata/properties" ma:root="true" ma:fieldsID="394c2a40d09c1fe30e53c26e786dc135" ns2:_="">
    <xsd:import namespace="ac414d62-5914-48b6-bff8-b093c95823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414d62-5914-48b6-bff8-b093c95823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D9A256-3D63-4C2E-9D17-39560821520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9DAB5E0-ECFD-4470-97A1-95E11A7DD2E2}">
  <ds:schemaRefs>
    <ds:schemaRef ds:uri="http://schemas.microsoft.com/sharepoint/v3/contenttype/forms"/>
  </ds:schemaRefs>
</ds:datastoreItem>
</file>

<file path=customXml/itemProps3.xml><?xml version="1.0" encoding="utf-8"?>
<ds:datastoreItem xmlns:ds="http://schemas.openxmlformats.org/officeDocument/2006/customXml" ds:itemID="{7735763B-7ABC-42DE-A4DE-67D1668AC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414d62-5914-48b6-bff8-b093c95823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Enrollment &amp; Tuition Summary</vt:lpstr>
      <vt:lpstr>Student Fee Schedule</vt:lpstr>
      <vt:lpstr>Student Financial Aid</vt:lpstr>
      <vt:lpstr>Cash Fund Revenue Summary</vt:lpstr>
      <vt:lpstr>'Cash Fund Revenue Summary'!Print_Area</vt:lpstr>
      <vt:lpstr>'Enrollment &amp; Tuition Summary'!Print_Area</vt:lpstr>
      <vt:lpstr>'Student Fee Schedule'!Print_Area</vt:lpstr>
      <vt:lpstr>'Student Financial Aid'!Print_Area</vt:lpstr>
      <vt:lpstr>'Enrollment &amp; Tuition Summary'!Print_Titles</vt:lpstr>
      <vt:lpstr>'Student Financial Aid'!Print_Titles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2021-12-10T17:54:44Z</dcterms:created>
  <dcterms:modified xsi:type="dcterms:W3CDTF">2024-04-24T21:34:05Z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0x010100F51F1A5E4CC3B5438398D1FADFBC8214</vt:lpwstr>
  </property>
</Properties>
</file>