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C53463FD-EB2E-476D-BD99-6BF92615C25D}" xr6:coauthVersionLast="47" xr6:coauthVersionMax="47" xr10:uidLastSave="{00000000-0000-0000-0000-000000000000}"/>
  <bookViews>
    <workbookView xWindow="-120" yWindow="-120" windowWidth="29040" windowHeight="17640" xr2:uid="{00000000-000D-0000-FFFF-FFFF00000000}"/>
  </bookViews>
  <sheets>
    <sheet name="Enrollment &amp; Tuition Summary" sheetId="1" r:id="rId1"/>
    <sheet name="Student Fee Schedule" sheetId="5" r:id="rId2"/>
    <sheet name="Student Financial Aid" sheetId="11" r:id="rId3"/>
    <sheet name="Cash Fund Revenue Summary" sheetId="8" r:id="rId4"/>
  </sheets>
  <definedNames>
    <definedName name="_xlnm.Print_Area" localSheetId="3">'Cash Fund Revenue Summary'!$A$1:$N$72</definedName>
    <definedName name="_xlnm.Print_Area" localSheetId="0">'Enrollment &amp; Tuition Summary'!$B$1:$BF$32</definedName>
    <definedName name="_xlnm.Print_Area" localSheetId="1">'Student Fee Schedule'!$B$1:$AL$39</definedName>
    <definedName name="_xlnm.Print_Area" localSheetId="2">'Student Financial Aid'!$BJ$1:$CC$171</definedName>
    <definedName name="_xlnm.Print_Titles" localSheetId="0">'Enrollment &amp; Tuition Summary'!$A:$C,'Enrollment &amp; Tuition Summary'!$1:$2</definedName>
    <definedName name="_xlnm.Print_Titles" localSheetId="2">'Student Financial Aid'!$A:$A,'Student Financial Aid'!$1:$6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163" i="11" l="1"/>
  <c r="AZ157" i="11"/>
  <c r="AP157" i="11"/>
  <c r="V157" i="11"/>
  <c r="L157" i="11"/>
  <c r="B157" i="11"/>
  <c r="BJ156" i="11"/>
  <c r="BJ157" i="11" s="1"/>
  <c r="AP156" i="11"/>
  <c r="AF156" i="11"/>
  <c r="AZ155" i="11"/>
  <c r="AP155" i="11"/>
  <c r="V155" i="11"/>
  <c r="L155" i="11"/>
  <c r="B155" i="11"/>
  <c r="BT153" i="11"/>
  <c r="BT157" i="11" s="1"/>
  <c r="BJ153" i="11"/>
  <c r="BJ155" i="11" s="1"/>
  <c r="AP153" i="11"/>
  <c r="AF153" i="11"/>
  <c r="BT152" i="11"/>
  <c r="BJ152" i="11"/>
  <c r="AZ152" i="11"/>
  <c r="AP152" i="11"/>
  <c r="AF152" i="11"/>
  <c r="BT151" i="11"/>
  <c r="BU151" i="11" s="1"/>
  <c r="BK151" i="11"/>
  <c r="BJ151" i="11"/>
  <c r="AZ151" i="11"/>
  <c r="BA151" i="11" s="1"/>
  <c r="AP151" i="11"/>
  <c r="AQ151" i="11" s="1"/>
  <c r="AF151" i="11"/>
  <c r="AG151" i="11" s="1"/>
  <c r="W151" i="11"/>
  <c r="V151" i="11"/>
  <c r="L151" i="11"/>
  <c r="M151" i="11" s="1"/>
  <c r="B151" i="11"/>
  <c r="C151" i="11" s="1"/>
  <c r="CB145" i="11"/>
  <c r="CA145" i="11"/>
  <c r="BZ145" i="11"/>
  <c r="BY145" i="11"/>
  <c r="BX145" i="11"/>
  <c r="BW145" i="11"/>
  <c r="BT145" i="11"/>
  <c r="BR145" i="11"/>
  <c r="BQ145" i="11"/>
  <c r="BP145" i="11"/>
  <c r="BO145" i="11"/>
  <c r="BN145" i="11"/>
  <c r="BM145" i="11"/>
  <c r="BJ145" i="11"/>
  <c r="BH145" i="11"/>
  <c r="BG145" i="11"/>
  <c r="BF145" i="11"/>
  <c r="BE145" i="11"/>
  <c r="BD145" i="11"/>
  <c r="BC145" i="11"/>
  <c r="AZ145" i="11"/>
  <c r="AX145" i="11"/>
  <c r="AW145" i="11"/>
  <c r="AW147" i="11" s="1"/>
  <c r="AV145" i="11"/>
  <c r="AU145" i="11"/>
  <c r="AT145" i="11"/>
  <c r="AS145" i="11"/>
  <c r="AP145" i="11"/>
  <c r="AN145" i="11"/>
  <c r="AM145" i="11"/>
  <c r="AL145" i="11"/>
  <c r="AK145" i="11"/>
  <c r="AJ145" i="11"/>
  <c r="AI145" i="11"/>
  <c r="AD145" i="11"/>
  <c r="AC145" i="11"/>
  <c r="AB145" i="11"/>
  <c r="AA145" i="11"/>
  <c r="Z145" i="11"/>
  <c r="Y145" i="11"/>
  <c r="V145" i="11"/>
  <c r="T145" i="11"/>
  <c r="S145" i="11"/>
  <c r="R145" i="11"/>
  <c r="Q145" i="11"/>
  <c r="P145" i="11"/>
  <c r="O145" i="11"/>
  <c r="L145" i="11"/>
  <c r="J145" i="11"/>
  <c r="I145" i="11"/>
  <c r="H145" i="11"/>
  <c r="G145" i="11"/>
  <c r="F145" i="11"/>
  <c r="E145" i="11"/>
  <c r="B145" i="11"/>
  <c r="CC143" i="11"/>
  <c r="BU143" i="11"/>
  <c r="BV143" i="11" s="1"/>
  <c r="BS143" i="11"/>
  <c r="BK143" i="11"/>
  <c r="BL143" i="11" s="1"/>
  <c r="BI143" i="11"/>
  <c r="BB143" i="11"/>
  <c r="BA143" i="11"/>
  <c r="AY143" i="11"/>
  <c r="AR143" i="11"/>
  <c r="AQ143" i="11"/>
  <c r="AO143" i="11"/>
  <c r="AH143" i="11"/>
  <c r="AG143" i="11"/>
  <c r="AE143" i="11"/>
  <c r="W143" i="11"/>
  <c r="X143" i="11" s="1"/>
  <c r="U143" i="11"/>
  <c r="N143" i="11"/>
  <c r="M143" i="11"/>
  <c r="K143" i="11"/>
  <c r="C143" i="11"/>
  <c r="D143" i="11" s="1"/>
  <c r="CC142" i="11"/>
  <c r="BV142" i="11"/>
  <c r="BU142" i="11"/>
  <c r="BS142" i="11"/>
  <c r="BK142" i="11"/>
  <c r="BL142" i="11" s="1"/>
  <c r="BI142" i="11"/>
  <c r="BB142" i="11"/>
  <c r="BA142" i="11"/>
  <c r="AY142" i="11"/>
  <c r="AR142" i="11"/>
  <c r="AQ142" i="11"/>
  <c r="AO142" i="11"/>
  <c r="AH142" i="11"/>
  <c r="AG142" i="11"/>
  <c r="AE142" i="11"/>
  <c r="W142" i="11"/>
  <c r="X142" i="11" s="1"/>
  <c r="U142" i="11"/>
  <c r="N142" i="11"/>
  <c r="M142" i="11"/>
  <c r="K142" i="11"/>
  <c r="C142" i="11"/>
  <c r="D142" i="11" s="1"/>
  <c r="CC141" i="11"/>
  <c r="BV141" i="11"/>
  <c r="BU141" i="11"/>
  <c r="BS141" i="11"/>
  <c r="BK141" i="11"/>
  <c r="BL141" i="11" s="1"/>
  <c r="BI141" i="11"/>
  <c r="BB141" i="11"/>
  <c r="BA141" i="11"/>
  <c r="AY141" i="11"/>
  <c r="AR141" i="11"/>
  <c r="AQ141" i="11"/>
  <c r="AO141" i="11"/>
  <c r="AH141" i="11"/>
  <c r="AG141" i="11"/>
  <c r="AE141" i="11"/>
  <c r="W141" i="11"/>
  <c r="X141" i="11" s="1"/>
  <c r="U141" i="11"/>
  <c r="N141" i="11"/>
  <c r="M141" i="11"/>
  <c r="K141" i="11"/>
  <c r="C141" i="11"/>
  <c r="D141" i="11" s="1"/>
  <c r="CC140" i="11"/>
  <c r="BV140" i="11"/>
  <c r="BS140" i="11"/>
  <c r="BL140" i="11"/>
  <c r="BK140" i="11"/>
  <c r="BI140" i="11"/>
  <c r="BA140" i="11"/>
  <c r="BB140" i="11" s="1"/>
  <c r="AY140" i="11"/>
  <c r="AQ140" i="11"/>
  <c r="AR140" i="11" s="1"/>
  <c r="AO140" i="11"/>
  <c r="AG140" i="11"/>
  <c r="AH140" i="11" s="1"/>
  <c r="AE140" i="11"/>
  <c r="X140" i="11"/>
  <c r="W140" i="11"/>
  <c r="U140" i="11"/>
  <c r="N140" i="11"/>
  <c r="M140" i="11"/>
  <c r="K140" i="11"/>
  <c r="D140" i="11"/>
  <c r="C140" i="11"/>
  <c r="CC139" i="11"/>
  <c r="BV139" i="11"/>
  <c r="BS139" i="11"/>
  <c r="BL139" i="11"/>
  <c r="BK139" i="11"/>
  <c r="BI139" i="11"/>
  <c r="BB139" i="11"/>
  <c r="BA139" i="11"/>
  <c r="AY139" i="11"/>
  <c r="AQ139" i="11"/>
  <c r="AR139" i="11" s="1"/>
  <c r="AO139" i="11"/>
  <c r="AH139" i="11"/>
  <c r="AG139" i="11"/>
  <c r="AE139" i="11"/>
  <c r="W139" i="11"/>
  <c r="X139" i="11" s="1"/>
  <c r="U139" i="11"/>
  <c r="N139" i="11"/>
  <c r="M139" i="11"/>
  <c r="K139" i="11"/>
  <c r="C139" i="11"/>
  <c r="D139" i="11" s="1"/>
  <c r="CC138" i="11"/>
  <c r="BV138" i="11"/>
  <c r="BS138" i="11"/>
  <c r="BL138" i="11"/>
  <c r="BK138" i="11"/>
  <c r="BI138" i="11"/>
  <c r="BA138" i="11"/>
  <c r="BB138" i="11" s="1"/>
  <c r="AY138" i="11"/>
  <c r="AR138" i="11"/>
  <c r="AQ138" i="11"/>
  <c r="AO138" i="11"/>
  <c r="AH138" i="11"/>
  <c r="AG138" i="11"/>
  <c r="AE138" i="11"/>
  <c r="W138" i="11"/>
  <c r="X138" i="11" s="1"/>
  <c r="U138" i="11"/>
  <c r="M138" i="11"/>
  <c r="N138" i="11" s="1"/>
  <c r="K138" i="11"/>
  <c r="D138" i="11"/>
  <c r="C138" i="11"/>
  <c r="CC137" i="11"/>
  <c r="BU137" i="11"/>
  <c r="BV137" i="11" s="1"/>
  <c r="BS137" i="11"/>
  <c r="BK137" i="11"/>
  <c r="BL137" i="11" s="1"/>
  <c r="BI137" i="11"/>
  <c r="BA137" i="11"/>
  <c r="BB137" i="11" s="1"/>
  <c r="AY137" i="11"/>
  <c r="AQ137" i="11"/>
  <c r="AO137" i="11"/>
  <c r="AH137" i="11"/>
  <c r="AG137" i="11"/>
  <c r="AE137" i="11"/>
  <c r="W137" i="11"/>
  <c r="X137" i="11" s="1"/>
  <c r="U137" i="11"/>
  <c r="N137" i="11"/>
  <c r="M137" i="11"/>
  <c r="K137" i="11"/>
  <c r="D137" i="11"/>
  <c r="C137" i="11"/>
  <c r="CC136" i="11"/>
  <c r="BV136" i="11"/>
  <c r="BS136" i="11"/>
  <c r="BL136" i="11"/>
  <c r="BK136" i="11"/>
  <c r="BI136" i="11"/>
  <c r="BB136" i="11"/>
  <c r="BA136" i="11"/>
  <c r="AY136" i="11"/>
  <c r="AQ136" i="11"/>
  <c r="AR136" i="11" s="1"/>
  <c r="AO136" i="11"/>
  <c r="AG136" i="11"/>
  <c r="AH136" i="11" s="1"/>
  <c r="AE136" i="11"/>
  <c r="X136" i="11"/>
  <c r="W136" i="11"/>
  <c r="U136" i="11"/>
  <c r="M136" i="11"/>
  <c r="N136" i="11" s="1"/>
  <c r="K136" i="11"/>
  <c r="D136" i="11"/>
  <c r="C136" i="11"/>
  <c r="CC135" i="11"/>
  <c r="BV135" i="11"/>
  <c r="BS135" i="11"/>
  <c r="BK135" i="11"/>
  <c r="BL135" i="11" s="1"/>
  <c r="BI135" i="11"/>
  <c r="BA135" i="11"/>
  <c r="BB135" i="11" s="1"/>
  <c r="AY135" i="11"/>
  <c r="AQ135" i="11"/>
  <c r="AR135" i="11" s="1"/>
  <c r="AO135" i="11"/>
  <c r="AH135" i="11"/>
  <c r="AG135" i="11"/>
  <c r="AE135" i="11"/>
  <c r="X135" i="11"/>
  <c r="W135" i="11"/>
  <c r="U135" i="11"/>
  <c r="N135" i="11"/>
  <c r="M135" i="11"/>
  <c r="K135" i="11"/>
  <c r="C135" i="11"/>
  <c r="D135" i="11" s="1"/>
  <c r="CC134" i="11"/>
  <c r="BV134" i="11"/>
  <c r="BS134" i="11"/>
  <c r="BK134" i="11"/>
  <c r="BL134" i="11" s="1"/>
  <c r="BI134" i="11"/>
  <c r="BA134" i="11"/>
  <c r="BB134" i="11" s="1"/>
  <c r="AY134" i="11"/>
  <c r="AR134" i="11"/>
  <c r="AQ134" i="11"/>
  <c r="AO134" i="11"/>
  <c r="AG134" i="11"/>
  <c r="AH134" i="11" s="1"/>
  <c r="AE134" i="11"/>
  <c r="X134" i="11"/>
  <c r="W134" i="11"/>
  <c r="U134" i="11"/>
  <c r="M134" i="11"/>
  <c r="N134" i="11" s="1"/>
  <c r="K134" i="11"/>
  <c r="D134" i="11"/>
  <c r="C134" i="11"/>
  <c r="CC133" i="11"/>
  <c r="BV133" i="11"/>
  <c r="BU133" i="11"/>
  <c r="BS133" i="11"/>
  <c r="BK133" i="11"/>
  <c r="BL133" i="11" s="1"/>
  <c r="BI133" i="11"/>
  <c r="BA133" i="11"/>
  <c r="BB133" i="11" s="1"/>
  <c r="AY133" i="11"/>
  <c r="AR133" i="11"/>
  <c r="AQ133" i="11"/>
  <c r="AO133" i="11"/>
  <c r="AG133" i="11"/>
  <c r="AH133" i="11" s="1"/>
  <c r="AE133" i="11"/>
  <c r="W133" i="11"/>
  <c r="X133" i="11" s="1"/>
  <c r="U133" i="11"/>
  <c r="M133" i="11"/>
  <c r="N133" i="11" s="1"/>
  <c r="K133" i="11"/>
  <c r="D133" i="11"/>
  <c r="C133" i="11"/>
  <c r="CC132" i="11"/>
  <c r="BV132" i="11"/>
  <c r="BU132" i="11"/>
  <c r="BS132" i="11"/>
  <c r="BL132" i="11"/>
  <c r="BK132" i="11"/>
  <c r="BI132" i="11"/>
  <c r="BA132" i="11"/>
  <c r="BB132" i="11" s="1"/>
  <c r="AY132" i="11"/>
  <c r="AR132" i="11"/>
  <c r="AQ132" i="11"/>
  <c r="AO132" i="11"/>
  <c r="AG132" i="11"/>
  <c r="AH132" i="11" s="1"/>
  <c r="AE132" i="11"/>
  <c r="W132" i="11"/>
  <c r="X132" i="11" s="1"/>
  <c r="U132" i="11"/>
  <c r="M132" i="11"/>
  <c r="N132" i="11" s="1"/>
  <c r="K132" i="11"/>
  <c r="CC131" i="11"/>
  <c r="BV131" i="11"/>
  <c r="BS131" i="11"/>
  <c r="BL131" i="11"/>
  <c r="BK131" i="11"/>
  <c r="BI131" i="11"/>
  <c r="BB131" i="11"/>
  <c r="BA131" i="11"/>
  <c r="AY131" i="11"/>
  <c r="AQ131" i="11"/>
  <c r="AR131" i="11" s="1"/>
  <c r="AO131" i="11"/>
  <c r="AH131" i="11"/>
  <c r="AG131" i="11"/>
  <c r="AE131" i="11"/>
  <c r="W131" i="11"/>
  <c r="X131" i="11" s="1"/>
  <c r="U131" i="11"/>
  <c r="M131" i="11"/>
  <c r="N131" i="11" s="1"/>
  <c r="K131" i="11"/>
  <c r="CC130" i="11"/>
  <c r="BV130" i="11"/>
  <c r="BS130" i="11"/>
  <c r="BL130" i="11"/>
  <c r="BK130" i="11"/>
  <c r="BI130" i="11"/>
  <c r="BB130" i="11"/>
  <c r="BA130" i="11"/>
  <c r="AY130" i="11"/>
  <c r="AQ130" i="11"/>
  <c r="AR130" i="11" s="1"/>
  <c r="AO130" i="11"/>
  <c r="AG130" i="11"/>
  <c r="AH130" i="11" s="1"/>
  <c r="AE130" i="11"/>
  <c r="X130" i="11"/>
  <c r="W130" i="11"/>
  <c r="U130" i="11"/>
  <c r="M130" i="11"/>
  <c r="N130" i="11" s="1"/>
  <c r="K130" i="11"/>
  <c r="CC129" i="11"/>
  <c r="BV129" i="11"/>
  <c r="BU129" i="11"/>
  <c r="BS129" i="11"/>
  <c r="BK129" i="11"/>
  <c r="BL129" i="11" s="1"/>
  <c r="BI129" i="11"/>
  <c r="BA129" i="11"/>
  <c r="BB129" i="11" s="1"/>
  <c r="AY129" i="11"/>
  <c r="AQ129" i="11"/>
  <c r="AR129" i="11" s="1"/>
  <c r="AN129" i="11"/>
  <c r="AO129" i="11" s="1"/>
  <c r="AG129" i="11"/>
  <c r="AF129" i="11"/>
  <c r="AE129" i="11"/>
  <c r="W129" i="11"/>
  <c r="X129" i="11" s="1"/>
  <c r="U129" i="11"/>
  <c r="M129" i="11"/>
  <c r="N129" i="11" s="1"/>
  <c r="K129" i="11"/>
  <c r="CC128" i="11"/>
  <c r="BV128" i="11"/>
  <c r="BU128" i="11"/>
  <c r="BU145" i="11" s="1"/>
  <c r="BS128" i="11"/>
  <c r="BK128" i="11"/>
  <c r="BL128" i="11" s="1"/>
  <c r="BI128" i="11"/>
  <c r="BA128" i="11"/>
  <c r="BB128" i="11" s="1"/>
  <c r="AY128" i="11"/>
  <c r="AQ128" i="11"/>
  <c r="AR128" i="11" s="1"/>
  <c r="AO128" i="11"/>
  <c r="AG128" i="11"/>
  <c r="AH128" i="11" s="1"/>
  <c r="AE128" i="11"/>
  <c r="W128" i="11"/>
  <c r="X128" i="11" s="1"/>
  <c r="U128" i="11"/>
  <c r="N128" i="11"/>
  <c r="M128" i="11"/>
  <c r="K128" i="11"/>
  <c r="CC127" i="11"/>
  <c r="BV127" i="11"/>
  <c r="BS127" i="11"/>
  <c r="BL127" i="11"/>
  <c r="BK127" i="11"/>
  <c r="BI127" i="11"/>
  <c r="BA127" i="11"/>
  <c r="BB127" i="11" s="1"/>
  <c r="AY127" i="11"/>
  <c r="AQ127" i="11"/>
  <c r="AR127" i="11" s="1"/>
  <c r="AO127" i="11"/>
  <c r="AG127" i="11"/>
  <c r="AH127" i="11" s="1"/>
  <c r="AE127" i="11"/>
  <c r="W127" i="11"/>
  <c r="X127" i="11" s="1"/>
  <c r="U127" i="11"/>
  <c r="M127" i="11"/>
  <c r="N127" i="11" s="1"/>
  <c r="K127" i="11"/>
  <c r="D127" i="11"/>
  <c r="C127" i="11"/>
  <c r="CC126" i="11"/>
  <c r="BV126" i="11"/>
  <c r="BS126" i="11"/>
  <c r="BK126" i="11"/>
  <c r="BL126" i="11" s="1"/>
  <c r="BI126" i="11"/>
  <c r="BB126" i="11"/>
  <c r="BA126" i="11"/>
  <c r="AY126" i="11"/>
  <c r="AR126" i="11"/>
  <c r="AQ126" i="11"/>
  <c r="AO126" i="11"/>
  <c r="AH126" i="11"/>
  <c r="AG126" i="11"/>
  <c r="AE126" i="11"/>
  <c r="X126" i="11"/>
  <c r="W126" i="11"/>
  <c r="U126" i="11"/>
  <c r="M126" i="11"/>
  <c r="N126" i="11" s="1"/>
  <c r="K126" i="11"/>
  <c r="C126" i="11"/>
  <c r="D126" i="11" s="1"/>
  <c r="CC125" i="11"/>
  <c r="BV125" i="11"/>
  <c r="BS125" i="11"/>
  <c r="BK125" i="11"/>
  <c r="BL125" i="11" s="1"/>
  <c r="BI125" i="11"/>
  <c r="BB125" i="11"/>
  <c r="BA125" i="11"/>
  <c r="AY125" i="11"/>
  <c r="AQ125" i="11"/>
  <c r="AR125" i="11" s="1"/>
  <c r="AO125" i="11"/>
  <c r="AG125" i="11"/>
  <c r="AH125" i="11" s="1"/>
  <c r="AE125" i="11"/>
  <c r="X125" i="11"/>
  <c r="W125" i="11"/>
  <c r="U125" i="11"/>
  <c r="N125" i="11"/>
  <c r="M125" i="11"/>
  <c r="K125" i="11"/>
  <c r="D125" i="11"/>
  <c r="C125" i="11"/>
  <c r="CC124" i="11"/>
  <c r="BV124" i="11"/>
  <c r="BS124" i="11"/>
  <c r="BL124" i="11"/>
  <c r="BK124" i="11"/>
  <c r="BI124" i="11"/>
  <c r="BB124" i="11"/>
  <c r="BA124" i="11"/>
  <c r="AY124" i="11"/>
  <c r="AQ124" i="11"/>
  <c r="AR124" i="11" s="1"/>
  <c r="AO124" i="11"/>
  <c r="AG124" i="11"/>
  <c r="AH124" i="11" s="1"/>
  <c r="AE124" i="11"/>
  <c r="X124" i="11"/>
  <c r="W124" i="11"/>
  <c r="U124" i="11"/>
  <c r="M124" i="11"/>
  <c r="N124" i="11" s="1"/>
  <c r="K124" i="11"/>
  <c r="D124" i="11"/>
  <c r="C124" i="11"/>
  <c r="CC123" i="11"/>
  <c r="BV123" i="11"/>
  <c r="BS123" i="11"/>
  <c r="BK123" i="11"/>
  <c r="BL123" i="11" s="1"/>
  <c r="BI123" i="11"/>
  <c r="BA123" i="11"/>
  <c r="BB123" i="11" s="1"/>
  <c r="AY123" i="11"/>
  <c r="AQ123" i="11"/>
  <c r="AR123" i="11" s="1"/>
  <c r="AO123" i="11"/>
  <c r="AH123" i="11"/>
  <c r="AG123" i="11"/>
  <c r="AE123" i="11"/>
  <c r="X123" i="11"/>
  <c r="W123" i="11"/>
  <c r="U123" i="11"/>
  <c r="N123" i="11"/>
  <c r="M123" i="11"/>
  <c r="K123" i="11"/>
  <c r="C123" i="11"/>
  <c r="D123" i="11" s="1"/>
  <c r="CC122" i="11"/>
  <c r="BV122" i="11"/>
  <c r="BS122" i="11"/>
  <c r="BL122" i="11"/>
  <c r="BK122" i="11"/>
  <c r="BI122" i="11"/>
  <c r="BA122" i="11"/>
  <c r="BB122" i="11" s="1"/>
  <c r="AY122" i="11"/>
  <c r="AR122" i="11"/>
  <c r="AQ122" i="11"/>
  <c r="AO122" i="11"/>
  <c r="AG122" i="11"/>
  <c r="AH122" i="11" s="1"/>
  <c r="AE122" i="11"/>
  <c r="W122" i="11"/>
  <c r="X122" i="11" s="1"/>
  <c r="U122" i="11"/>
  <c r="M122" i="11"/>
  <c r="N122" i="11" s="1"/>
  <c r="K122" i="11"/>
  <c r="D122" i="11"/>
  <c r="C122" i="11"/>
  <c r="CC121" i="11"/>
  <c r="BV121" i="11"/>
  <c r="BS121" i="11"/>
  <c r="BK121" i="11"/>
  <c r="BL121" i="11" s="1"/>
  <c r="BI121" i="11"/>
  <c r="BB121" i="11"/>
  <c r="BA121" i="11"/>
  <c r="AY121" i="11"/>
  <c r="AR121" i="11"/>
  <c r="AQ121" i="11"/>
  <c r="AO121" i="11"/>
  <c r="AH121" i="11"/>
  <c r="AG121" i="11"/>
  <c r="AE121" i="11"/>
  <c r="W121" i="11"/>
  <c r="X121" i="11" s="1"/>
  <c r="U121" i="11"/>
  <c r="N121" i="11"/>
  <c r="M121" i="11"/>
  <c r="K121" i="11"/>
  <c r="C121" i="11"/>
  <c r="D121" i="11" s="1"/>
  <c r="CC120" i="11"/>
  <c r="BV120" i="11"/>
  <c r="BS120" i="11"/>
  <c r="BL120" i="11"/>
  <c r="BK120" i="11"/>
  <c r="BI120" i="11"/>
  <c r="BA120" i="11"/>
  <c r="BB120" i="11" s="1"/>
  <c r="AY120" i="11"/>
  <c r="AQ120" i="11"/>
  <c r="AR120" i="11" s="1"/>
  <c r="AO120" i="11"/>
  <c r="AG120" i="11"/>
  <c r="AH120" i="11" s="1"/>
  <c r="AE120" i="11"/>
  <c r="X120" i="11"/>
  <c r="W120" i="11"/>
  <c r="U120" i="11"/>
  <c r="N120" i="11"/>
  <c r="M120" i="11"/>
  <c r="K120" i="11"/>
  <c r="D120" i="11"/>
  <c r="C120" i="11"/>
  <c r="CC119" i="11"/>
  <c r="BV119" i="11"/>
  <c r="BS119" i="11"/>
  <c r="BL119" i="11"/>
  <c r="BK119" i="11"/>
  <c r="BI119" i="11"/>
  <c r="BB119" i="11"/>
  <c r="BA119" i="11"/>
  <c r="AY119" i="11"/>
  <c r="AR119" i="11"/>
  <c r="AQ119" i="11"/>
  <c r="AO119" i="11"/>
  <c r="AH119" i="11"/>
  <c r="AG119" i="11"/>
  <c r="AE119" i="11"/>
  <c r="W119" i="11"/>
  <c r="X119" i="11" s="1"/>
  <c r="U119" i="11"/>
  <c r="N119" i="11"/>
  <c r="M119" i="11"/>
  <c r="K119" i="11"/>
  <c r="C119" i="11"/>
  <c r="D119" i="11" s="1"/>
  <c r="CC118" i="11"/>
  <c r="BV118" i="11"/>
  <c r="BS118" i="11"/>
  <c r="BK118" i="11"/>
  <c r="BL118" i="11" s="1"/>
  <c r="BI118" i="11"/>
  <c r="BA118" i="11"/>
  <c r="BB118" i="11" s="1"/>
  <c r="AY118" i="11"/>
  <c r="AQ118" i="11"/>
  <c r="AR118" i="11" s="1"/>
  <c r="AO118" i="11"/>
  <c r="AH118" i="11"/>
  <c r="AG118" i="11"/>
  <c r="AE118" i="11"/>
  <c r="W118" i="11"/>
  <c r="X118" i="11" s="1"/>
  <c r="U118" i="11"/>
  <c r="M118" i="11"/>
  <c r="N118" i="11" s="1"/>
  <c r="K118" i="11"/>
  <c r="D118" i="11"/>
  <c r="C118" i="11"/>
  <c r="CC117" i="11"/>
  <c r="BV117" i="11"/>
  <c r="BS117" i="11"/>
  <c r="BK117" i="11"/>
  <c r="BL117" i="11" s="1"/>
  <c r="BI117" i="11"/>
  <c r="BB117" i="11"/>
  <c r="BA117" i="11"/>
  <c r="AY117" i="11"/>
  <c r="AQ117" i="11"/>
  <c r="AR117" i="11" s="1"/>
  <c r="AO117" i="11"/>
  <c r="AG117" i="11"/>
  <c r="AH117" i="11" s="1"/>
  <c r="AE117" i="11"/>
  <c r="X117" i="11"/>
  <c r="W117" i="11"/>
  <c r="U117" i="11"/>
  <c r="M117" i="11"/>
  <c r="N117" i="11" s="1"/>
  <c r="K117" i="11"/>
  <c r="D117" i="11"/>
  <c r="C117" i="11"/>
  <c r="CC116" i="11"/>
  <c r="BV116" i="11"/>
  <c r="BS116" i="11"/>
  <c r="BK116" i="11"/>
  <c r="BL116" i="11" s="1"/>
  <c r="BI116" i="11"/>
  <c r="BB116" i="11"/>
  <c r="BA116" i="11"/>
  <c r="AY116" i="11"/>
  <c r="AQ116" i="11"/>
  <c r="AR116" i="11" s="1"/>
  <c r="AO116" i="11"/>
  <c r="AG116" i="11"/>
  <c r="AH116" i="11" s="1"/>
  <c r="AE116" i="11"/>
  <c r="X116" i="11"/>
  <c r="W116" i="11"/>
  <c r="U116" i="11"/>
  <c r="M116" i="11"/>
  <c r="N116" i="11" s="1"/>
  <c r="K116" i="11"/>
  <c r="C116" i="11"/>
  <c r="D116" i="11" s="1"/>
  <c r="CC115" i="11"/>
  <c r="BV115" i="11"/>
  <c r="BS115" i="11"/>
  <c r="BK115" i="11"/>
  <c r="BL115" i="11" s="1"/>
  <c r="BI115" i="11"/>
  <c r="BB115" i="11"/>
  <c r="BA115" i="11"/>
  <c r="AY115" i="11"/>
  <c r="AR115" i="11"/>
  <c r="AQ115" i="11"/>
  <c r="AO115" i="11"/>
  <c r="AG115" i="11"/>
  <c r="AH115" i="11" s="1"/>
  <c r="AE115" i="11"/>
  <c r="X115" i="11"/>
  <c r="W115" i="11"/>
  <c r="U115" i="11"/>
  <c r="M115" i="11"/>
  <c r="N115" i="11" s="1"/>
  <c r="K115" i="11"/>
  <c r="C115" i="11"/>
  <c r="D115" i="11" s="1"/>
  <c r="CC114" i="11"/>
  <c r="BV114" i="11"/>
  <c r="BS114" i="11"/>
  <c r="BK114" i="11"/>
  <c r="BL114" i="11" s="1"/>
  <c r="BI114" i="11"/>
  <c r="BI145" i="11" s="1"/>
  <c r="BB114" i="11"/>
  <c r="BA114" i="11"/>
  <c r="AY114" i="11"/>
  <c r="AR114" i="11"/>
  <c r="AQ114" i="11"/>
  <c r="AO114" i="11"/>
  <c r="AG114" i="11"/>
  <c r="AE114" i="11"/>
  <c r="AE145" i="11" s="1"/>
  <c r="X114" i="11"/>
  <c r="W114" i="11"/>
  <c r="U114" i="11"/>
  <c r="N114" i="11"/>
  <c r="M114" i="11"/>
  <c r="K114" i="11"/>
  <c r="C114" i="11"/>
  <c r="C145" i="11" s="1"/>
  <c r="BO111" i="11"/>
  <c r="S111" i="11"/>
  <c r="R111" i="11"/>
  <c r="CB109" i="11"/>
  <c r="CB111" i="11" s="1"/>
  <c r="CA109" i="11"/>
  <c r="BZ109" i="11"/>
  <c r="BY109" i="11"/>
  <c r="BX109" i="11"/>
  <c r="BW109" i="11"/>
  <c r="BV109" i="11"/>
  <c r="BU109" i="11"/>
  <c r="BT109" i="11"/>
  <c r="BT111" i="11" s="1"/>
  <c r="BR109" i="11"/>
  <c r="BQ109" i="11"/>
  <c r="BP109" i="11"/>
  <c r="BO109" i="11"/>
  <c r="BN109" i="11"/>
  <c r="BN111" i="11" s="1"/>
  <c r="BM109" i="11"/>
  <c r="BM111" i="11" s="1"/>
  <c r="BJ109" i="11"/>
  <c r="BH109" i="11"/>
  <c r="BG109" i="11"/>
  <c r="BF109" i="11"/>
  <c r="BE109" i="11"/>
  <c r="BE111" i="11" s="1"/>
  <c r="BD109" i="11"/>
  <c r="BD111" i="11" s="1"/>
  <c r="BD147" i="11" s="1"/>
  <c r="BC109" i="11"/>
  <c r="BC111" i="11" s="1"/>
  <c r="AZ109" i="11"/>
  <c r="AX109" i="11"/>
  <c r="AW109" i="11"/>
  <c r="AV109" i="11"/>
  <c r="AV111" i="11" s="1"/>
  <c r="AU109" i="11"/>
  <c r="AT109" i="11"/>
  <c r="AT111" i="11" s="1"/>
  <c r="AS109" i="11"/>
  <c r="AS111" i="11" s="1"/>
  <c r="AP109" i="11"/>
  <c r="AP111" i="11" s="1"/>
  <c r="AP147" i="11" s="1"/>
  <c r="AM109" i="11"/>
  <c r="AL109" i="11"/>
  <c r="AK109" i="11"/>
  <c r="AK111" i="11" s="1"/>
  <c r="AJ109" i="11"/>
  <c r="AJ111" i="11" s="1"/>
  <c r="AF109" i="11"/>
  <c r="AF111" i="11" s="1"/>
  <c r="AD109" i="11"/>
  <c r="AC109" i="11"/>
  <c r="AB109" i="11"/>
  <c r="AB111" i="11" s="1"/>
  <c r="AA109" i="11"/>
  <c r="AA111" i="11" s="1"/>
  <c r="Z109" i="11"/>
  <c r="Y109" i="11"/>
  <c r="Y111" i="11" s="1"/>
  <c r="V109" i="11"/>
  <c r="T109" i="11"/>
  <c r="S109" i="11"/>
  <c r="R109" i="11"/>
  <c r="Q109" i="11"/>
  <c r="Q111" i="11" s="1"/>
  <c r="P109" i="11"/>
  <c r="P111" i="11" s="1"/>
  <c r="O109" i="11"/>
  <c r="L109" i="11"/>
  <c r="J109" i="11"/>
  <c r="I109" i="11"/>
  <c r="I111" i="11" s="1"/>
  <c r="H109" i="11"/>
  <c r="H111" i="11" s="1"/>
  <c r="G109" i="11"/>
  <c r="G111" i="11" s="1"/>
  <c r="F109" i="11"/>
  <c r="E109" i="11"/>
  <c r="B109" i="11"/>
  <c r="CC107" i="11"/>
  <c r="BV107" i="11"/>
  <c r="BU107" i="11"/>
  <c r="BS107" i="11"/>
  <c r="BK107" i="11"/>
  <c r="BL107" i="11" s="1"/>
  <c r="BI107" i="11"/>
  <c r="BB107" i="11"/>
  <c r="BA107" i="11"/>
  <c r="AY107" i="11"/>
  <c r="AR107" i="11"/>
  <c r="AQ107" i="11"/>
  <c r="AO107" i="11"/>
  <c r="AG107" i="11"/>
  <c r="AH107" i="11" s="1"/>
  <c r="AE107" i="11"/>
  <c r="X107" i="11"/>
  <c r="W107" i="11"/>
  <c r="U107" i="11"/>
  <c r="M107" i="11"/>
  <c r="N107" i="11" s="1"/>
  <c r="K107" i="11"/>
  <c r="D107" i="11"/>
  <c r="C107" i="11"/>
  <c r="CC106" i="11"/>
  <c r="BV106" i="11"/>
  <c r="BU106" i="11"/>
  <c r="BS106" i="11"/>
  <c r="BK106" i="11"/>
  <c r="BL106" i="11" s="1"/>
  <c r="BI106" i="11"/>
  <c r="BB106" i="11"/>
  <c r="BA106" i="11"/>
  <c r="AY106" i="11"/>
  <c r="AR106" i="11"/>
  <c r="AQ106" i="11"/>
  <c r="AO106" i="11"/>
  <c r="AG106" i="11"/>
  <c r="AH106" i="11" s="1"/>
  <c r="AE106" i="11"/>
  <c r="X106" i="11"/>
  <c r="W106" i="11"/>
  <c r="U106" i="11"/>
  <c r="M106" i="11"/>
  <c r="N106" i="11" s="1"/>
  <c r="K106" i="11"/>
  <c r="C106" i="11"/>
  <c r="D106" i="11" s="1"/>
  <c r="CC105" i="11"/>
  <c r="BV105" i="11"/>
  <c r="BU105" i="11"/>
  <c r="BS105" i="11"/>
  <c r="BL105" i="11"/>
  <c r="BK105" i="11"/>
  <c r="BI105" i="11"/>
  <c r="BA105" i="11"/>
  <c r="BB105" i="11" s="1"/>
  <c r="AY105" i="11"/>
  <c r="AR105" i="11"/>
  <c r="AQ105" i="11"/>
  <c r="AO105" i="11"/>
  <c r="AG105" i="11"/>
  <c r="AH105" i="11" s="1"/>
  <c r="AE105" i="11"/>
  <c r="W105" i="11"/>
  <c r="X105" i="11" s="1"/>
  <c r="U105" i="11"/>
  <c r="M105" i="11"/>
  <c r="N105" i="11" s="1"/>
  <c r="K105" i="11"/>
  <c r="D105" i="11"/>
  <c r="C105" i="11"/>
  <c r="CC104" i="11"/>
  <c r="BV104" i="11"/>
  <c r="BU104" i="11"/>
  <c r="BS104" i="11"/>
  <c r="BL104" i="11"/>
  <c r="BK104" i="11"/>
  <c r="BI104" i="11"/>
  <c r="BB104" i="11"/>
  <c r="BA104" i="11"/>
  <c r="AY104" i="11"/>
  <c r="AR104" i="11"/>
  <c r="AQ104" i="11"/>
  <c r="AO104" i="11"/>
  <c r="AG104" i="11"/>
  <c r="AH104" i="11" s="1"/>
  <c r="AE104" i="11"/>
  <c r="X104" i="11"/>
  <c r="W104" i="11"/>
  <c r="U104" i="11"/>
  <c r="M104" i="11"/>
  <c r="N104" i="11" s="1"/>
  <c r="K104" i="11"/>
  <c r="D104" i="11"/>
  <c r="C104" i="11"/>
  <c r="CC103" i="11"/>
  <c r="BV103" i="11"/>
  <c r="BU103" i="11"/>
  <c r="BS103" i="11"/>
  <c r="BK103" i="11"/>
  <c r="BL103" i="11" s="1"/>
  <c r="BI103" i="11"/>
  <c r="BB103" i="11"/>
  <c r="BA103" i="11"/>
  <c r="AY103" i="11"/>
  <c r="AR103" i="11"/>
  <c r="AQ103" i="11"/>
  <c r="AO103" i="11"/>
  <c r="AG103" i="11"/>
  <c r="AH103" i="11" s="1"/>
  <c r="AE103" i="11"/>
  <c r="X103" i="11"/>
  <c r="W103" i="11"/>
  <c r="U103" i="11"/>
  <c r="M103" i="11"/>
  <c r="N103" i="11" s="1"/>
  <c r="K103" i="11"/>
  <c r="C103" i="11"/>
  <c r="D103" i="11" s="1"/>
  <c r="CC102" i="11"/>
  <c r="BV102" i="11"/>
  <c r="BU102" i="11"/>
  <c r="BS102" i="11"/>
  <c r="BK102" i="11"/>
  <c r="BL102" i="11" s="1"/>
  <c r="BI102" i="11"/>
  <c r="BA102" i="11"/>
  <c r="BB102" i="11" s="1"/>
  <c r="AY102" i="11"/>
  <c r="AR102" i="11"/>
  <c r="AQ102" i="11"/>
  <c r="AO102" i="11"/>
  <c r="AG102" i="11"/>
  <c r="AH102" i="11" s="1"/>
  <c r="AE102" i="11"/>
  <c r="W102" i="11"/>
  <c r="X102" i="11" s="1"/>
  <c r="U102" i="11"/>
  <c r="N102" i="11"/>
  <c r="M102" i="11"/>
  <c r="K102" i="11"/>
  <c r="D102" i="11"/>
  <c r="C102" i="11"/>
  <c r="CC101" i="11"/>
  <c r="BV101" i="11"/>
  <c r="BU101" i="11"/>
  <c r="BS101" i="11"/>
  <c r="BL101" i="11"/>
  <c r="BK101" i="11"/>
  <c r="BI101" i="11"/>
  <c r="BA101" i="11"/>
  <c r="BB101" i="11" s="1"/>
  <c r="AY101" i="11"/>
  <c r="AR101" i="11"/>
  <c r="AQ101" i="11"/>
  <c r="AO101" i="11"/>
  <c r="AG101" i="11"/>
  <c r="AH101" i="11" s="1"/>
  <c r="AE101" i="11"/>
  <c r="W101" i="11"/>
  <c r="X101" i="11" s="1"/>
  <c r="U101" i="11"/>
  <c r="M101" i="11"/>
  <c r="N101" i="11" s="1"/>
  <c r="K101" i="11"/>
  <c r="C101" i="11"/>
  <c r="D101" i="11" s="1"/>
  <c r="CC100" i="11"/>
  <c r="BV100" i="11"/>
  <c r="BU100" i="11"/>
  <c r="BS100" i="11"/>
  <c r="BK100" i="11"/>
  <c r="BL100" i="11" s="1"/>
  <c r="BI100" i="11"/>
  <c r="BA100" i="11"/>
  <c r="BB100" i="11" s="1"/>
  <c r="AY100" i="11"/>
  <c r="AR100" i="11"/>
  <c r="AQ100" i="11"/>
  <c r="AO100" i="11"/>
  <c r="AG100" i="11"/>
  <c r="AH100" i="11" s="1"/>
  <c r="AE100" i="11"/>
  <c r="W100" i="11"/>
  <c r="X100" i="11" s="1"/>
  <c r="U100" i="11"/>
  <c r="M100" i="11"/>
  <c r="N100" i="11" s="1"/>
  <c r="K100" i="11"/>
  <c r="D100" i="11"/>
  <c r="C100" i="11"/>
  <c r="CC99" i="11"/>
  <c r="BV99" i="11"/>
  <c r="BU99" i="11"/>
  <c r="BS99" i="11"/>
  <c r="BK99" i="11"/>
  <c r="BL99" i="11" s="1"/>
  <c r="BI99" i="11"/>
  <c r="BB99" i="11"/>
  <c r="BA99" i="11"/>
  <c r="AY99" i="11"/>
  <c r="AR99" i="11"/>
  <c r="AQ99" i="11"/>
  <c r="AO99" i="11"/>
  <c r="AG99" i="11"/>
  <c r="AH99" i="11" s="1"/>
  <c r="AE99" i="11"/>
  <c r="X99" i="11"/>
  <c r="W99" i="11"/>
  <c r="U99" i="11"/>
  <c r="N99" i="11"/>
  <c r="M99" i="11"/>
  <c r="K99" i="11"/>
  <c r="D99" i="11"/>
  <c r="C99" i="11"/>
  <c r="CC98" i="11"/>
  <c r="BV98" i="11"/>
  <c r="BU98" i="11"/>
  <c r="BS98" i="11"/>
  <c r="BK98" i="11"/>
  <c r="BL98" i="11" s="1"/>
  <c r="BI98" i="11"/>
  <c r="BA98" i="11"/>
  <c r="BB98" i="11" s="1"/>
  <c r="AY98" i="11"/>
  <c r="AR98" i="11"/>
  <c r="AQ98" i="11"/>
  <c r="AO98" i="11"/>
  <c r="AG98" i="11"/>
  <c r="AH98" i="11" s="1"/>
  <c r="AE98" i="11"/>
  <c r="X98" i="11"/>
  <c r="W98" i="11"/>
  <c r="U98" i="11"/>
  <c r="M98" i="11"/>
  <c r="N98" i="11" s="1"/>
  <c r="K98" i="11"/>
  <c r="C98" i="11"/>
  <c r="D98" i="11" s="1"/>
  <c r="CC97" i="11"/>
  <c r="BV97" i="11"/>
  <c r="BS97" i="11"/>
  <c r="BK97" i="11"/>
  <c r="BL97" i="11" s="1"/>
  <c r="BI97" i="11"/>
  <c r="BB97" i="11"/>
  <c r="BA97" i="11"/>
  <c r="AY97" i="11"/>
  <c r="AR97" i="11"/>
  <c r="AQ97" i="11"/>
  <c r="AO97" i="11"/>
  <c r="AG97" i="11"/>
  <c r="AH97" i="11" s="1"/>
  <c r="AE97" i="11"/>
  <c r="X97" i="11"/>
  <c r="W97" i="11"/>
  <c r="U97" i="11"/>
  <c r="N97" i="11"/>
  <c r="M97" i="11"/>
  <c r="K97" i="11"/>
  <c r="C97" i="11"/>
  <c r="D97" i="11" s="1"/>
  <c r="CC96" i="11"/>
  <c r="BV96" i="11"/>
  <c r="BS96" i="11"/>
  <c r="BL96" i="11"/>
  <c r="BK96" i="11"/>
  <c r="BI96" i="11"/>
  <c r="BA96" i="11"/>
  <c r="BB96" i="11" s="1"/>
  <c r="AY96" i="11"/>
  <c r="AR96" i="11"/>
  <c r="AQ96" i="11"/>
  <c r="AO96" i="11"/>
  <c r="AN96" i="11"/>
  <c r="AI96" i="11"/>
  <c r="AG96" i="11"/>
  <c r="AH96" i="11" s="1"/>
  <c r="AE96" i="11"/>
  <c r="W96" i="11"/>
  <c r="X96" i="11" s="1"/>
  <c r="U96" i="11"/>
  <c r="M96" i="11"/>
  <c r="N96" i="11" s="1"/>
  <c r="K96" i="11"/>
  <c r="CC95" i="11"/>
  <c r="BV95" i="11"/>
  <c r="BS95" i="11"/>
  <c r="BL95" i="11"/>
  <c r="BK95" i="11"/>
  <c r="BI95" i="11"/>
  <c r="BA95" i="11"/>
  <c r="BB95" i="11" s="1"/>
  <c r="AY95" i="11"/>
  <c r="AR95" i="11"/>
  <c r="AQ95" i="11"/>
  <c r="AO95" i="11"/>
  <c r="AN95" i="11"/>
  <c r="AI95" i="11"/>
  <c r="AG95" i="11"/>
  <c r="AH95" i="11" s="1"/>
  <c r="AE95" i="11"/>
  <c r="X95" i="11"/>
  <c r="W95" i="11"/>
  <c r="U95" i="11"/>
  <c r="N95" i="11"/>
  <c r="M95" i="11"/>
  <c r="K95" i="11"/>
  <c r="C95" i="11"/>
  <c r="D95" i="11" s="1"/>
  <c r="CC94" i="11"/>
  <c r="BV94" i="11"/>
  <c r="BS94" i="11"/>
  <c r="BK94" i="11"/>
  <c r="BL94" i="11" s="1"/>
  <c r="BI94" i="11"/>
  <c r="BA94" i="11"/>
  <c r="BB94" i="11" s="1"/>
  <c r="AY94" i="11"/>
  <c r="AR94" i="11"/>
  <c r="AQ94" i="11"/>
  <c r="AN94" i="11"/>
  <c r="AO94" i="11" s="1"/>
  <c r="AI94" i="11"/>
  <c r="AG94" i="11"/>
  <c r="AH94" i="11" s="1"/>
  <c r="AE94" i="11"/>
  <c r="W94" i="11"/>
  <c r="X94" i="11" s="1"/>
  <c r="U94" i="11"/>
  <c r="M94" i="11"/>
  <c r="N94" i="11" s="1"/>
  <c r="K94" i="11"/>
  <c r="D94" i="11"/>
  <c r="C94" i="11"/>
  <c r="CC93" i="11"/>
  <c r="BV93" i="11"/>
  <c r="BS93" i="11"/>
  <c r="BK93" i="11"/>
  <c r="BL93" i="11" s="1"/>
  <c r="BI93" i="11"/>
  <c r="BB93" i="11"/>
  <c r="BA93" i="11"/>
  <c r="AY93" i="11"/>
  <c r="AR93" i="11"/>
  <c r="AQ93" i="11"/>
  <c r="AO93" i="11"/>
  <c r="AG93" i="11"/>
  <c r="AH93" i="11" s="1"/>
  <c r="AE93" i="11"/>
  <c r="X93" i="11"/>
  <c r="W93" i="11"/>
  <c r="U93" i="11"/>
  <c r="M93" i="11"/>
  <c r="N93" i="11" s="1"/>
  <c r="K93" i="11"/>
  <c r="C93" i="11"/>
  <c r="D93" i="11" s="1"/>
  <c r="CC92" i="11"/>
  <c r="BV92" i="11"/>
  <c r="BS92" i="11"/>
  <c r="BL92" i="11"/>
  <c r="BK92" i="11"/>
  <c r="BI92" i="11"/>
  <c r="BA92" i="11"/>
  <c r="BB92" i="11" s="1"/>
  <c r="AY92" i="11"/>
  <c r="AQ92" i="11"/>
  <c r="AR92" i="11" s="1"/>
  <c r="AO92" i="11"/>
  <c r="AG92" i="11"/>
  <c r="AH92" i="11" s="1"/>
  <c r="AE92" i="11"/>
  <c r="X92" i="11"/>
  <c r="W92" i="11"/>
  <c r="U92" i="11"/>
  <c r="N92" i="11"/>
  <c r="M92" i="11"/>
  <c r="K92" i="11"/>
  <c r="C92" i="11"/>
  <c r="D92" i="11" s="1"/>
  <c r="CC91" i="11"/>
  <c r="BV91" i="11"/>
  <c r="BS91" i="11"/>
  <c r="BL91" i="11"/>
  <c r="BK91" i="11"/>
  <c r="BI91" i="11"/>
  <c r="BA91" i="11"/>
  <c r="BB91" i="11" s="1"/>
  <c r="AY91" i="11"/>
  <c r="AR91" i="11"/>
  <c r="AQ91" i="11"/>
  <c r="AO91" i="11"/>
  <c r="AH91" i="11"/>
  <c r="AG91" i="11"/>
  <c r="AE91" i="11"/>
  <c r="X91" i="11"/>
  <c r="W91" i="11"/>
  <c r="U91" i="11"/>
  <c r="M91" i="11"/>
  <c r="N91" i="11" s="1"/>
  <c r="K91" i="11"/>
  <c r="C91" i="11"/>
  <c r="D91" i="11" s="1"/>
  <c r="CC90" i="11"/>
  <c r="BV90" i="11"/>
  <c r="BS90" i="11"/>
  <c r="BK90" i="11"/>
  <c r="BL90" i="11" s="1"/>
  <c r="BI90" i="11"/>
  <c r="BA90" i="11"/>
  <c r="BB90" i="11" s="1"/>
  <c r="AY90" i="11"/>
  <c r="AR90" i="11"/>
  <c r="AQ90" i="11"/>
  <c r="AN90" i="11"/>
  <c r="AO90" i="11" s="1"/>
  <c r="AI90" i="11"/>
  <c r="AG90" i="11" s="1"/>
  <c r="AH90" i="11" s="1"/>
  <c r="AE90" i="11"/>
  <c r="X90" i="11"/>
  <c r="W90" i="11"/>
  <c r="U90" i="11"/>
  <c r="N90" i="11"/>
  <c r="M90" i="11"/>
  <c r="K90" i="11"/>
  <c r="C90" i="11"/>
  <c r="D90" i="11" s="1"/>
  <c r="CC89" i="11"/>
  <c r="BV89" i="11"/>
  <c r="BS89" i="11"/>
  <c r="BL89" i="11"/>
  <c r="BK89" i="11"/>
  <c r="BI89" i="11"/>
  <c r="BA89" i="11"/>
  <c r="BB89" i="11" s="1"/>
  <c r="AY89" i="11"/>
  <c r="AR89" i="11"/>
  <c r="AQ89" i="11"/>
  <c r="AO89" i="11"/>
  <c r="AN89" i="11"/>
  <c r="AI89" i="11"/>
  <c r="AG89" i="11"/>
  <c r="AH89" i="11" s="1"/>
  <c r="AE89" i="11"/>
  <c r="X89" i="11"/>
  <c r="W89" i="11"/>
  <c r="U89" i="11"/>
  <c r="N89" i="11"/>
  <c r="M89" i="11"/>
  <c r="K89" i="11"/>
  <c r="D89" i="11"/>
  <c r="C89" i="11"/>
  <c r="CC88" i="11"/>
  <c r="BV88" i="11"/>
  <c r="BS88" i="11"/>
  <c r="BL88" i="11"/>
  <c r="BK88" i="11"/>
  <c r="BI88" i="11"/>
  <c r="BB88" i="11"/>
  <c r="BA88" i="11"/>
  <c r="AY88" i="11"/>
  <c r="AQ88" i="11"/>
  <c r="AR88" i="11" s="1"/>
  <c r="AO88" i="11"/>
  <c r="AG88" i="11"/>
  <c r="AH88" i="11" s="1"/>
  <c r="AE88" i="11"/>
  <c r="X88" i="11"/>
  <c r="W88" i="11"/>
  <c r="U88" i="11"/>
  <c r="N88" i="11"/>
  <c r="M88" i="11"/>
  <c r="K88" i="11"/>
  <c r="C88" i="11"/>
  <c r="D88" i="11" s="1"/>
  <c r="CC87" i="11"/>
  <c r="BV87" i="11"/>
  <c r="BS87" i="11"/>
  <c r="BL87" i="11"/>
  <c r="BK87" i="11"/>
  <c r="BI87" i="11"/>
  <c r="BA87" i="11"/>
  <c r="BB87" i="11" s="1"/>
  <c r="AY87" i="11"/>
  <c r="AR87" i="11"/>
  <c r="AQ87" i="11"/>
  <c r="AO87" i="11"/>
  <c r="AH87" i="11"/>
  <c r="AG87" i="11"/>
  <c r="AE87" i="11"/>
  <c r="W87" i="11"/>
  <c r="X87" i="11" s="1"/>
  <c r="U87" i="11"/>
  <c r="M87" i="11"/>
  <c r="N87" i="11" s="1"/>
  <c r="K87" i="11"/>
  <c r="C87" i="11"/>
  <c r="D87" i="11" s="1"/>
  <c r="CC86" i="11"/>
  <c r="BV86" i="11"/>
  <c r="BS86" i="11"/>
  <c r="BK86" i="11"/>
  <c r="BL86" i="11" s="1"/>
  <c r="BI86" i="11"/>
  <c r="BA86" i="11"/>
  <c r="BB86" i="11" s="1"/>
  <c r="AY86" i="11"/>
  <c r="AR86" i="11"/>
  <c r="AQ86" i="11"/>
  <c r="AN86" i="11"/>
  <c r="AO86" i="11" s="1"/>
  <c r="AI86" i="11"/>
  <c r="AG86" i="11" s="1"/>
  <c r="AH86" i="11" s="1"/>
  <c r="AE86" i="11"/>
  <c r="X86" i="11"/>
  <c r="W86" i="11"/>
  <c r="U86" i="11"/>
  <c r="N86" i="11"/>
  <c r="M86" i="11"/>
  <c r="K86" i="11"/>
  <c r="C86" i="11"/>
  <c r="D86" i="11" s="1"/>
  <c r="CC85" i="11"/>
  <c r="BV85" i="11"/>
  <c r="BS85" i="11"/>
  <c r="BL85" i="11"/>
  <c r="BK85" i="11"/>
  <c r="BI85" i="11"/>
  <c r="BA85" i="11"/>
  <c r="BB85" i="11" s="1"/>
  <c r="AY85" i="11"/>
  <c r="AR85" i="11"/>
  <c r="AQ85" i="11"/>
  <c r="AO85" i="11"/>
  <c r="AH85" i="11"/>
  <c r="AG85" i="11"/>
  <c r="AE85" i="11"/>
  <c r="W85" i="11"/>
  <c r="X85" i="11" s="1"/>
  <c r="U85" i="11"/>
  <c r="M85" i="11"/>
  <c r="N85" i="11" s="1"/>
  <c r="K85" i="11"/>
  <c r="C85" i="11"/>
  <c r="D85" i="11" s="1"/>
  <c r="CC84" i="11"/>
  <c r="BV84" i="11"/>
  <c r="BS84" i="11"/>
  <c r="BK84" i="11"/>
  <c r="BL84" i="11" s="1"/>
  <c r="BI84" i="11"/>
  <c r="BA84" i="11"/>
  <c r="BB84" i="11" s="1"/>
  <c r="AY84" i="11"/>
  <c r="AR84" i="11"/>
  <c r="AQ84" i="11"/>
  <c r="AN84" i="11"/>
  <c r="AO84" i="11" s="1"/>
  <c r="AI84" i="11"/>
  <c r="AG84" i="11" s="1"/>
  <c r="AH84" i="11" s="1"/>
  <c r="AE84" i="11"/>
  <c r="X84" i="11"/>
  <c r="W84" i="11"/>
  <c r="U84" i="11"/>
  <c r="N84" i="11"/>
  <c r="M84" i="11"/>
  <c r="K84" i="11"/>
  <c r="C84" i="11"/>
  <c r="D84" i="11" s="1"/>
  <c r="CC83" i="11"/>
  <c r="BV83" i="11"/>
  <c r="BS83" i="11"/>
  <c r="BL83" i="11"/>
  <c r="BK83" i="11"/>
  <c r="BI83" i="11"/>
  <c r="BA83" i="11"/>
  <c r="AY83" i="11"/>
  <c r="AR83" i="11"/>
  <c r="AQ83" i="11"/>
  <c r="AQ109" i="11" s="1"/>
  <c r="AO83" i="11"/>
  <c r="AO109" i="11" s="1"/>
  <c r="AO111" i="11" s="1"/>
  <c r="AN83" i="11"/>
  <c r="AN109" i="11" s="1"/>
  <c r="AN111" i="11" s="1"/>
  <c r="AI83" i="11"/>
  <c r="AI109" i="11" s="1"/>
  <c r="AI111" i="11" s="1"/>
  <c r="AG83" i="11"/>
  <c r="AE83" i="11"/>
  <c r="X83" i="11"/>
  <c r="W83" i="11"/>
  <c r="U83" i="11"/>
  <c r="U109" i="11" s="1"/>
  <c r="M83" i="11"/>
  <c r="K83" i="11"/>
  <c r="K109" i="11" s="1"/>
  <c r="K111" i="11" s="1"/>
  <c r="D83" i="11"/>
  <c r="C83" i="11"/>
  <c r="CB80" i="11"/>
  <c r="CA80" i="11"/>
  <c r="BZ80" i="11"/>
  <c r="BY80" i="11"/>
  <c r="BX80" i="11"/>
  <c r="BW80" i="11"/>
  <c r="BT80" i="11"/>
  <c r="BR80" i="11"/>
  <c r="BQ80" i="11"/>
  <c r="BP80" i="11"/>
  <c r="BO80" i="11"/>
  <c r="BN80" i="11"/>
  <c r="BM80" i="11"/>
  <c r="BJ80" i="11"/>
  <c r="BH80" i="11"/>
  <c r="BG80" i="11"/>
  <c r="BG111" i="11" s="1"/>
  <c r="BF80" i="11"/>
  <c r="BE80" i="11"/>
  <c r="BD80" i="11"/>
  <c r="BC80" i="11"/>
  <c r="AZ80" i="11"/>
  <c r="AX80" i="11"/>
  <c r="AX111" i="11" s="1"/>
  <c r="AW80" i="11"/>
  <c r="AW111" i="11" s="1"/>
  <c r="AV80" i="11"/>
  <c r="AU80" i="11"/>
  <c r="AT80" i="11"/>
  <c r="AS80" i="11"/>
  <c r="AQ80" i="11"/>
  <c r="AR80" i="11" s="1"/>
  <c r="AP80" i="11"/>
  <c r="AN80" i="11"/>
  <c r="AM80" i="11"/>
  <c r="AL80" i="11"/>
  <c r="AK80" i="11"/>
  <c r="AJ80" i="11"/>
  <c r="AI80" i="11"/>
  <c r="AF80" i="11"/>
  <c r="AD80" i="11"/>
  <c r="AC80" i="11"/>
  <c r="AB80" i="11"/>
  <c r="AA80" i="11"/>
  <c r="Z80" i="11"/>
  <c r="Y80" i="11"/>
  <c r="V80" i="11"/>
  <c r="T80" i="11"/>
  <c r="S80" i="11"/>
  <c r="R80" i="11"/>
  <c r="Q80" i="11"/>
  <c r="P80" i="11"/>
  <c r="O80" i="11"/>
  <c r="L80" i="11"/>
  <c r="K80" i="11"/>
  <c r="J80" i="11"/>
  <c r="I80" i="11"/>
  <c r="H80" i="11"/>
  <c r="G80" i="11"/>
  <c r="F80" i="11"/>
  <c r="E80" i="11"/>
  <c r="B80" i="11"/>
  <c r="B111" i="11" s="1"/>
  <c r="CC78" i="11"/>
  <c r="BU78" i="11"/>
  <c r="BV78" i="11" s="1"/>
  <c r="BS78" i="11"/>
  <c r="BK78" i="11"/>
  <c r="BL78" i="11" s="1"/>
  <c r="BI78" i="11"/>
  <c r="BB78" i="11"/>
  <c r="BA78" i="11"/>
  <c r="AY78" i="11"/>
  <c r="AR78" i="11"/>
  <c r="AQ78" i="11"/>
  <c r="AO78" i="11"/>
  <c r="AG78" i="11"/>
  <c r="AH78" i="11" s="1"/>
  <c r="AE78" i="11"/>
  <c r="X78" i="11"/>
  <c r="W78" i="11"/>
  <c r="U78" i="11"/>
  <c r="M78" i="11"/>
  <c r="N78" i="11" s="1"/>
  <c r="K78" i="11"/>
  <c r="D78" i="11"/>
  <c r="C78" i="11"/>
  <c r="CC77" i="11"/>
  <c r="BU77" i="11"/>
  <c r="BV77" i="11" s="1"/>
  <c r="BS77" i="11"/>
  <c r="BK77" i="11"/>
  <c r="BL77" i="11" s="1"/>
  <c r="BI77" i="11"/>
  <c r="BB77" i="11"/>
  <c r="BA77" i="11"/>
  <c r="AY77" i="11"/>
  <c r="AR77" i="11"/>
  <c r="AQ77" i="11"/>
  <c r="AO77" i="11"/>
  <c r="AG77" i="11"/>
  <c r="AH77" i="11" s="1"/>
  <c r="AE77" i="11"/>
  <c r="X77" i="11"/>
  <c r="W77" i="11"/>
  <c r="U77" i="11"/>
  <c r="N77" i="11"/>
  <c r="M77" i="11"/>
  <c r="K77" i="11"/>
  <c r="D77" i="11"/>
  <c r="C77" i="11"/>
  <c r="CC76" i="11"/>
  <c r="BU76" i="11"/>
  <c r="BV76" i="11" s="1"/>
  <c r="BS76" i="11"/>
  <c r="BK76" i="11"/>
  <c r="BL76" i="11" s="1"/>
  <c r="BI76" i="11"/>
  <c r="BB76" i="11"/>
  <c r="BA76" i="11"/>
  <c r="AY76" i="11"/>
  <c r="AR76" i="11"/>
  <c r="AQ76" i="11"/>
  <c r="AO76" i="11"/>
  <c r="AG76" i="11"/>
  <c r="AH76" i="11" s="1"/>
  <c r="AE76" i="11"/>
  <c r="X76" i="11"/>
  <c r="W76" i="11"/>
  <c r="U76" i="11"/>
  <c r="N76" i="11"/>
  <c r="M76" i="11"/>
  <c r="K76" i="11"/>
  <c r="C76" i="11"/>
  <c r="D76" i="11" s="1"/>
  <c r="CC75" i="11"/>
  <c r="BU75" i="11"/>
  <c r="BV75" i="11" s="1"/>
  <c r="BS75" i="11"/>
  <c r="BK75" i="11"/>
  <c r="BL75" i="11" s="1"/>
  <c r="BI75" i="11"/>
  <c r="BB75" i="11"/>
  <c r="BA75" i="11"/>
  <c r="AY75" i="11"/>
  <c r="AR75" i="11"/>
  <c r="AQ75" i="11"/>
  <c r="AO75" i="11"/>
  <c r="AG75" i="11"/>
  <c r="AH75" i="11" s="1"/>
  <c r="AE75" i="11"/>
  <c r="X75" i="11"/>
  <c r="W75" i="11"/>
  <c r="U75" i="11"/>
  <c r="N75" i="11"/>
  <c r="M75" i="11"/>
  <c r="K75" i="11"/>
  <c r="C75" i="11"/>
  <c r="D75" i="11" s="1"/>
  <c r="CC74" i="11"/>
  <c r="BU74" i="11"/>
  <c r="BU80" i="11" s="1"/>
  <c r="BV80" i="11" s="1"/>
  <c r="BS74" i="11"/>
  <c r="BK74" i="11"/>
  <c r="BL74" i="11" s="1"/>
  <c r="BI74" i="11"/>
  <c r="BB74" i="11"/>
  <c r="BA74" i="11"/>
  <c r="AY74" i="11"/>
  <c r="AR74" i="11"/>
  <c r="AQ74" i="11"/>
  <c r="AO74" i="11"/>
  <c r="AG74" i="11"/>
  <c r="AH74" i="11" s="1"/>
  <c r="AE74" i="11"/>
  <c r="X74" i="11"/>
  <c r="W74" i="11"/>
  <c r="U74" i="11"/>
  <c r="N74" i="11"/>
  <c r="M74" i="11"/>
  <c r="K74" i="11"/>
  <c r="C74" i="11"/>
  <c r="C80" i="11" s="1"/>
  <c r="D80" i="11" s="1"/>
  <c r="CC73" i="11"/>
  <c r="BV73" i="11"/>
  <c r="BS73" i="11"/>
  <c r="BL73" i="11"/>
  <c r="BK73" i="11"/>
  <c r="BI73" i="11"/>
  <c r="BA73" i="11"/>
  <c r="BB73" i="11" s="1"/>
  <c r="AY73" i="11"/>
  <c r="AQ73" i="11"/>
  <c r="AR73" i="11" s="1"/>
  <c r="AO73" i="11"/>
  <c r="AG73" i="11"/>
  <c r="AH73" i="11" s="1"/>
  <c r="AE73" i="11"/>
  <c r="X73" i="11"/>
  <c r="W73" i="11"/>
  <c r="U73" i="11"/>
  <c r="N73" i="11"/>
  <c r="M73" i="11"/>
  <c r="K73" i="11"/>
  <c r="C73" i="11"/>
  <c r="D73" i="11" s="1"/>
  <c r="CC72" i="11"/>
  <c r="BV72" i="11"/>
  <c r="BS72" i="11"/>
  <c r="BL72" i="11"/>
  <c r="BK72" i="11"/>
  <c r="BI72" i="11"/>
  <c r="BA72" i="11"/>
  <c r="BB72" i="11" s="1"/>
  <c r="AY72" i="11"/>
  <c r="AR72" i="11"/>
  <c r="AQ72" i="11"/>
  <c r="AO72" i="11"/>
  <c r="AH72" i="11"/>
  <c r="AG72" i="11"/>
  <c r="AE72" i="11"/>
  <c r="X72" i="11"/>
  <c r="W72" i="11"/>
  <c r="U72" i="11"/>
  <c r="M72" i="11"/>
  <c r="N72" i="11" s="1"/>
  <c r="K72" i="11"/>
  <c r="C72" i="11"/>
  <c r="D72" i="11" s="1"/>
  <c r="CC71" i="11"/>
  <c r="CC80" i="11" s="1"/>
  <c r="BV71" i="11"/>
  <c r="BS71" i="11"/>
  <c r="BS80" i="11" s="1"/>
  <c r="BK71" i="11"/>
  <c r="BL71" i="11" s="1"/>
  <c r="BI71" i="11"/>
  <c r="BA71" i="11"/>
  <c r="AY71" i="11"/>
  <c r="AY80" i="11" s="1"/>
  <c r="AR71" i="11"/>
  <c r="AQ71" i="11"/>
  <c r="AO71" i="11"/>
  <c r="AO80" i="11" s="1"/>
  <c r="AH71" i="11"/>
  <c r="AG71" i="11"/>
  <c r="AE71" i="11"/>
  <c r="W71" i="11"/>
  <c r="U71" i="11"/>
  <c r="U80" i="11" s="1"/>
  <c r="N71" i="11"/>
  <c r="M71" i="11"/>
  <c r="M80" i="11" s="1"/>
  <c r="N80" i="11" s="1"/>
  <c r="K71" i="11"/>
  <c r="D71" i="11"/>
  <c r="C71" i="11"/>
  <c r="AM66" i="11"/>
  <c r="G66" i="11"/>
  <c r="CB64" i="11"/>
  <c r="CA64" i="11"/>
  <c r="BZ64" i="11"/>
  <c r="BY64" i="11"/>
  <c r="BX64" i="11"/>
  <c r="BW64" i="11"/>
  <c r="BT64" i="11"/>
  <c r="BT66" i="11" s="1"/>
  <c r="BR64" i="11"/>
  <c r="BQ64" i="11"/>
  <c r="BP64" i="11"/>
  <c r="BO64" i="11"/>
  <c r="BN64" i="11"/>
  <c r="BM64" i="11"/>
  <c r="BK64" i="11"/>
  <c r="BL64" i="11" s="1"/>
  <c r="BJ64" i="11"/>
  <c r="BH64" i="11"/>
  <c r="BG64" i="11"/>
  <c r="BF64" i="11"/>
  <c r="BE64" i="11"/>
  <c r="BD64" i="11"/>
  <c r="BC64" i="11"/>
  <c r="AZ64" i="11"/>
  <c r="AX64" i="11"/>
  <c r="AW64" i="11"/>
  <c r="AV64" i="11"/>
  <c r="AU64" i="11"/>
  <c r="AT64" i="11"/>
  <c r="AS64" i="11"/>
  <c r="AP64" i="11"/>
  <c r="AN64" i="11"/>
  <c r="AN66" i="11" s="1"/>
  <c r="AM64" i="11"/>
  <c r="AK64" i="11"/>
  <c r="AJ64" i="11"/>
  <c r="AF64" i="11"/>
  <c r="AE64" i="11"/>
  <c r="AD64" i="11"/>
  <c r="AC64" i="11"/>
  <c r="AB64" i="11"/>
  <c r="AA64" i="11"/>
  <c r="Z64" i="11"/>
  <c r="Y64" i="11"/>
  <c r="V64" i="11"/>
  <c r="T64" i="11"/>
  <c r="S64" i="11"/>
  <c r="R64" i="11"/>
  <c r="Q64" i="11"/>
  <c r="P64" i="11"/>
  <c r="O64" i="11"/>
  <c r="L64" i="11"/>
  <c r="J64" i="11"/>
  <c r="I64" i="11"/>
  <c r="H64" i="11"/>
  <c r="H66" i="11" s="1"/>
  <c r="G64" i="11"/>
  <c r="F64" i="11"/>
  <c r="E64" i="11"/>
  <c r="B64" i="11"/>
  <c r="CC62" i="11"/>
  <c r="BU62" i="11"/>
  <c r="BV62" i="11" s="1"/>
  <c r="BS62" i="11"/>
  <c r="BK62" i="11"/>
  <c r="BL62" i="11" s="1"/>
  <c r="BI62" i="11"/>
  <c r="BB62" i="11"/>
  <c r="BA62" i="11"/>
  <c r="AY62" i="11"/>
  <c r="AR62" i="11"/>
  <c r="AQ62" i="11"/>
  <c r="AO62" i="11"/>
  <c r="AH62" i="11"/>
  <c r="AG62" i="11"/>
  <c r="AE62" i="11"/>
  <c r="W62" i="11"/>
  <c r="X62" i="11" s="1"/>
  <c r="U62" i="11"/>
  <c r="M62" i="11"/>
  <c r="N62" i="11" s="1"/>
  <c r="K62" i="11"/>
  <c r="D62" i="11"/>
  <c r="C62" i="11"/>
  <c r="CC61" i="11"/>
  <c r="BV61" i="11"/>
  <c r="BU61" i="11"/>
  <c r="BS61" i="11"/>
  <c r="BK61" i="11"/>
  <c r="BL61" i="11" s="1"/>
  <c r="BI61" i="11"/>
  <c r="BB61" i="11"/>
  <c r="BA61" i="11"/>
  <c r="AY61" i="11"/>
  <c r="AR61" i="11"/>
  <c r="AQ61" i="11"/>
  <c r="AO61" i="11"/>
  <c r="AH61" i="11"/>
  <c r="AG61" i="11"/>
  <c r="AE61" i="11"/>
  <c r="W61" i="11"/>
  <c r="X61" i="11" s="1"/>
  <c r="U61" i="11"/>
  <c r="M61" i="11"/>
  <c r="N61" i="11" s="1"/>
  <c r="K61" i="11"/>
  <c r="C61" i="11"/>
  <c r="D61" i="11" s="1"/>
  <c r="CC60" i="11"/>
  <c r="BU60" i="11"/>
  <c r="BV60" i="11" s="1"/>
  <c r="BS60" i="11"/>
  <c r="BK60" i="11"/>
  <c r="BL60" i="11" s="1"/>
  <c r="BI60" i="11"/>
  <c r="BA60" i="11"/>
  <c r="BB60" i="11" s="1"/>
  <c r="AY60" i="11"/>
  <c r="AR60" i="11"/>
  <c r="AQ60" i="11"/>
  <c r="AO60" i="11"/>
  <c r="AG60" i="11"/>
  <c r="AH60" i="11" s="1"/>
  <c r="AE60" i="11"/>
  <c r="W60" i="11"/>
  <c r="X60" i="11" s="1"/>
  <c r="U60" i="11"/>
  <c r="N60" i="11"/>
  <c r="M60" i="11"/>
  <c r="K60" i="11"/>
  <c r="C60" i="11"/>
  <c r="D60" i="11" s="1"/>
  <c r="CC59" i="11"/>
  <c r="BU59" i="11"/>
  <c r="BV59" i="11" s="1"/>
  <c r="BS59" i="11"/>
  <c r="BK59" i="11"/>
  <c r="BL59" i="11" s="1"/>
  <c r="BI59" i="11"/>
  <c r="BA59" i="11"/>
  <c r="BB59" i="11" s="1"/>
  <c r="AY59" i="11"/>
  <c r="AR59" i="11"/>
  <c r="AQ59" i="11"/>
  <c r="AO59" i="11"/>
  <c r="AG59" i="11"/>
  <c r="AH59" i="11" s="1"/>
  <c r="AE59" i="11"/>
  <c r="W59" i="11"/>
  <c r="X59" i="11" s="1"/>
  <c r="U59" i="11"/>
  <c r="M59" i="11"/>
  <c r="N59" i="11" s="1"/>
  <c r="K59" i="11"/>
  <c r="D59" i="11"/>
  <c r="C59" i="11"/>
  <c r="CC58" i="11"/>
  <c r="BU58" i="11"/>
  <c r="BV58" i="11" s="1"/>
  <c r="BS58" i="11"/>
  <c r="BL58" i="11"/>
  <c r="BK58" i="11"/>
  <c r="BI58" i="11"/>
  <c r="BB58" i="11"/>
  <c r="BA58" i="11"/>
  <c r="AY58" i="11"/>
  <c r="AR58" i="11"/>
  <c r="AQ58" i="11"/>
  <c r="AO58" i="11"/>
  <c r="AG58" i="11"/>
  <c r="AH58" i="11" s="1"/>
  <c r="AE58" i="11"/>
  <c r="W58" i="11"/>
  <c r="X58" i="11" s="1"/>
  <c r="U58" i="11"/>
  <c r="M58" i="11"/>
  <c r="N58" i="11" s="1"/>
  <c r="K58" i="11"/>
  <c r="D58" i="11"/>
  <c r="C58" i="11"/>
  <c r="CC57" i="11"/>
  <c r="BV57" i="11"/>
  <c r="BS57" i="11"/>
  <c r="BK57" i="11"/>
  <c r="BL57" i="11" s="1"/>
  <c r="BI57" i="11"/>
  <c r="BB57" i="11"/>
  <c r="BA57" i="11"/>
  <c r="AY57" i="11"/>
  <c r="AR57" i="11"/>
  <c r="AQ57" i="11"/>
  <c r="AL57" i="11"/>
  <c r="AL64" i="11" s="1"/>
  <c r="AI57" i="11"/>
  <c r="AO57" i="11" s="1"/>
  <c r="AH57" i="11"/>
  <c r="AG57" i="11"/>
  <c r="AE57" i="11"/>
  <c r="X57" i="11"/>
  <c r="W57" i="11"/>
  <c r="U57" i="11"/>
  <c r="M57" i="11"/>
  <c r="N57" i="11" s="1"/>
  <c r="K57" i="11"/>
  <c r="CC56" i="11"/>
  <c r="BV56" i="11"/>
  <c r="BS56" i="11"/>
  <c r="BL56" i="11"/>
  <c r="BK56" i="11"/>
  <c r="BI56" i="11"/>
  <c r="BA56" i="11"/>
  <c r="BB56" i="11" s="1"/>
  <c r="AY56" i="11"/>
  <c r="AQ56" i="11"/>
  <c r="AR56" i="11" s="1"/>
  <c r="AO56" i="11"/>
  <c r="AN56" i="11"/>
  <c r="AI56" i="11"/>
  <c r="AI64" i="11" s="1"/>
  <c r="AG56" i="11"/>
  <c r="AH56" i="11" s="1"/>
  <c r="AE56" i="11"/>
  <c r="W56" i="11"/>
  <c r="X56" i="11" s="1"/>
  <c r="U56" i="11"/>
  <c r="N56" i="11"/>
  <c r="M56" i="11"/>
  <c r="K56" i="11"/>
  <c r="D56" i="11"/>
  <c r="C56" i="11"/>
  <c r="CC55" i="11"/>
  <c r="BV55" i="11"/>
  <c r="BS55" i="11"/>
  <c r="BL55" i="11"/>
  <c r="BK55" i="11"/>
  <c r="BI55" i="11"/>
  <c r="BB55" i="11"/>
  <c r="BA55" i="11"/>
  <c r="AY55" i="11"/>
  <c r="AR55" i="11"/>
  <c r="AQ55" i="11"/>
  <c r="AO55" i="11"/>
  <c r="AG55" i="11"/>
  <c r="AH55" i="11" s="1"/>
  <c r="AE55" i="11"/>
  <c r="W55" i="11"/>
  <c r="X55" i="11" s="1"/>
  <c r="U55" i="11"/>
  <c r="N55" i="11"/>
  <c r="M55" i="11"/>
  <c r="K55" i="11"/>
  <c r="C55" i="11"/>
  <c r="D55" i="11" s="1"/>
  <c r="CC54" i="11"/>
  <c r="BV54" i="11"/>
  <c r="BS54" i="11"/>
  <c r="BL54" i="11"/>
  <c r="BK54" i="11"/>
  <c r="BI54" i="11"/>
  <c r="BA54" i="11"/>
  <c r="BB54" i="11" s="1"/>
  <c r="AY54" i="11"/>
  <c r="AQ54" i="11"/>
  <c r="AR54" i="11" s="1"/>
  <c r="AO54" i="11"/>
  <c r="AG54" i="11"/>
  <c r="AH54" i="11" s="1"/>
  <c r="AE54" i="11"/>
  <c r="W54" i="11"/>
  <c r="X54" i="11" s="1"/>
  <c r="U54" i="11"/>
  <c r="M54" i="11"/>
  <c r="N54" i="11" s="1"/>
  <c r="K54" i="11"/>
  <c r="C54" i="11"/>
  <c r="D54" i="11" s="1"/>
  <c r="CC53" i="11"/>
  <c r="BV53" i="11"/>
  <c r="BS53" i="11"/>
  <c r="BL53" i="11"/>
  <c r="BK53" i="11"/>
  <c r="BI53" i="11"/>
  <c r="BB53" i="11"/>
  <c r="BA53" i="11"/>
  <c r="AY53" i="11"/>
  <c r="AQ53" i="11"/>
  <c r="AR53" i="11" s="1"/>
  <c r="AO53" i="11"/>
  <c r="AH53" i="11"/>
  <c r="AG53" i="11"/>
  <c r="AE53" i="11"/>
  <c r="W53" i="11"/>
  <c r="X53" i="11" s="1"/>
  <c r="U53" i="11"/>
  <c r="M53" i="11"/>
  <c r="N53" i="11" s="1"/>
  <c r="K53" i="11"/>
  <c r="C53" i="11"/>
  <c r="D53" i="11" s="1"/>
  <c r="CC52" i="11"/>
  <c r="BV52" i="11"/>
  <c r="BS52" i="11"/>
  <c r="BK52" i="11"/>
  <c r="BL52" i="11" s="1"/>
  <c r="BI52" i="11"/>
  <c r="BA52" i="11"/>
  <c r="BB52" i="11" s="1"/>
  <c r="AY52" i="11"/>
  <c r="AR52" i="11"/>
  <c r="AQ52" i="11"/>
  <c r="AO52" i="11"/>
  <c r="AG52" i="11"/>
  <c r="AH52" i="11" s="1"/>
  <c r="AE52" i="11"/>
  <c r="X52" i="11"/>
  <c r="W52" i="11"/>
  <c r="U52" i="11"/>
  <c r="M52" i="11"/>
  <c r="N52" i="11" s="1"/>
  <c r="K52" i="11"/>
  <c r="D52" i="11"/>
  <c r="C52" i="11"/>
  <c r="CC51" i="11"/>
  <c r="BS51" i="11"/>
  <c r="BL51" i="11"/>
  <c r="BK51" i="11"/>
  <c r="BI51" i="11"/>
  <c r="BA51" i="11"/>
  <c r="BB51" i="11" s="1"/>
  <c r="AY51" i="11"/>
  <c r="AR51" i="11"/>
  <c r="AQ51" i="11"/>
  <c r="AO51" i="11"/>
  <c r="AG51" i="11"/>
  <c r="AH51" i="11" s="1"/>
  <c r="AE51" i="11"/>
  <c r="X51" i="11"/>
  <c r="W51" i="11"/>
  <c r="U51" i="11"/>
  <c r="M51" i="11"/>
  <c r="N51" i="11" s="1"/>
  <c r="K51" i="11"/>
  <c r="C51" i="11"/>
  <c r="D51" i="11" s="1"/>
  <c r="CC50" i="11"/>
  <c r="BV50" i="11"/>
  <c r="BS50" i="11"/>
  <c r="BK50" i="11"/>
  <c r="BL50" i="11" s="1"/>
  <c r="BI50" i="11"/>
  <c r="BA50" i="11"/>
  <c r="BB50" i="11" s="1"/>
  <c r="AY50" i="11"/>
  <c r="AQ50" i="11"/>
  <c r="AR50" i="11" s="1"/>
  <c r="AO50" i="11"/>
  <c r="AH50" i="11"/>
  <c r="AG50" i="11"/>
  <c r="AE50" i="11"/>
  <c r="W50" i="11"/>
  <c r="X50" i="11" s="1"/>
  <c r="U50" i="11"/>
  <c r="N50" i="11"/>
  <c r="M50" i="11"/>
  <c r="K50" i="11"/>
  <c r="C50" i="11"/>
  <c r="D50" i="11" s="1"/>
  <c r="CC49" i="11"/>
  <c r="BV49" i="11"/>
  <c r="BS49" i="11"/>
  <c r="BL49" i="11"/>
  <c r="BK49" i="11"/>
  <c r="BI49" i="11"/>
  <c r="BA49" i="11"/>
  <c r="BB49" i="11" s="1"/>
  <c r="AY49" i="11"/>
  <c r="AR49" i="11"/>
  <c r="AQ49" i="11"/>
  <c r="AO49" i="11"/>
  <c r="AG49" i="11"/>
  <c r="AH49" i="11" s="1"/>
  <c r="AE49" i="11"/>
  <c r="W49" i="11"/>
  <c r="X49" i="11" s="1"/>
  <c r="U49" i="11"/>
  <c r="M49" i="11"/>
  <c r="N49" i="11" s="1"/>
  <c r="K49" i="11"/>
  <c r="C49" i="11"/>
  <c r="D49" i="11" s="1"/>
  <c r="CC48" i="11"/>
  <c r="BV48" i="11"/>
  <c r="BS48" i="11"/>
  <c r="BK48" i="11"/>
  <c r="BL48" i="11" s="1"/>
  <c r="BI48" i="11"/>
  <c r="BA48" i="11"/>
  <c r="BB48" i="11" s="1"/>
  <c r="AY48" i="11"/>
  <c r="AQ48" i="11"/>
  <c r="AR48" i="11" s="1"/>
  <c r="AO48" i="11"/>
  <c r="AG48" i="11"/>
  <c r="AH48" i="11" s="1"/>
  <c r="AE48" i="11"/>
  <c r="W48" i="11"/>
  <c r="X48" i="11" s="1"/>
  <c r="U48" i="11"/>
  <c r="N48" i="11"/>
  <c r="M48" i="11"/>
  <c r="K48" i="11"/>
  <c r="D48" i="11"/>
  <c r="C48" i="11"/>
  <c r="CC47" i="11"/>
  <c r="BU47" i="11"/>
  <c r="BV47" i="11" s="1"/>
  <c r="BS47" i="11"/>
  <c r="BS64" i="11" s="1"/>
  <c r="BL47" i="11"/>
  <c r="BK47" i="11"/>
  <c r="BI47" i="11"/>
  <c r="BA47" i="11"/>
  <c r="AY47" i="11"/>
  <c r="AQ47" i="11"/>
  <c r="AQ64" i="11" s="1"/>
  <c r="AR64" i="11" s="1"/>
  <c r="AO47" i="11"/>
  <c r="AG47" i="11"/>
  <c r="AE47" i="11"/>
  <c r="W47" i="11"/>
  <c r="W64" i="11" s="1"/>
  <c r="X64" i="11" s="1"/>
  <c r="U47" i="11"/>
  <c r="U64" i="11" s="1"/>
  <c r="N47" i="11"/>
  <c r="M47" i="11"/>
  <c r="K47" i="11"/>
  <c r="D47" i="11"/>
  <c r="C47" i="11"/>
  <c r="CB44" i="11"/>
  <c r="CA44" i="11"/>
  <c r="BZ44" i="11"/>
  <c r="BY44" i="11"/>
  <c r="BX44" i="11"/>
  <c r="BW44" i="11"/>
  <c r="BT44" i="11"/>
  <c r="BR44" i="11"/>
  <c r="BQ44" i="11"/>
  <c r="BP44" i="11"/>
  <c r="BO44" i="11"/>
  <c r="BN44" i="11"/>
  <c r="BM44" i="11"/>
  <c r="BK44" i="11"/>
  <c r="BL44" i="11" s="1"/>
  <c r="BJ44" i="11"/>
  <c r="BH44" i="11"/>
  <c r="BG44" i="11"/>
  <c r="BF44" i="11"/>
  <c r="BE44" i="11"/>
  <c r="BD44" i="11"/>
  <c r="BC44" i="11"/>
  <c r="AZ44" i="11"/>
  <c r="AX44" i="11"/>
  <c r="AW44" i="11"/>
  <c r="AV44" i="11"/>
  <c r="AU44" i="11"/>
  <c r="AT44" i="11"/>
  <c r="AS44" i="11"/>
  <c r="AP44" i="11"/>
  <c r="AN44" i="11"/>
  <c r="AM44" i="11"/>
  <c r="AL44" i="11"/>
  <c r="AK44" i="11"/>
  <c r="AJ44" i="11"/>
  <c r="AI44" i="11"/>
  <c r="AF44" i="11"/>
  <c r="AD44" i="11"/>
  <c r="AC44" i="11"/>
  <c r="AB44" i="11"/>
  <c r="AA44" i="11"/>
  <c r="Z44" i="11"/>
  <c r="Y44" i="11"/>
  <c r="V44" i="11"/>
  <c r="T44" i="11"/>
  <c r="S44" i="11"/>
  <c r="R44" i="11"/>
  <c r="Q44" i="11"/>
  <c r="P44" i="11"/>
  <c r="O44" i="11"/>
  <c r="L44" i="11"/>
  <c r="J44" i="11"/>
  <c r="I44" i="11"/>
  <c r="H44" i="11"/>
  <c r="G44" i="11"/>
  <c r="F44" i="11"/>
  <c r="E44" i="11"/>
  <c r="B44" i="11"/>
  <c r="CC42" i="11"/>
  <c r="BU42" i="11"/>
  <c r="BV42" i="11" s="1"/>
  <c r="BS42" i="11"/>
  <c r="BL42" i="11"/>
  <c r="BK42" i="11"/>
  <c r="BI42" i="11"/>
  <c r="BA42" i="11"/>
  <c r="BB42" i="11" s="1"/>
  <c r="AY42" i="11"/>
  <c r="AQ42" i="11"/>
  <c r="AR42" i="11" s="1"/>
  <c r="AO42" i="11"/>
  <c r="AG42" i="11"/>
  <c r="AH42" i="11" s="1"/>
  <c r="AE42" i="11"/>
  <c r="W42" i="11"/>
  <c r="X42" i="11" s="1"/>
  <c r="U42" i="11"/>
  <c r="N42" i="11"/>
  <c r="M42" i="11"/>
  <c r="K42" i="11"/>
  <c r="D42" i="11"/>
  <c r="C42" i="11"/>
  <c r="CC41" i="11"/>
  <c r="BU41" i="11"/>
  <c r="BV41" i="11" s="1"/>
  <c r="BS41" i="11"/>
  <c r="BL41" i="11"/>
  <c r="BK41" i="11"/>
  <c r="BI41" i="11"/>
  <c r="BA41" i="11"/>
  <c r="BB41" i="11" s="1"/>
  <c r="AY41" i="11"/>
  <c r="AQ41" i="11"/>
  <c r="AR41" i="11" s="1"/>
  <c r="AO41" i="11"/>
  <c r="AG41" i="11"/>
  <c r="AH41" i="11" s="1"/>
  <c r="AE41" i="11"/>
  <c r="W41" i="11"/>
  <c r="X41" i="11" s="1"/>
  <c r="U41" i="11"/>
  <c r="N41" i="11"/>
  <c r="M41" i="11"/>
  <c r="K41" i="11"/>
  <c r="D41" i="11"/>
  <c r="C41" i="11"/>
  <c r="CC40" i="11"/>
  <c r="BU40" i="11"/>
  <c r="BV40" i="11" s="1"/>
  <c r="BS40" i="11"/>
  <c r="BL40" i="11"/>
  <c r="BK40" i="11"/>
  <c r="BI40" i="11"/>
  <c r="BA40" i="11"/>
  <c r="BB40" i="11" s="1"/>
  <c r="AY40" i="11"/>
  <c r="AQ40" i="11"/>
  <c r="AR40" i="11" s="1"/>
  <c r="AO40" i="11"/>
  <c r="AG40" i="11"/>
  <c r="AH40" i="11" s="1"/>
  <c r="AE40" i="11"/>
  <c r="W40" i="11"/>
  <c r="X40" i="11" s="1"/>
  <c r="U40" i="11"/>
  <c r="N40" i="11"/>
  <c r="M40" i="11"/>
  <c r="K40" i="11"/>
  <c r="D40" i="11"/>
  <c r="C40" i="11"/>
  <c r="CC39" i="11"/>
  <c r="BU39" i="11"/>
  <c r="BV39" i="11" s="1"/>
  <c r="BS39" i="11"/>
  <c r="BL39" i="11"/>
  <c r="BK39" i="11"/>
  <c r="BI39" i="11"/>
  <c r="BA39" i="11"/>
  <c r="BB39" i="11" s="1"/>
  <c r="AY39" i="11"/>
  <c r="AQ39" i="11"/>
  <c r="AR39" i="11" s="1"/>
  <c r="AO39" i="11"/>
  <c r="AG39" i="11"/>
  <c r="AH39" i="11" s="1"/>
  <c r="AE39" i="11"/>
  <c r="W39" i="11"/>
  <c r="X39" i="11" s="1"/>
  <c r="U39" i="11"/>
  <c r="N39" i="11"/>
  <c r="M39" i="11"/>
  <c r="K39" i="11"/>
  <c r="D39" i="11"/>
  <c r="C39" i="11"/>
  <c r="CC38" i="11"/>
  <c r="BV38" i="11"/>
  <c r="BS38" i="11"/>
  <c r="BL38" i="11"/>
  <c r="BI38" i="11"/>
  <c r="BB38" i="11"/>
  <c r="AY38" i="11"/>
  <c r="AQ38" i="11"/>
  <c r="AR38" i="11" s="1"/>
  <c r="AO38" i="11"/>
  <c r="AG38" i="11"/>
  <c r="AH38" i="11" s="1"/>
  <c r="AE38" i="11"/>
  <c r="W38" i="11"/>
  <c r="X38" i="11" s="1"/>
  <c r="U38" i="11"/>
  <c r="M38" i="11"/>
  <c r="N38" i="11" s="1"/>
  <c r="K38" i="11"/>
  <c r="D38" i="11"/>
  <c r="C38" i="11"/>
  <c r="CC37" i="11"/>
  <c r="BV37" i="11"/>
  <c r="BS37" i="11"/>
  <c r="BK37" i="11"/>
  <c r="BL37" i="11" s="1"/>
  <c r="BI37" i="11"/>
  <c r="BB37" i="11"/>
  <c r="BA37" i="11"/>
  <c r="AY37" i="11"/>
  <c r="AR37" i="11"/>
  <c r="AQ37" i="11"/>
  <c r="AO37" i="11"/>
  <c r="AG37" i="11"/>
  <c r="AH37" i="11" s="1"/>
  <c r="AE37" i="11"/>
  <c r="X37" i="11"/>
  <c r="W37" i="11"/>
  <c r="U37" i="11"/>
  <c r="M37" i="11"/>
  <c r="N37" i="11" s="1"/>
  <c r="K37" i="11"/>
  <c r="C37" i="11"/>
  <c r="D37" i="11" s="1"/>
  <c r="CC36" i="11"/>
  <c r="BV36" i="11"/>
  <c r="BS36" i="11"/>
  <c r="BK36" i="11"/>
  <c r="BL36" i="11" s="1"/>
  <c r="BI36" i="11"/>
  <c r="BA36" i="11"/>
  <c r="BB36" i="11" s="1"/>
  <c r="AY36" i="11"/>
  <c r="AQ36" i="11"/>
  <c r="AR36" i="11" s="1"/>
  <c r="AO36" i="11"/>
  <c r="AG36" i="11"/>
  <c r="AH36" i="11" s="1"/>
  <c r="AE36" i="11"/>
  <c r="AE44" i="11" s="1"/>
  <c r="X36" i="11"/>
  <c r="W36" i="11"/>
  <c r="U36" i="11"/>
  <c r="M36" i="11"/>
  <c r="N36" i="11" s="1"/>
  <c r="K36" i="11"/>
  <c r="C36" i="11"/>
  <c r="D36" i="11" s="1"/>
  <c r="CC35" i="11"/>
  <c r="BV35" i="11"/>
  <c r="BS35" i="11"/>
  <c r="BK35" i="11"/>
  <c r="BL35" i="11" s="1"/>
  <c r="BI35" i="11"/>
  <c r="BA35" i="11"/>
  <c r="BB35" i="11" s="1"/>
  <c r="AY35" i="11"/>
  <c r="AR35" i="11"/>
  <c r="AQ35" i="11"/>
  <c r="AO35" i="11"/>
  <c r="AG35" i="11"/>
  <c r="AH35" i="11" s="1"/>
  <c r="AE35" i="11"/>
  <c r="W35" i="11"/>
  <c r="X35" i="11" s="1"/>
  <c r="U35" i="11"/>
  <c r="M35" i="11"/>
  <c r="N35" i="11" s="1"/>
  <c r="K35" i="11"/>
  <c r="C35" i="11"/>
  <c r="D35" i="11" s="1"/>
  <c r="CC34" i="11"/>
  <c r="BV34" i="11"/>
  <c r="BU34" i="11"/>
  <c r="BU44" i="11" s="1"/>
  <c r="BV44" i="11" s="1"/>
  <c r="BS34" i="11"/>
  <c r="BK34" i="11"/>
  <c r="BL34" i="11" s="1"/>
  <c r="BI34" i="11"/>
  <c r="BI44" i="11" s="1"/>
  <c r="BA34" i="11"/>
  <c r="BB34" i="11" s="1"/>
  <c r="AY34" i="11"/>
  <c r="AR34" i="11"/>
  <c r="AQ34" i="11"/>
  <c r="AO34" i="11"/>
  <c r="AG34" i="11"/>
  <c r="AH34" i="11" s="1"/>
  <c r="AE34" i="11"/>
  <c r="W34" i="11"/>
  <c r="X34" i="11" s="1"/>
  <c r="U34" i="11"/>
  <c r="M34" i="11"/>
  <c r="N34" i="11" s="1"/>
  <c r="K34" i="11"/>
  <c r="C34" i="11"/>
  <c r="D34" i="11" s="1"/>
  <c r="CC33" i="11"/>
  <c r="BV33" i="11"/>
  <c r="BS33" i="11"/>
  <c r="BK33" i="11"/>
  <c r="BL33" i="11" s="1"/>
  <c r="BI33" i="11"/>
  <c r="BA33" i="11"/>
  <c r="BB33" i="11" s="1"/>
  <c r="AY33" i="11"/>
  <c r="AR33" i="11"/>
  <c r="AQ33" i="11"/>
  <c r="AO33" i="11"/>
  <c r="AG33" i="11"/>
  <c r="AH33" i="11" s="1"/>
  <c r="AE33" i="11"/>
  <c r="W33" i="11"/>
  <c r="X33" i="11" s="1"/>
  <c r="U33" i="11"/>
  <c r="N33" i="11"/>
  <c r="M33" i="11"/>
  <c r="K33" i="11"/>
  <c r="C33" i="11"/>
  <c r="D33" i="11" s="1"/>
  <c r="CC32" i="11"/>
  <c r="CC44" i="11" s="1"/>
  <c r="BV32" i="11"/>
  <c r="BS32" i="11"/>
  <c r="BS44" i="11" s="1"/>
  <c r="BL32" i="11"/>
  <c r="BK32" i="11"/>
  <c r="BI32" i="11"/>
  <c r="BA32" i="11"/>
  <c r="BA44" i="11" s="1"/>
  <c r="BB44" i="11" s="1"/>
  <c r="AY32" i="11"/>
  <c r="AY44" i="11" s="1"/>
  <c r="AQ32" i="11"/>
  <c r="AR32" i="11" s="1"/>
  <c r="AO32" i="11"/>
  <c r="AO44" i="11" s="1"/>
  <c r="AG32" i="11"/>
  <c r="AH32" i="11" s="1"/>
  <c r="AE32" i="11"/>
  <c r="W32" i="11"/>
  <c r="X32" i="11" s="1"/>
  <c r="U32" i="11"/>
  <c r="U44" i="11" s="1"/>
  <c r="N32" i="11"/>
  <c r="M32" i="11"/>
  <c r="M44" i="11" s="1"/>
  <c r="N44" i="11" s="1"/>
  <c r="K32" i="11"/>
  <c r="K44" i="11" s="1"/>
  <c r="C32" i="11"/>
  <c r="C44" i="11" s="1"/>
  <c r="D44" i="11" s="1"/>
  <c r="CB29" i="11"/>
  <c r="CB66" i="11" s="1"/>
  <c r="CA29" i="11"/>
  <c r="CA66" i="11" s="1"/>
  <c r="BZ29" i="11"/>
  <c r="BZ66" i="11" s="1"/>
  <c r="BY29" i="11"/>
  <c r="BY66" i="11" s="1"/>
  <c r="BX29" i="11"/>
  <c r="BX66" i="11" s="1"/>
  <c r="BW29" i="11"/>
  <c r="BW66" i="11" s="1"/>
  <c r="BT29" i="11"/>
  <c r="BR29" i="11"/>
  <c r="BR66" i="11" s="1"/>
  <c r="BQ29" i="11"/>
  <c r="BQ66" i="11" s="1"/>
  <c r="BP29" i="11"/>
  <c r="BP66" i="11" s="1"/>
  <c r="BO29" i="11"/>
  <c r="BO66" i="11" s="1"/>
  <c r="BN29" i="11"/>
  <c r="BN66" i="11" s="1"/>
  <c r="BM29" i="11"/>
  <c r="BM66" i="11" s="1"/>
  <c r="BJ29" i="11"/>
  <c r="BJ66" i="11" s="1"/>
  <c r="BH29" i="11"/>
  <c r="BH66" i="11" s="1"/>
  <c r="BG29" i="11"/>
  <c r="BG66" i="11" s="1"/>
  <c r="BF29" i="11"/>
  <c r="BF66" i="11" s="1"/>
  <c r="BE29" i="11"/>
  <c r="BE66" i="11" s="1"/>
  <c r="BD29" i="11"/>
  <c r="BD66" i="11" s="1"/>
  <c r="BC29" i="11"/>
  <c r="BC66" i="11" s="1"/>
  <c r="AZ29" i="11"/>
  <c r="AZ66" i="11" s="1"/>
  <c r="AX29" i="11"/>
  <c r="AX66" i="11" s="1"/>
  <c r="AW29" i="11"/>
  <c r="AW66" i="11" s="1"/>
  <c r="AV29" i="11"/>
  <c r="AV66" i="11" s="1"/>
  <c r="AU29" i="11"/>
  <c r="AU66" i="11" s="1"/>
  <c r="AT29" i="11"/>
  <c r="AT66" i="11" s="1"/>
  <c r="AS29" i="11"/>
  <c r="AS66" i="11" s="1"/>
  <c r="AP29" i="11"/>
  <c r="AP66" i="11" s="1"/>
  <c r="AN29" i="11"/>
  <c r="AM29" i="11"/>
  <c r="AL29" i="11"/>
  <c r="AL66" i="11" s="1"/>
  <c r="AK29" i="11"/>
  <c r="AK66" i="11" s="1"/>
  <c r="AJ29" i="11"/>
  <c r="AJ66" i="11" s="1"/>
  <c r="AI29" i="11"/>
  <c r="AF29" i="11"/>
  <c r="AF66" i="11" s="1"/>
  <c r="AD29" i="11"/>
  <c r="AD66" i="11" s="1"/>
  <c r="AC29" i="11"/>
  <c r="AC66" i="11" s="1"/>
  <c r="AB29" i="11"/>
  <c r="AB66" i="11" s="1"/>
  <c r="AA29" i="11"/>
  <c r="AA66" i="11" s="1"/>
  <c r="Z29" i="11"/>
  <c r="Z66" i="11" s="1"/>
  <c r="Y29" i="11"/>
  <c r="Y66" i="11" s="1"/>
  <c r="V29" i="11"/>
  <c r="V66" i="11" s="1"/>
  <c r="T29" i="11"/>
  <c r="T66" i="11" s="1"/>
  <c r="S29" i="11"/>
  <c r="S66" i="11" s="1"/>
  <c r="R29" i="11"/>
  <c r="R66" i="11" s="1"/>
  <c r="Q29" i="11"/>
  <c r="Q66" i="11" s="1"/>
  <c r="P29" i="11"/>
  <c r="P66" i="11" s="1"/>
  <c r="O29" i="11"/>
  <c r="O66" i="11" s="1"/>
  <c r="L29" i="11"/>
  <c r="L66" i="11" s="1"/>
  <c r="J29" i="11"/>
  <c r="J66" i="11" s="1"/>
  <c r="I29" i="11"/>
  <c r="I66" i="11" s="1"/>
  <c r="H29" i="11"/>
  <c r="G29" i="11"/>
  <c r="F29" i="11"/>
  <c r="F66" i="11" s="1"/>
  <c r="E29" i="11"/>
  <c r="E66" i="11" s="1"/>
  <c r="B29" i="11"/>
  <c r="B66" i="11" s="1"/>
  <c r="CC27" i="11"/>
  <c r="BU27" i="11"/>
  <c r="BV27" i="11" s="1"/>
  <c r="BS27" i="11"/>
  <c r="BL27" i="11"/>
  <c r="BK27" i="11"/>
  <c r="BI27" i="11"/>
  <c r="BA27" i="11"/>
  <c r="BB27" i="11" s="1"/>
  <c r="AY27" i="11"/>
  <c r="AQ27" i="11"/>
  <c r="AR27" i="11" s="1"/>
  <c r="AO27" i="11"/>
  <c r="AH27" i="11"/>
  <c r="AG27" i="11"/>
  <c r="AE27" i="11"/>
  <c r="W27" i="11"/>
  <c r="X27" i="11" s="1"/>
  <c r="U27" i="11"/>
  <c r="N27" i="11"/>
  <c r="M27" i="11"/>
  <c r="K27" i="11"/>
  <c r="C27" i="11"/>
  <c r="D27" i="11" s="1"/>
  <c r="CC26" i="11"/>
  <c r="BU26" i="11"/>
  <c r="BV26" i="11" s="1"/>
  <c r="BS26" i="11"/>
  <c r="BL26" i="11"/>
  <c r="BK26" i="11"/>
  <c r="BI26" i="11"/>
  <c r="BA26" i="11"/>
  <c r="BB26" i="11" s="1"/>
  <c r="AY26" i="11"/>
  <c r="AQ26" i="11"/>
  <c r="AR26" i="11" s="1"/>
  <c r="AO26" i="11"/>
  <c r="AH26" i="11"/>
  <c r="AG26" i="11"/>
  <c r="AE26" i="11"/>
  <c r="W26" i="11"/>
  <c r="X26" i="11" s="1"/>
  <c r="U26" i="11"/>
  <c r="N26" i="11"/>
  <c r="M26" i="11"/>
  <c r="K26" i="11"/>
  <c r="C26" i="11"/>
  <c r="D26" i="11" s="1"/>
  <c r="CC25" i="11"/>
  <c r="BU25" i="11"/>
  <c r="BV25" i="11" s="1"/>
  <c r="BS25" i="11"/>
  <c r="BL25" i="11"/>
  <c r="BK25" i="11"/>
  <c r="BI25" i="11"/>
  <c r="BA25" i="11"/>
  <c r="BB25" i="11" s="1"/>
  <c r="AY25" i="11"/>
  <c r="AQ25" i="11"/>
  <c r="AR25" i="11" s="1"/>
  <c r="AO25" i="11"/>
  <c r="AH25" i="11"/>
  <c r="AG25" i="11"/>
  <c r="AE25" i="11"/>
  <c r="W25" i="11"/>
  <c r="X25" i="11" s="1"/>
  <c r="U25" i="11"/>
  <c r="N25" i="11"/>
  <c r="M25" i="11"/>
  <c r="K25" i="11"/>
  <c r="C25" i="11"/>
  <c r="D25" i="11" s="1"/>
  <c r="CC24" i="11"/>
  <c r="BU24" i="11"/>
  <c r="BV24" i="11" s="1"/>
  <c r="BS24" i="11"/>
  <c r="BL24" i="11"/>
  <c r="BK24" i="11"/>
  <c r="BI24" i="11"/>
  <c r="BA24" i="11"/>
  <c r="BB24" i="11" s="1"/>
  <c r="AY24" i="11"/>
  <c r="AQ24" i="11"/>
  <c r="AR24" i="11" s="1"/>
  <c r="AO24" i="11"/>
  <c r="AG24" i="11"/>
  <c r="AH24" i="11" s="1"/>
  <c r="AE24" i="11"/>
  <c r="W24" i="11"/>
  <c r="X24" i="11" s="1"/>
  <c r="U24" i="11"/>
  <c r="N24" i="11"/>
  <c r="M24" i="11"/>
  <c r="K24" i="11"/>
  <c r="C24" i="11"/>
  <c r="D24" i="11" s="1"/>
  <c r="CC23" i="11"/>
  <c r="BU23" i="11"/>
  <c r="BV23" i="11" s="1"/>
  <c r="BS23" i="11"/>
  <c r="BL23" i="11"/>
  <c r="BK23" i="11"/>
  <c r="BI23" i="11"/>
  <c r="BA23" i="11"/>
  <c r="BB23" i="11" s="1"/>
  <c r="AY23" i="11"/>
  <c r="AQ23" i="11"/>
  <c r="AR23" i="11" s="1"/>
  <c r="AO23" i="11"/>
  <c r="AG23" i="11"/>
  <c r="AH23" i="11" s="1"/>
  <c r="AE23" i="11"/>
  <c r="W23" i="11"/>
  <c r="X23" i="11" s="1"/>
  <c r="U23" i="11"/>
  <c r="N23" i="11"/>
  <c r="M23" i="11"/>
  <c r="K23" i="11"/>
  <c r="C23" i="11"/>
  <c r="D23" i="11" s="1"/>
  <c r="CC22" i="11"/>
  <c r="BU22" i="11"/>
  <c r="BV22" i="11" s="1"/>
  <c r="BS22" i="11"/>
  <c r="BL22" i="11"/>
  <c r="BK22" i="11"/>
  <c r="BI22" i="11"/>
  <c r="BA22" i="11"/>
  <c r="BB22" i="11" s="1"/>
  <c r="AY22" i="11"/>
  <c r="AQ22" i="11"/>
  <c r="AR22" i="11" s="1"/>
  <c r="AO22" i="11"/>
  <c r="AH22" i="11"/>
  <c r="AG22" i="11"/>
  <c r="AE22" i="11"/>
  <c r="W22" i="11"/>
  <c r="X22" i="11" s="1"/>
  <c r="U22" i="11"/>
  <c r="N22" i="11"/>
  <c r="M22" i="11"/>
  <c r="K22" i="11"/>
  <c r="C22" i="11"/>
  <c r="D22" i="11" s="1"/>
  <c r="CC21" i="11"/>
  <c r="BU21" i="11"/>
  <c r="BV21" i="11" s="1"/>
  <c r="BS21" i="11"/>
  <c r="BL21" i="11"/>
  <c r="BK21" i="11"/>
  <c r="BI21" i="11"/>
  <c r="BA21" i="11"/>
  <c r="BB21" i="11" s="1"/>
  <c r="AY21" i="11"/>
  <c r="AQ21" i="11"/>
  <c r="AR21" i="11" s="1"/>
  <c r="AO21" i="11"/>
  <c r="AH21" i="11"/>
  <c r="AG21" i="11"/>
  <c r="AE21" i="11"/>
  <c r="W21" i="11"/>
  <c r="X21" i="11" s="1"/>
  <c r="U21" i="11"/>
  <c r="N21" i="11"/>
  <c r="M21" i="11"/>
  <c r="K21" i="11"/>
  <c r="C21" i="11"/>
  <c r="D21" i="11" s="1"/>
  <c r="CC20" i="11"/>
  <c r="BU20" i="11"/>
  <c r="BV20" i="11" s="1"/>
  <c r="BS20" i="11"/>
  <c r="BL20" i="11"/>
  <c r="BK20" i="11"/>
  <c r="BI20" i="11"/>
  <c r="BA20" i="11"/>
  <c r="BB20" i="11" s="1"/>
  <c r="AY20" i="11"/>
  <c r="AQ20" i="11"/>
  <c r="AR20" i="11" s="1"/>
  <c r="AO20" i="11"/>
  <c r="AH20" i="11"/>
  <c r="AG20" i="11"/>
  <c r="AE20" i="11"/>
  <c r="W20" i="11"/>
  <c r="X20" i="11" s="1"/>
  <c r="U20" i="11"/>
  <c r="N20" i="11"/>
  <c r="M20" i="11"/>
  <c r="K20" i="11"/>
  <c r="D20" i="11"/>
  <c r="C20" i="11"/>
  <c r="CC19" i="11"/>
  <c r="BV19" i="11"/>
  <c r="BS19" i="11"/>
  <c r="BS29" i="11" s="1"/>
  <c r="BL19" i="11"/>
  <c r="BK19" i="11"/>
  <c r="BI19" i="11"/>
  <c r="BB19" i="11"/>
  <c r="BA19" i="11"/>
  <c r="AY19" i="11"/>
  <c r="AQ19" i="11"/>
  <c r="AR19" i="11" s="1"/>
  <c r="AO19" i="11"/>
  <c r="AH19" i="11"/>
  <c r="AG19" i="11"/>
  <c r="AE19" i="11"/>
  <c r="W19" i="11"/>
  <c r="X19" i="11" s="1"/>
  <c r="U19" i="11"/>
  <c r="M19" i="11"/>
  <c r="N19" i="11" s="1"/>
  <c r="K19" i="11"/>
  <c r="C19" i="11"/>
  <c r="D19" i="11" s="1"/>
  <c r="CC18" i="11"/>
  <c r="BV18" i="11"/>
  <c r="BS18" i="11"/>
  <c r="BK18" i="11"/>
  <c r="BL18" i="11" s="1"/>
  <c r="BI18" i="11"/>
  <c r="BA18" i="11"/>
  <c r="BB18" i="11" s="1"/>
  <c r="AY18" i="11"/>
  <c r="AQ18" i="11"/>
  <c r="AR18" i="11" s="1"/>
  <c r="AO18" i="11"/>
  <c r="AH18" i="11"/>
  <c r="AG18" i="11"/>
  <c r="AE18" i="11"/>
  <c r="W18" i="11"/>
  <c r="X18" i="11" s="1"/>
  <c r="U18" i="11"/>
  <c r="M18" i="11"/>
  <c r="N18" i="11" s="1"/>
  <c r="K18" i="11"/>
  <c r="D18" i="11"/>
  <c r="C18" i="11"/>
  <c r="CC17" i="11"/>
  <c r="BU17" i="11"/>
  <c r="BV17" i="11" s="1"/>
  <c r="BS17" i="11"/>
  <c r="BK17" i="11"/>
  <c r="BL17" i="11" s="1"/>
  <c r="BI17" i="11"/>
  <c r="BB17" i="11"/>
  <c r="BA17" i="11"/>
  <c r="AY17" i="11"/>
  <c r="AQ17" i="11"/>
  <c r="AR17" i="11" s="1"/>
  <c r="AO17" i="11"/>
  <c r="AH17" i="11"/>
  <c r="AG17" i="11"/>
  <c r="AE17" i="11"/>
  <c r="W17" i="11"/>
  <c r="X17" i="11" s="1"/>
  <c r="U17" i="11"/>
  <c r="M17" i="11"/>
  <c r="N17" i="11" s="1"/>
  <c r="K17" i="11"/>
  <c r="D17" i="11"/>
  <c r="C17" i="11"/>
  <c r="CC16" i="11"/>
  <c r="BV16" i="11"/>
  <c r="BS16" i="11"/>
  <c r="BK16" i="11"/>
  <c r="BL16" i="11" s="1"/>
  <c r="BI16" i="11"/>
  <c r="BB16" i="11"/>
  <c r="BA16" i="11"/>
  <c r="AY16" i="11"/>
  <c r="AQ16" i="11"/>
  <c r="AR16" i="11" s="1"/>
  <c r="AO16" i="11"/>
  <c r="AG16" i="11"/>
  <c r="AH16" i="11" s="1"/>
  <c r="AE16" i="11"/>
  <c r="X16" i="11"/>
  <c r="W16" i="11"/>
  <c r="U16" i="11"/>
  <c r="M16" i="11"/>
  <c r="M29" i="11" s="1"/>
  <c r="K16" i="11"/>
  <c r="D16" i="11"/>
  <c r="C16" i="11"/>
  <c r="CC15" i="11"/>
  <c r="BV15" i="11"/>
  <c r="BS15" i="11"/>
  <c r="BK15" i="11"/>
  <c r="BL15" i="11" s="1"/>
  <c r="BI15" i="11"/>
  <c r="BB15" i="11"/>
  <c r="BA15" i="11"/>
  <c r="AY15" i="11"/>
  <c r="AQ15" i="11"/>
  <c r="AR15" i="11" s="1"/>
  <c r="AO15" i="11"/>
  <c r="AO29" i="11" s="1"/>
  <c r="AG15" i="11"/>
  <c r="AH15" i="11" s="1"/>
  <c r="AE15" i="11"/>
  <c r="X15" i="11"/>
  <c r="W15" i="11"/>
  <c r="U15" i="11"/>
  <c r="M15" i="11"/>
  <c r="N15" i="11" s="1"/>
  <c r="K15" i="11"/>
  <c r="C15" i="11"/>
  <c r="D15" i="11" s="1"/>
  <c r="CC14" i="11"/>
  <c r="BV14" i="11"/>
  <c r="BS14" i="11"/>
  <c r="BK14" i="11"/>
  <c r="BL14" i="11" s="1"/>
  <c r="BI14" i="11"/>
  <c r="BA14" i="11"/>
  <c r="BB14" i="11" s="1"/>
  <c r="AY14" i="11"/>
  <c r="AR14" i="11"/>
  <c r="AQ14" i="11"/>
  <c r="AO14" i="11"/>
  <c r="AG14" i="11"/>
  <c r="AH14" i="11" s="1"/>
  <c r="AE14" i="11"/>
  <c r="AE29" i="11" s="1"/>
  <c r="AE66" i="11" s="1"/>
  <c r="X14" i="11"/>
  <c r="W14" i="11"/>
  <c r="U14" i="11"/>
  <c r="M14" i="11"/>
  <c r="N14" i="11" s="1"/>
  <c r="K14" i="11"/>
  <c r="C14" i="11"/>
  <c r="D14" i="11" s="1"/>
  <c r="CC13" i="11"/>
  <c r="BV13" i="11"/>
  <c r="BS13" i="11"/>
  <c r="BK13" i="11"/>
  <c r="BL13" i="11" s="1"/>
  <c r="BI13" i="11"/>
  <c r="BA13" i="11"/>
  <c r="BB13" i="11" s="1"/>
  <c r="AY13" i="11"/>
  <c r="AR13" i="11"/>
  <c r="AQ13" i="11"/>
  <c r="AO13" i="11"/>
  <c r="AG13" i="11"/>
  <c r="AH13" i="11" s="1"/>
  <c r="AE13" i="11"/>
  <c r="W13" i="11"/>
  <c r="X13" i="11" s="1"/>
  <c r="U13" i="11"/>
  <c r="N13" i="11"/>
  <c r="M13" i="11"/>
  <c r="K13" i="11"/>
  <c r="C13" i="11"/>
  <c r="D13" i="11" s="1"/>
  <c r="CC12" i="11"/>
  <c r="BV12" i="11"/>
  <c r="BU12" i="11"/>
  <c r="BU29" i="11" s="1"/>
  <c r="BS12" i="11"/>
  <c r="BK12" i="11"/>
  <c r="BL12" i="11" s="1"/>
  <c r="BI12" i="11"/>
  <c r="BI29" i="11" s="1"/>
  <c r="BA12" i="11"/>
  <c r="BB12" i="11" s="1"/>
  <c r="AY12" i="11"/>
  <c r="AR12" i="11"/>
  <c r="AQ12" i="11"/>
  <c r="AO12" i="11"/>
  <c r="AG12" i="11"/>
  <c r="AG29" i="11" s="1"/>
  <c r="AE12" i="11"/>
  <c r="W12" i="11"/>
  <c r="X12" i="11" s="1"/>
  <c r="U12" i="11"/>
  <c r="N12" i="11"/>
  <c r="M12" i="11"/>
  <c r="K12" i="11"/>
  <c r="C12" i="11"/>
  <c r="D12" i="11" s="1"/>
  <c r="CC11" i="11"/>
  <c r="CC29" i="11" s="1"/>
  <c r="BV11" i="11"/>
  <c r="BS11" i="11"/>
  <c r="BL11" i="11"/>
  <c r="BK11" i="11"/>
  <c r="BI11" i="11"/>
  <c r="BA11" i="11"/>
  <c r="BA29" i="11" s="1"/>
  <c r="AY11" i="11"/>
  <c r="AY29" i="11" s="1"/>
  <c r="AR11" i="11"/>
  <c r="AQ11" i="11"/>
  <c r="AQ29" i="11" s="1"/>
  <c r="AO11" i="11"/>
  <c r="AG11" i="11"/>
  <c r="AH11" i="11" s="1"/>
  <c r="AE11" i="11"/>
  <c r="W11" i="11"/>
  <c r="W29" i="11" s="1"/>
  <c r="U11" i="11"/>
  <c r="U29" i="11" s="1"/>
  <c r="U66" i="11" s="1"/>
  <c r="N11" i="11"/>
  <c r="M11" i="11"/>
  <c r="K11" i="11"/>
  <c r="K29" i="11" s="1"/>
  <c r="C11" i="11"/>
  <c r="C29" i="11" s="1"/>
  <c r="BF8" i="1"/>
  <c r="BF7" i="1"/>
  <c r="CC66" i="11" l="1"/>
  <c r="AY66" i="11"/>
  <c r="BV29" i="11"/>
  <c r="BS66" i="11"/>
  <c r="D29" i="11"/>
  <c r="AG66" i="11"/>
  <c r="AH29" i="11"/>
  <c r="X29" i="11"/>
  <c r="CB147" i="11"/>
  <c r="BT159" i="11" s="1"/>
  <c r="BB29" i="11"/>
  <c r="P147" i="11"/>
  <c r="M66" i="11"/>
  <c r="N29" i="11"/>
  <c r="AQ66" i="11"/>
  <c r="AR29" i="11"/>
  <c r="AX147" i="11"/>
  <c r="AP159" i="11" s="1"/>
  <c r="W44" i="11"/>
  <c r="X44" i="11" s="1"/>
  <c r="AR47" i="11"/>
  <c r="X11" i="11"/>
  <c r="AY64" i="11"/>
  <c r="W80" i="11"/>
  <c r="X80" i="11" s="1"/>
  <c r="X71" i="11"/>
  <c r="BA80" i="11"/>
  <c r="BB80" i="11" s="1"/>
  <c r="AR109" i="11"/>
  <c r="AQ111" i="11"/>
  <c r="D114" i="11"/>
  <c r="AH114" i="11"/>
  <c r="AG145" i="11"/>
  <c r="AB147" i="11"/>
  <c r="AN147" i="11"/>
  <c r="AF159" i="11" s="1"/>
  <c r="BC147" i="11"/>
  <c r="D145" i="11"/>
  <c r="AG44" i="11"/>
  <c r="AH44" i="11" s="1"/>
  <c r="X47" i="11"/>
  <c r="BA64" i="11"/>
  <c r="BB64" i="11" s="1"/>
  <c r="CC64" i="11"/>
  <c r="AE80" i="11"/>
  <c r="BI80" i="11"/>
  <c r="CC109" i="11"/>
  <c r="CC111" i="11" s="1"/>
  <c r="BV145" i="11"/>
  <c r="AF145" i="11"/>
  <c r="AF147" i="11" s="1"/>
  <c r="AH129" i="11"/>
  <c r="G147" i="11"/>
  <c r="R147" i="11"/>
  <c r="AC147" i="11"/>
  <c r="BN147" i="11"/>
  <c r="BK29" i="11"/>
  <c r="N16" i="11"/>
  <c r="D11" i="11"/>
  <c r="AH12" i="11"/>
  <c r="BB32" i="11"/>
  <c r="C64" i="11"/>
  <c r="D64" i="11" s="1"/>
  <c r="BB47" i="11"/>
  <c r="AG80" i="11"/>
  <c r="AH80" i="11" s="1"/>
  <c r="AY109" i="11"/>
  <c r="AY111" i="11" s="1"/>
  <c r="BF111" i="11"/>
  <c r="BF147" i="11" s="1"/>
  <c r="H147" i="11"/>
  <c r="S147" i="11"/>
  <c r="BZ147" i="11"/>
  <c r="BU64" i="11"/>
  <c r="BV64" i="11" s="1"/>
  <c r="D74" i="11"/>
  <c r="BW111" i="11"/>
  <c r="AI66" i="11"/>
  <c r="AI147" i="11" s="1"/>
  <c r="D32" i="11"/>
  <c r="AQ44" i="11"/>
  <c r="AR44" i="11" s="1"/>
  <c r="AG64" i="11"/>
  <c r="AH64" i="11" s="1"/>
  <c r="BI64" i="11"/>
  <c r="BI66" i="11" s="1"/>
  <c r="AE109" i="11"/>
  <c r="AE111" i="11" s="1"/>
  <c r="AE147" i="11" s="1"/>
  <c r="V160" i="11" s="1"/>
  <c r="BA109" i="11"/>
  <c r="BB83" i="11"/>
  <c r="J111" i="11"/>
  <c r="J147" i="11" s="1"/>
  <c r="B159" i="11" s="1"/>
  <c r="BS145" i="11"/>
  <c r="BS147" i="11" s="1"/>
  <c r="BJ160" i="11" s="1"/>
  <c r="I147" i="11"/>
  <c r="AL147" i="11"/>
  <c r="BB11" i="11"/>
  <c r="K64" i="11"/>
  <c r="K66" i="11" s="1"/>
  <c r="AH47" i="11"/>
  <c r="C109" i="11"/>
  <c r="AG109" i="11"/>
  <c r="AH83" i="11"/>
  <c r="BT147" i="11"/>
  <c r="AF155" i="11"/>
  <c r="AF157" i="11"/>
  <c r="B147" i="11"/>
  <c r="M64" i="11"/>
  <c r="N64" i="11" s="1"/>
  <c r="AO64" i="11"/>
  <c r="AO66" i="11" s="1"/>
  <c r="Z111" i="11"/>
  <c r="Z147" i="11" s="1"/>
  <c r="BU111" i="11"/>
  <c r="W145" i="11"/>
  <c r="AK147" i="11"/>
  <c r="AV147" i="11"/>
  <c r="BG147" i="11"/>
  <c r="AC111" i="11"/>
  <c r="AL111" i="11"/>
  <c r="AU111" i="11"/>
  <c r="AU147" i="11" s="1"/>
  <c r="BX111" i="11"/>
  <c r="K145" i="11"/>
  <c r="AO145" i="11"/>
  <c r="BJ147" i="11"/>
  <c r="BT155" i="11"/>
  <c r="BB71" i="11"/>
  <c r="M109" i="11"/>
  <c r="BI109" i="11"/>
  <c r="T111" i="11"/>
  <c r="T147" i="11" s="1"/>
  <c r="L159" i="11" s="1"/>
  <c r="AD111" i="11"/>
  <c r="AD147" i="11" s="1"/>
  <c r="V159" i="11" s="1"/>
  <c r="AM111" i="11"/>
  <c r="AM147" i="11" s="1"/>
  <c r="BP111" i="11"/>
  <c r="BP147" i="11" s="1"/>
  <c r="BY111" i="11"/>
  <c r="BY147" i="11" s="1"/>
  <c r="M145" i="11"/>
  <c r="AQ145" i="11"/>
  <c r="AZ147" i="11"/>
  <c r="BK145" i="11"/>
  <c r="N83" i="11"/>
  <c r="BK109" i="11"/>
  <c r="V111" i="11"/>
  <c r="V147" i="11" s="1"/>
  <c r="BQ111" i="11"/>
  <c r="BQ147" i="11" s="1"/>
  <c r="BZ111" i="11"/>
  <c r="CC145" i="11"/>
  <c r="BK80" i="11"/>
  <c r="BL80" i="11" s="1"/>
  <c r="U111" i="11"/>
  <c r="L111" i="11"/>
  <c r="L147" i="11" s="1"/>
  <c r="BH111" i="11"/>
  <c r="BH147" i="11" s="1"/>
  <c r="AZ159" i="11" s="1"/>
  <c r="BR111" i="11"/>
  <c r="BR147" i="11" s="1"/>
  <c r="BJ159" i="11" s="1"/>
  <c r="CA111" i="11"/>
  <c r="CA147" i="11" s="1"/>
  <c r="U145" i="11"/>
  <c r="U147" i="11" s="1"/>
  <c r="L160" i="11" s="1"/>
  <c r="AY145" i="11"/>
  <c r="E147" i="11"/>
  <c r="Y147" i="11"/>
  <c r="AS147" i="11"/>
  <c r="BM147" i="11"/>
  <c r="BV74" i="11"/>
  <c r="W109" i="11"/>
  <c r="BS109" i="11"/>
  <c r="BS111" i="11" s="1"/>
  <c r="E111" i="11"/>
  <c r="O111" i="11"/>
  <c r="O147" i="11" s="1"/>
  <c r="BJ111" i="11"/>
  <c r="BA145" i="11"/>
  <c r="F147" i="11"/>
  <c r="Q147" i="11"/>
  <c r="AT147" i="11"/>
  <c r="BE147" i="11"/>
  <c r="BW147" i="11"/>
  <c r="F111" i="11"/>
  <c r="AZ111" i="11"/>
  <c r="AA147" i="11"/>
  <c r="AJ147" i="11"/>
  <c r="BO147" i="11"/>
  <c r="BX147" i="11"/>
  <c r="M66" i="8"/>
  <c r="N66" i="8" s="1"/>
  <c r="N63" i="8"/>
  <c r="N69" i="8" s="1"/>
  <c r="M63" i="8"/>
  <c r="L63" i="8"/>
  <c r="N51" i="8"/>
  <c r="M51" i="8"/>
  <c r="L51" i="8"/>
  <c r="L46" i="8"/>
  <c r="M45" i="8"/>
  <c r="M46" i="8" s="1"/>
  <c r="N27" i="8"/>
  <c r="N32" i="8" s="1"/>
  <c r="M27" i="8"/>
  <c r="L27" i="8"/>
  <c r="N9" i="8"/>
  <c r="M9" i="8"/>
  <c r="M10" i="8" s="1"/>
  <c r="L9" i="8"/>
  <c r="N7" i="8"/>
  <c r="M7" i="8"/>
  <c r="L7" i="8"/>
  <c r="BD22" i="1"/>
  <c r="BD18" i="1"/>
  <c r="AY22" i="1"/>
  <c r="AY18" i="1"/>
  <c r="N70" i="8"/>
  <c r="M70" i="8"/>
  <c r="M69" i="8"/>
  <c r="M72" i="8" s="1"/>
  <c r="M32" i="8"/>
  <c r="N10" i="8"/>
  <c r="N13" i="8" s="1"/>
  <c r="AF164" i="11" l="1"/>
  <c r="BK111" i="11"/>
  <c r="BL109" i="11"/>
  <c r="AR111" i="11"/>
  <c r="AH66" i="11"/>
  <c r="BB145" i="11"/>
  <c r="BA147" i="11"/>
  <c r="AP165" i="11"/>
  <c r="AP164" i="11"/>
  <c r="AG111" i="11"/>
  <c r="AG147" i="11" s="1"/>
  <c r="AH109" i="11"/>
  <c r="AZ164" i="11"/>
  <c r="AZ161" i="11"/>
  <c r="V164" i="11"/>
  <c r="V161" i="11"/>
  <c r="BL145" i="11"/>
  <c r="D109" i="11"/>
  <c r="C111" i="11"/>
  <c r="BA66" i="11"/>
  <c r="N66" i="11"/>
  <c r="L164" i="11"/>
  <c r="L161" i="11"/>
  <c r="AY147" i="11"/>
  <c r="AP160" i="11" s="1"/>
  <c r="AP161" i="11" s="1"/>
  <c r="BI111" i="11"/>
  <c r="BI147" i="11" s="1"/>
  <c r="AZ160" i="11" s="1"/>
  <c r="AR145" i="11"/>
  <c r="AQ147" i="11"/>
  <c r="N109" i="11"/>
  <c r="M111" i="11"/>
  <c r="K147" i="11"/>
  <c r="B160" i="11" s="1"/>
  <c r="B161" i="11" s="1"/>
  <c r="X145" i="11"/>
  <c r="AH145" i="11"/>
  <c r="W66" i="11"/>
  <c r="W147" i="11" s="1"/>
  <c r="BJ164" i="11"/>
  <c r="BJ161" i="11"/>
  <c r="BT164" i="11"/>
  <c r="BT161" i="11"/>
  <c r="B164" i="11"/>
  <c r="C66" i="11"/>
  <c r="CC147" i="11"/>
  <c r="BT160" i="11" s="1"/>
  <c r="AO147" i="11"/>
  <c r="AF160" i="11" s="1"/>
  <c r="AF161" i="11" s="1"/>
  <c r="BK66" i="11"/>
  <c r="BL29" i="11"/>
  <c r="AR66" i="11"/>
  <c r="W111" i="11"/>
  <c r="X109" i="11"/>
  <c r="N145" i="11"/>
  <c r="BV111" i="11"/>
  <c r="BB109" i="11"/>
  <c r="BA111" i="11"/>
  <c r="BU66" i="11"/>
  <c r="N72" i="8"/>
  <c r="N45" i="8"/>
  <c r="M57" i="8"/>
  <c r="M13" i="8"/>
  <c r="Y38" i="5"/>
  <c r="V158" i="11" l="1"/>
  <c r="X147" i="11"/>
  <c r="V165" i="11"/>
  <c r="AF158" i="11"/>
  <c r="AH147" i="11"/>
  <c r="AF165" i="11"/>
  <c r="D111" i="11"/>
  <c r="C147" i="11"/>
  <c r="BL111" i="11"/>
  <c r="BB147" i="11"/>
  <c r="AZ158" i="11"/>
  <c r="BL66" i="11"/>
  <c r="AR147" i="11"/>
  <c r="AP158" i="11"/>
  <c r="BK147" i="11"/>
  <c r="AZ165" i="11"/>
  <c r="N111" i="11"/>
  <c r="BV66" i="11"/>
  <c r="BU147" i="11"/>
  <c r="V166" i="11"/>
  <c r="X66" i="11"/>
  <c r="M147" i="11"/>
  <c r="AF167" i="11"/>
  <c r="AH111" i="11"/>
  <c r="BB111" i="11"/>
  <c r="AZ167" i="11"/>
  <c r="X111" i="11"/>
  <c r="D66" i="11"/>
  <c r="BB66" i="11"/>
  <c r="M59" i="8"/>
  <c r="N46" i="8"/>
  <c r="N57" i="8" s="1"/>
  <c r="N59" i="8" s="1"/>
  <c r="AP170" i="11" l="1"/>
  <c r="AP169" i="11"/>
  <c r="AP168" i="11"/>
  <c r="AP167" i="11"/>
  <c r="AP162" i="11"/>
  <c r="AP171" i="11"/>
  <c r="AP166" i="11"/>
  <c r="V170" i="11"/>
  <c r="V169" i="11"/>
  <c r="V168" i="11"/>
  <c r="V171" i="11"/>
  <c r="V162" i="11"/>
  <c r="V167" i="11"/>
  <c r="AZ170" i="11"/>
  <c r="AZ169" i="11"/>
  <c r="AZ168" i="11"/>
  <c r="AZ162" i="11"/>
  <c r="AZ171" i="11"/>
  <c r="AF170" i="11"/>
  <c r="AF169" i="11"/>
  <c r="AF168" i="11"/>
  <c r="AF166" i="11"/>
  <c r="AF171" i="11"/>
  <c r="AF162" i="11"/>
  <c r="BT158" i="11"/>
  <c r="BV147" i="11"/>
  <c r="BT165" i="11"/>
  <c r="AZ166" i="11"/>
  <c r="N147" i="11"/>
  <c r="L158" i="11"/>
  <c r="L165" i="11"/>
  <c r="B158" i="11"/>
  <c r="D147" i="11"/>
  <c r="B165" i="11"/>
  <c r="BJ158" i="11"/>
  <c r="BL147" i="11"/>
  <c r="BJ165" i="11"/>
  <c r="BA11" i="1"/>
  <c r="BA8" i="1"/>
  <c r="BA7" i="1"/>
  <c r="K7" i="8"/>
  <c r="K46" i="8"/>
  <c r="K63" i="8"/>
  <c r="K51" i="8"/>
  <c r="K28" i="8"/>
  <c r="K27" i="8"/>
  <c r="K9" i="8"/>
  <c r="L170" i="11" l="1"/>
  <c r="L169" i="11"/>
  <c r="L168" i="11"/>
  <c r="L162" i="11"/>
  <c r="L166" i="11"/>
  <c r="L171" i="11"/>
  <c r="L167" i="11"/>
  <c r="BJ170" i="11"/>
  <c r="BJ169" i="11"/>
  <c r="BJ168" i="11"/>
  <c r="BJ171" i="11"/>
  <c r="BJ162" i="11"/>
  <c r="BJ167" i="11"/>
  <c r="BJ166" i="11"/>
  <c r="B168" i="11"/>
  <c r="B170" i="11"/>
  <c r="B169" i="11"/>
  <c r="B171" i="11"/>
  <c r="B162" i="11"/>
  <c r="B166" i="11"/>
  <c r="B167" i="11"/>
  <c r="BT170" i="11"/>
  <c r="BT169" i="11"/>
  <c r="BT168" i="11"/>
  <c r="BT171" i="11"/>
  <c r="BT162" i="11"/>
  <c r="BT167" i="11"/>
  <c r="BT166" i="11"/>
  <c r="J46" i="8"/>
  <c r="J51" i="8"/>
  <c r="J28" i="8"/>
  <c r="J27" i="8"/>
  <c r="J9" i="8"/>
  <c r="J7" i="8"/>
  <c r="J63" i="8"/>
  <c r="AE22" i="1"/>
  <c r="AE18" i="1"/>
  <c r="AJ22" i="1"/>
  <c r="AJ18" i="1"/>
  <c r="AO22" i="1"/>
  <c r="AO18" i="1"/>
  <c r="L70" i="8" l="1"/>
  <c r="L69" i="8"/>
  <c r="L57" i="8"/>
  <c r="L32" i="8"/>
  <c r="L10" i="8"/>
  <c r="L13" i="8" s="1"/>
  <c r="L72" i="8" l="1"/>
  <c r="L59" i="8"/>
  <c r="K70" i="8" l="1"/>
  <c r="K69" i="8"/>
  <c r="K32" i="8"/>
  <c r="K10" i="8"/>
  <c r="K13" i="8" s="1"/>
  <c r="K72" i="8" l="1"/>
  <c r="K57" i="8"/>
  <c r="K59" i="8" s="1"/>
  <c r="BF9" i="1" l="1"/>
  <c r="BA9" i="1"/>
  <c r="AV9" i="1"/>
  <c r="AK23" i="5" l="1"/>
  <c r="AJ23" i="5"/>
  <c r="AI23" i="5"/>
  <c r="AH23" i="5"/>
  <c r="AG23" i="5"/>
  <c r="AF23" i="5"/>
  <c r="AE23" i="5"/>
  <c r="AD23" i="5"/>
  <c r="AC23" i="5"/>
  <c r="AB23" i="5"/>
  <c r="AQ9" i="1" l="1"/>
  <c r="AL9" i="1"/>
  <c r="AG9" i="1"/>
  <c r="AB9" i="1"/>
  <c r="W9" i="1"/>
  <c r="R9" i="1"/>
  <c r="M9" i="1"/>
  <c r="H9" i="1" l="1"/>
  <c r="I46" i="8" l="1"/>
  <c r="I63" i="8" l="1"/>
  <c r="I51" i="8"/>
  <c r="I28" i="8"/>
  <c r="I27" i="8"/>
  <c r="I9" i="8"/>
  <c r="I7" i="8"/>
  <c r="H66" i="8"/>
  <c r="H63" i="8"/>
  <c r="J70" i="8" l="1"/>
  <c r="J69" i="8"/>
  <c r="J72" i="8" s="1"/>
  <c r="J57" i="8"/>
  <c r="J32" i="8"/>
  <c r="J10" i="8"/>
  <c r="J13" i="8" s="1"/>
  <c r="J59" i="8" l="1"/>
  <c r="H46" i="8" l="1"/>
  <c r="I70" i="8" l="1"/>
  <c r="I69" i="8"/>
  <c r="I57" i="8"/>
  <c r="I32" i="8"/>
  <c r="I10" i="8"/>
  <c r="H70" i="8"/>
  <c r="H69" i="8"/>
  <c r="H72" i="8" s="1"/>
  <c r="H57" i="8"/>
  <c r="H51" i="8"/>
  <c r="H28" i="8"/>
  <c r="H27" i="8"/>
  <c r="H32" i="8" s="1"/>
  <c r="H9" i="8"/>
  <c r="H10" i="8" s="1"/>
  <c r="H7" i="8"/>
  <c r="I72" i="8" l="1"/>
  <c r="I13" i="8"/>
  <c r="I59" i="8" s="1"/>
  <c r="H13" i="8"/>
  <c r="H59" i="8" s="1"/>
  <c r="AG28" i="5"/>
  <c r="G63" i="8" l="1"/>
  <c r="G51" i="8"/>
  <c r="G28" i="8"/>
  <c r="G27" i="8"/>
  <c r="G32" i="8" s="1"/>
  <c r="G9" i="8"/>
  <c r="G10" i="8" s="1"/>
  <c r="G7" i="8"/>
  <c r="G57" i="8"/>
  <c r="F63" i="8"/>
  <c r="D10" i="8"/>
  <c r="D13" i="8" s="1"/>
  <c r="D32" i="8"/>
  <c r="D57" i="8"/>
  <c r="D59" i="8" l="1"/>
  <c r="G13" i="8"/>
  <c r="G59" i="8" s="1"/>
  <c r="AF28" i="5"/>
  <c r="BF13" i="1" l="1"/>
  <c r="BA13" i="1"/>
  <c r="AV13" i="1"/>
  <c r="AQ13" i="1"/>
  <c r="AL13" i="1"/>
  <c r="AG13" i="1"/>
  <c r="AB13" i="1"/>
  <c r="W13" i="1"/>
  <c r="R13" i="1"/>
  <c r="M13" i="1"/>
  <c r="H13" i="1"/>
  <c r="AH29" i="1" l="1"/>
  <c r="O18" i="1" l="1"/>
  <c r="P18" i="1"/>
  <c r="O22" i="1"/>
  <c r="P22" i="1"/>
  <c r="E57" i="8" l="1"/>
  <c r="F57" i="8"/>
  <c r="C57" i="8"/>
  <c r="C32" i="8"/>
  <c r="F32" i="8" l="1"/>
  <c r="E32" i="8"/>
  <c r="D72" i="8" l="1"/>
  <c r="E72" i="8"/>
  <c r="F72" i="8"/>
  <c r="G72" i="8"/>
  <c r="C72" i="8"/>
  <c r="F10" i="8"/>
  <c r="F13" i="8" s="1"/>
  <c r="F59" i="8" s="1"/>
  <c r="E10" i="8"/>
  <c r="E13" i="8" s="1"/>
  <c r="E59" i="8" s="1"/>
  <c r="C10" i="8"/>
  <c r="C13" i="8" s="1"/>
  <c r="W38" i="5"/>
  <c r="U38" i="5"/>
  <c r="S38" i="5"/>
  <c r="Q38" i="5"/>
  <c r="O38" i="5"/>
  <c r="M38" i="5"/>
  <c r="K38" i="5"/>
  <c r="I38" i="5"/>
  <c r="G38" i="5"/>
  <c r="E38" i="5"/>
  <c r="BB31" i="1"/>
  <c r="AW31" i="1"/>
  <c r="AR31" i="1"/>
  <c r="AM31" i="1"/>
  <c r="BD29" i="1"/>
  <c r="BC29" i="1"/>
  <c r="BB29" i="1"/>
  <c r="BE28" i="1"/>
  <c r="BE27" i="1"/>
  <c r="BC22" i="1"/>
  <c r="BB22" i="1"/>
  <c r="BE21" i="1"/>
  <c r="BE20" i="1"/>
  <c r="BC18" i="1"/>
  <c r="BB18" i="1"/>
  <c r="BE17" i="1"/>
  <c r="BE16" i="1"/>
  <c r="BD9" i="1"/>
  <c r="BC9" i="1"/>
  <c r="BB9" i="1"/>
  <c r="BE8" i="1"/>
  <c r="BE7" i="1"/>
  <c r="AY29" i="1"/>
  <c r="AX29" i="1"/>
  <c r="AW29" i="1"/>
  <c r="AZ28" i="1"/>
  <c r="AZ27" i="1"/>
  <c r="AX22" i="1"/>
  <c r="AW22" i="1"/>
  <c r="AZ21" i="1"/>
  <c r="AZ20" i="1"/>
  <c r="AX18" i="1"/>
  <c r="AW18" i="1"/>
  <c r="AZ17" i="1"/>
  <c r="AZ16" i="1"/>
  <c r="AY9" i="1"/>
  <c r="AX9" i="1"/>
  <c r="AW9" i="1"/>
  <c r="AZ8" i="1"/>
  <c r="AZ7" i="1"/>
  <c r="AT29" i="1"/>
  <c r="AS29" i="1"/>
  <c r="AR29" i="1"/>
  <c r="AU28" i="1"/>
  <c r="AU27" i="1"/>
  <c r="AT22" i="1"/>
  <c r="AS22" i="1"/>
  <c r="AR22" i="1"/>
  <c r="AU21" i="1"/>
  <c r="AU20" i="1"/>
  <c r="AT18" i="1"/>
  <c r="AS18" i="1"/>
  <c r="AR18" i="1"/>
  <c r="AU17" i="1"/>
  <c r="AU16" i="1"/>
  <c r="AT9" i="1"/>
  <c r="AS9" i="1"/>
  <c r="AR9" i="1"/>
  <c r="AU8" i="1"/>
  <c r="AU7" i="1"/>
  <c r="AU18" i="1" l="1"/>
  <c r="BE22" i="1"/>
  <c r="AU29" i="1"/>
  <c r="BE29" i="1"/>
  <c r="AZ29" i="1"/>
  <c r="AU22" i="1"/>
  <c r="AU9" i="1"/>
  <c r="AZ9" i="1"/>
  <c r="AZ18" i="1"/>
  <c r="AZ22" i="1"/>
  <c r="BE9" i="1"/>
  <c r="BE18" i="1"/>
  <c r="C59" i="8"/>
  <c r="C61" i="8" s="1"/>
  <c r="C67" i="8" s="1"/>
  <c r="D4" i="8" s="1"/>
  <c r="D61" i="8" s="1"/>
  <c r="D67" i="8" s="1"/>
  <c r="E4" i="8" l="1"/>
  <c r="E61" i="8" l="1"/>
  <c r="E67" i="8" s="1"/>
  <c r="F4" i="8" s="1"/>
  <c r="F61" i="8" l="1"/>
  <c r="F67" i="8" s="1"/>
  <c r="G4" i="8" s="1"/>
  <c r="G61" i="8" s="1"/>
  <c r="G67" i="8" s="1"/>
  <c r="H4" i="8" s="1"/>
  <c r="H61" i="8" s="1"/>
  <c r="H67" i="8" s="1"/>
  <c r="I4" i="8" s="1"/>
  <c r="I61" i="8" s="1"/>
  <c r="I67" i="8" s="1"/>
  <c r="J4" i="8" s="1"/>
  <c r="J61" i="8" s="1"/>
  <c r="J67" i="8" s="1"/>
  <c r="K4" i="8" s="1"/>
  <c r="K61" i="8" s="1"/>
  <c r="K67" i="8" s="1"/>
  <c r="L4" i="8" s="1"/>
  <c r="L61" i="8" s="1"/>
  <c r="L67" i="8" s="1"/>
  <c r="M4" i="8" s="1"/>
  <c r="M61" i="8" s="1"/>
  <c r="M67" i="8" s="1"/>
  <c r="N4" i="8" s="1"/>
  <c r="N61" i="8" s="1"/>
  <c r="N67" i="8" s="1"/>
  <c r="AH31" i="1" l="1"/>
  <c r="AC31" i="1"/>
  <c r="X31" i="1"/>
  <c r="S31" i="1"/>
  <c r="N31" i="1"/>
  <c r="I31" i="1"/>
  <c r="D31" i="1"/>
  <c r="AO29" i="1"/>
  <c r="AN29" i="1"/>
  <c r="AM29" i="1"/>
  <c r="AP28" i="1"/>
  <c r="AP27" i="1"/>
  <c r="AN22" i="1"/>
  <c r="AM22" i="1"/>
  <c r="AP21" i="1"/>
  <c r="AP20" i="1"/>
  <c r="AN18" i="1"/>
  <c r="AM18" i="1"/>
  <c r="AP17" i="1"/>
  <c r="AP16" i="1"/>
  <c r="AO9" i="1"/>
  <c r="AN9" i="1"/>
  <c r="AM9" i="1"/>
  <c r="AP8" i="1"/>
  <c r="AP7" i="1"/>
  <c r="AJ29" i="1"/>
  <c r="AI29" i="1"/>
  <c r="AK28" i="1"/>
  <c r="AK27" i="1"/>
  <c r="AI22" i="1"/>
  <c r="AH22" i="1"/>
  <c r="AK21" i="1"/>
  <c r="AK20" i="1"/>
  <c r="AI18" i="1"/>
  <c r="AH18" i="1"/>
  <c r="AK17" i="1"/>
  <c r="AK16" i="1"/>
  <c r="AJ9" i="1"/>
  <c r="AI9" i="1"/>
  <c r="AH9" i="1"/>
  <c r="AK8" i="1"/>
  <c r="AK7" i="1"/>
  <c r="AP9" i="1" l="1"/>
  <c r="AP18" i="1"/>
  <c r="AK9" i="1"/>
  <c r="AK18" i="1"/>
  <c r="AK22" i="1"/>
  <c r="AP22" i="1"/>
  <c r="AK29" i="1"/>
  <c r="AP29" i="1"/>
  <c r="AD22" i="1" l="1"/>
  <c r="AC22" i="1"/>
  <c r="AF21" i="1"/>
  <c r="AF20" i="1"/>
  <c r="AD18" i="1"/>
  <c r="AC18" i="1"/>
  <c r="AF17" i="1"/>
  <c r="AF16" i="1"/>
  <c r="Z22" i="1"/>
  <c r="Y22" i="1"/>
  <c r="X22" i="1"/>
  <c r="AA21" i="1"/>
  <c r="AA20" i="1"/>
  <c r="Z18" i="1"/>
  <c r="Y18" i="1"/>
  <c r="X18" i="1"/>
  <c r="AA17" i="1"/>
  <c r="AA16" i="1"/>
  <c r="U22" i="1"/>
  <c r="T22" i="1"/>
  <c r="S22" i="1"/>
  <c r="V21" i="1"/>
  <c r="V20" i="1"/>
  <c r="U18" i="1"/>
  <c r="T18" i="1"/>
  <c r="S18" i="1"/>
  <c r="V17" i="1"/>
  <c r="V16" i="1"/>
  <c r="N22" i="1"/>
  <c r="Q21" i="1"/>
  <c r="Q20" i="1"/>
  <c r="N18" i="1"/>
  <c r="Q17" i="1"/>
  <c r="Q16" i="1"/>
  <c r="Q18" i="1" s="1"/>
  <c r="K22" i="1"/>
  <c r="J22" i="1"/>
  <c r="I22" i="1"/>
  <c r="L21" i="1"/>
  <c r="L20" i="1"/>
  <c r="K18" i="1"/>
  <c r="J18" i="1"/>
  <c r="I18" i="1"/>
  <c r="L17" i="1"/>
  <c r="L16" i="1"/>
  <c r="F22" i="1"/>
  <c r="F18" i="1"/>
  <c r="V22" i="1" l="1"/>
  <c r="L22" i="1"/>
  <c r="AA18" i="1"/>
  <c r="AF18" i="1"/>
  <c r="L18" i="1"/>
  <c r="Q22" i="1"/>
  <c r="AF22" i="1"/>
  <c r="AA22" i="1"/>
  <c r="V18" i="1"/>
  <c r="AE29" i="1"/>
  <c r="AD29" i="1"/>
  <c r="AC29" i="1"/>
  <c r="Z29" i="1"/>
  <c r="Y29" i="1"/>
  <c r="X29" i="1"/>
  <c r="U29" i="1"/>
  <c r="T29" i="1"/>
  <c r="S29" i="1"/>
  <c r="P29" i="1"/>
  <c r="O29" i="1"/>
  <c r="N29" i="1"/>
  <c r="K29" i="1"/>
  <c r="J29" i="1"/>
  <c r="I29" i="1"/>
  <c r="F29" i="1"/>
  <c r="E29" i="1"/>
  <c r="D29" i="1"/>
  <c r="AF28" i="1"/>
  <c r="AA28" i="1"/>
  <c r="V28" i="1"/>
  <c r="Q28" i="1"/>
  <c r="L28" i="1"/>
  <c r="G28" i="1"/>
  <c r="AF27" i="1"/>
  <c r="AA27" i="1"/>
  <c r="V27" i="1"/>
  <c r="Q27" i="1"/>
  <c r="L27" i="1"/>
  <c r="G27" i="1"/>
  <c r="P9" i="1"/>
  <c r="O9" i="1"/>
  <c r="N9" i="1"/>
  <c r="Q8" i="1"/>
  <c r="Q7" i="1"/>
  <c r="K9" i="1"/>
  <c r="J9" i="1"/>
  <c r="I9" i="1"/>
  <c r="L8" i="1"/>
  <c r="L7" i="1"/>
  <c r="F9" i="1"/>
  <c r="E9" i="1"/>
  <c r="D9" i="1"/>
  <c r="G8" i="1"/>
  <c r="G7" i="1"/>
  <c r="AE9" i="1"/>
  <c r="AD9" i="1"/>
  <c r="AC9" i="1"/>
  <c r="AF8" i="1"/>
  <c r="AF7" i="1"/>
  <c r="Z9" i="1"/>
  <c r="Y9" i="1"/>
  <c r="X9" i="1"/>
  <c r="AA8" i="1"/>
  <c r="AA7" i="1"/>
  <c r="V8" i="1"/>
  <c r="V7" i="1"/>
  <c r="G9" i="1" l="1"/>
  <c r="AA9" i="1"/>
  <c r="L9" i="1"/>
  <c r="AF9" i="1"/>
  <c r="AA29" i="1"/>
  <c r="L29" i="1"/>
  <c r="AF29" i="1"/>
  <c r="Q29" i="1"/>
  <c r="V9" i="1"/>
  <c r="V29" i="1"/>
  <c r="Q9" i="1"/>
  <c r="G29" i="1"/>
  <c r="AK19" i="5" l="1"/>
  <c r="AJ19" i="5"/>
  <c r="AI19" i="5"/>
  <c r="AH19" i="5"/>
  <c r="AG19" i="5"/>
  <c r="AF19" i="5"/>
  <c r="AE19" i="5"/>
  <c r="G21" i="1" l="1"/>
  <c r="G20" i="1"/>
  <c r="G17" i="1"/>
  <c r="G16" i="1"/>
  <c r="E22" i="1"/>
  <c r="D22" i="1"/>
  <c r="E18" i="1"/>
  <c r="D18" i="1"/>
  <c r="G22" i="1" l="1"/>
  <c r="G18" i="1"/>
  <c r="AD19" i="5" l="1"/>
  <c r="AC19" i="5"/>
  <c r="AB19" i="5"/>
  <c r="T9" i="1" l="1"/>
  <c r="S9" i="1"/>
  <c r="U9" i="1"/>
</calcChain>
</file>

<file path=xl/sharedStrings.xml><?xml version="1.0" encoding="utf-8"?>
<sst xmlns="http://schemas.openxmlformats.org/spreadsheetml/2006/main" count="603" uniqueCount="262">
  <si>
    <t>x</t>
  </si>
  <si>
    <t>Unduplicated Headcount</t>
  </si>
  <si>
    <t>Student Credit Hours</t>
  </si>
  <si>
    <t>FTE</t>
  </si>
  <si>
    <t>Undergraduate</t>
  </si>
  <si>
    <t>Resident</t>
  </si>
  <si>
    <t>Non-Resident</t>
  </si>
  <si>
    <t>Preparatory/
Remedial</t>
  </si>
  <si>
    <t>Dual Enrollment</t>
  </si>
  <si>
    <t>Gross Tuition</t>
  </si>
  <si>
    <t>Less:</t>
  </si>
  <si>
    <t>Net Tuition Income</t>
  </si>
  <si>
    <t>Student Contact Hours</t>
  </si>
  <si>
    <t>RATE/UNIT</t>
  </si>
  <si>
    <t>TOTAL REVENUE</t>
  </si>
  <si>
    <t>TYPE OF FEE</t>
  </si>
  <si>
    <t>REVENUE CLASS</t>
  </si>
  <si>
    <t>PCS SUB. PRO.</t>
  </si>
  <si>
    <t>Rate</t>
  </si>
  <si>
    <t>Unit</t>
  </si>
  <si>
    <t>MANDATORY FEES</t>
  </si>
  <si>
    <t>Unres. Aux. Oper.</t>
  </si>
  <si>
    <t>Unres. Gen.</t>
  </si>
  <si>
    <t>OTHER FEES AND CHARGES</t>
  </si>
  <si>
    <t>Select Calendar</t>
  </si>
  <si>
    <t>Reimbursable for State Aid</t>
  </si>
  <si>
    <t>Non-Reimbursable for State Aid</t>
  </si>
  <si>
    <t>Of students reported above:</t>
  </si>
  <si>
    <t>2012-13</t>
  </si>
  <si>
    <t>2017-18</t>
  </si>
  <si>
    <t>2016-17</t>
  </si>
  <si>
    <t>2013-14</t>
  </si>
  <si>
    <t>2014-15</t>
  </si>
  <si>
    <t>2015-16</t>
  </si>
  <si>
    <t>2018-19</t>
  </si>
  <si>
    <t>2019-20</t>
  </si>
  <si>
    <t>Total</t>
  </si>
  <si>
    <t>2020-21</t>
  </si>
  <si>
    <t>2021-22</t>
  </si>
  <si>
    <t>2022-23</t>
  </si>
  <si>
    <t>SCH</t>
  </si>
  <si>
    <t>Cash Fund Number</t>
  </si>
  <si>
    <t>NCHEMS</t>
  </si>
  <si>
    <t>Actual</t>
  </si>
  <si>
    <t>Est.</t>
  </si>
  <si>
    <t>Sub-Prog</t>
  </si>
  <si>
    <t>Unencumb. Bal. Forward</t>
  </si>
  <si>
    <t>Tuition Income</t>
  </si>
  <si>
    <t xml:space="preserve">  Need-based Remissions/Scholar</t>
  </si>
  <si>
    <t xml:space="preserve">  Non-need-based Remissions/Sch</t>
  </si>
  <si>
    <t xml:space="preserve">  TOTAL Remissions/Scholarships</t>
  </si>
  <si>
    <t xml:space="preserve">  Refunds</t>
  </si>
  <si>
    <t>A Subtotal--Gross Tuition Less</t>
  </si>
  <si>
    <t xml:space="preserve">   Remissions &amp; Refunds</t>
  </si>
  <si>
    <t>Student Fees</t>
  </si>
  <si>
    <t>B Subtotal--Student Fees</t>
  </si>
  <si>
    <t>Other Income</t>
  </si>
  <si>
    <t>C Subtotal--Other Income</t>
  </si>
  <si>
    <t>TOTAL Cash Revenue (Sum A..C)</t>
  </si>
  <si>
    <t>TOTAL Cash Revenue + Balance</t>
  </si>
  <si>
    <t>(Less) PCS 1-7 Cash Expenditures</t>
  </si>
  <si>
    <t>(Less) PCS 8 Cash Exp. (Optional)</t>
  </si>
  <si>
    <t>(Less) Encumb.</t>
  </si>
  <si>
    <t>(Less) Necess. Reserve</t>
  </si>
  <si>
    <t>Available Balance</t>
  </si>
  <si>
    <t xml:space="preserve">C.F. Expenditures (PCS 1-7) </t>
  </si>
  <si>
    <t>PCS 8 Expenditures (if applicable)</t>
  </si>
  <si>
    <t>Total Cash Expenditures</t>
  </si>
  <si>
    <t xml:space="preserve">  Forms/Reports 100-A, 101-A</t>
  </si>
  <si>
    <t>Insert rows above here</t>
  </si>
  <si>
    <t>Facilities Fee</t>
  </si>
  <si>
    <t xml:space="preserve">  Change of Schedule</t>
  </si>
  <si>
    <t xml:space="preserve">  Matriculation</t>
  </si>
  <si>
    <t xml:space="preserve">  Degree</t>
  </si>
  <si>
    <t xml:space="preserve">  Health</t>
  </si>
  <si>
    <t xml:space="preserve">  Placement</t>
  </si>
  <si>
    <t xml:space="preserve">  Student Act.</t>
  </si>
  <si>
    <t xml:space="preserve">  Transcripts</t>
  </si>
  <si>
    <t xml:space="preserve">  I.D. Cards</t>
  </si>
  <si>
    <t xml:space="preserve">  Federal Reimb.</t>
  </si>
  <si>
    <t xml:space="preserve">  Sales of Prop.</t>
  </si>
  <si>
    <t xml:space="preserve">  Auto Registration</t>
  </si>
  <si>
    <t xml:space="preserve">  Parking Fines</t>
  </si>
  <si>
    <t xml:space="preserve">  Library Fines</t>
  </si>
  <si>
    <t xml:space="preserve">  Xeroxing</t>
  </si>
  <si>
    <t xml:space="preserve">  Vending Machines</t>
  </si>
  <si>
    <t xml:space="preserve">  Advertising</t>
  </si>
  <si>
    <t>Student Services</t>
  </si>
  <si>
    <t>Technology Fee</t>
  </si>
  <si>
    <t>Dormitory/Apts</t>
  </si>
  <si>
    <t>Library Fines</t>
  </si>
  <si>
    <t>Miscellaneous</t>
  </si>
  <si>
    <t>Noncredit Program Facility Fee</t>
  </si>
  <si>
    <t>Parking Fine</t>
  </si>
  <si>
    <t>Late Payment Fee</t>
  </si>
  <si>
    <t>VAR</t>
  </si>
  <si>
    <t>DAY</t>
  </si>
  <si>
    <t>DSC</t>
  </si>
  <si>
    <t>EACH</t>
  </si>
  <si>
    <t xml:space="preserve">  Late Payment/Reenrollment</t>
  </si>
  <si>
    <t xml:space="preserve">  Non-Credit-Program Fee</t>
  </si>
  <si>
    <t xml:space="preserve">  Non-Credit-Prog Fee (transfer out)</t>
  </si>
  <si>
    <t xml:space="preserve">  Service Fee/Other</t>
  </si>
  <si>
    <t xml:space="preserve">  Technology</t>
  </si>
  <si>
    <t xml:space="preserve">  Testing</t>
  </si>
  <si>
    <t xml:space="preserve">  NOG (Nebr State Grant)</t>
  </si>
  <si>
    <t xml:space="preserve">  NOG (included in tuition)</t>
  </si>
  <si>
    <t xml:space="preserve">  Tobacco Settlement</t>
  </si>
  <si>
    <t xml:space="preserve">  Interest (Revolving Fund)</t>
  </si>
  <si>
    <t xml:space="preserve">  Gate Receipts (Revolving Fund)</t>
  </si>
  <si>
    <t xml:space="preserve">  Facility Rentals (Revolving Fund)</t>
  </si>
  <si>
    <t xml:space="preserve">  Other (Revolving Fund)</t>
  </si>
  <si>
    <t xml:space="preserve">  State Aid (General Fund)</t>
  </si>
  <si>
    <t xml:space="preserve">  Local Taxes (Other Fund)</t>
  </si>
  <si>
    <t>Hours and tuition for hybrid courses, which are a combination of 50% classroom and 50% online instruction methods, have been split 50/50 between the rows for resident/nonresident and distance/online hours for 2014-15.
Uncollectible student debt has been recorded in the Refunds row.</t>
  </si>
  <si>
    <t>Semester</t>
  </si>
  <si>
    <t>Classroom supply fees, Credit for Prior Learning fees, service charges, and testing fees are included in the Miscellaneous fees row.</t>
  </si>
  <si>
    <t>Refunds</t>
  </si>
  <si>
    <t>Remissions/Waivers</t>
  </si>
  <si>
    <t xml:space="preserve">To obtain unduplicated headcount for each year, only students taking non-reimbursable courses exclusively are being counted in the Non-Reimbursable for State Aid category.
Note the preparatory/remedial and dual enrollment headcount, hours, and FTE are included in the Reimbursable for State Aid category totals as well as in their own respective categories.
Uncollectible student debt has been included in the Refunds. </t>
  </si>
  <si>
    <t>To obtain unduplicated headcount for each year, only students taking non-reimbursale courses exclusively are being counted in the Non-Reimbursable for State Aid category.
Note the preparatory/remedial and dual enrollment headcount, hours, and FTE are included in the Reimbursable for State Aid category totals as well as in their own respective categories.
Uncollectible student debt has been included in the Refunds.</t>
  </si>
  <si>
    <t>Classroom supply fees, Credit for Prior Learning fees, service charges, and testing fees are included in the Miscellaneous fees row.  Facilities fee was moved from unrestricted auxiliary operations to restricted capital improve-ment fund in 18-19.</t>
  </si>
  <si>
    <t>Restrct</t>
  </si>
  <si>
    <t>Resident Mandatory Fees Revenue</t>
  </si>
  <si>
    <t>Non-resident Mandatory Fees Revenue</t>
  </si>
  <si>
    <t>Total Mandatory Fees Revenue</t>
  </si>
  <si>
    <r>
      <t>Total Mandatory Fees Revenue</t>
    </r>
    <r>
      <rPr>
        <sz val="9"/>
        <rFont val="Arial"/>
        <family val="2"/>
      </rPr>
      <t/>
    </r>
  </si>
  <si>
    <t>Classroom supply fees, Credit for Prior Learning fees, service charges, and testing fees are included in the Miscellaneous fees row.  Occupancy in the residence halls was limited to about 50% due to the pandemic.</t>
  </si>
  <si>
    <t>To obtain unduplicated headcount for each year, only students taking non-reimbursable courses exclusively are being counted in the Non-Reimbursable for State Aid category.
Note the preparatory/remedial and dual enrollment headcount, hours, and FTE are included in the Reimbursable for State Aid category totals as well as in their own respective categories.
Uncollectible student debt has been included in the Refunds row. Free tuition was offered for the summer of 2021, resulting in the large increase in the Remissions/Waivers row.</t>
  </si>
  <si>
    <t>FUNDING BY SOURCE</t>
  </si>
  <si>
    <t>PROGRAM DESCRIPTION</t>
  </si>
  <si>
    <t>Headcount</t>
  </si>
  <si>
    <t>Total Value</t>
  </si>
  <si>
    <t>Average Award</t>
  </si>
  <si>
    <t>Tuition Waivers</t>
  </si>
  <si>
    <t>Institution</t>
  </si>
  <si>
    <t>State</t>
  </si>
  <si>
    <t>Federal</t>
  </si>
  <si>
    <t>Other</t>
  </si>
  <si>
    <t>Amount to Nebraska Residents</t>
  </si>
  <si>
    <t>Tuition Waivers to Nebraska Residents</t>
  </si>
  <si>
    <t>ACADEMIC AID</t>
  </si>
  <si>
    <t>(1) Need Based</t>
  </si>
  <si>
    <t>Northeast Student Need Based Scholarship</t>
  </si>
  <si>
    <t>ACE Plus</t>
  </si>
  <si>
    <t>Federal Direct Subsidized</t>
  </si>
  <si>
    <t>Federal Pell Grant</t>
  </si>
  <si>
    <t>Federal Supplemental Education Opportunity Grant (FSEOG)</t>
  </si>
  <si>
    <t>Foundation Aid (need-based)</t>
  </si>
  <si>
    <t>General College Schol (need-based)</t>
  </si>
  <si>
    <t>Nebraska Opportunity Grant (NOG)</t>
  </si>
  <si>
    <t>New Beginnings/Perkins</t>
  </si>
  <si>
    <t>CCPE Gap Assistance</t>
  </si>
  <si>
    <t>Insert rows above here by copying row above and Insert Copied Cells</t>
  </si>
  <si>
    <t xml:space="preserve">    Subtotal Need Based</t>
  </si>
  <si>
    <t>(2) Ability Based</t>
  </si>
  <si>
    <t>Board of Governor Scholarship</t>
  </si>
  <si>
    <t>Deans Waiver</t>
  </si>
  <si>
    <t>Deans Waiver Adult Educ</t>
  </si>
  <si>
    <t>Foundation Aid (merit-based)</t>
  </si>
  <si>
    <t>General College Schol (merit-based)</t>
  </si>
  <si>
    <t>Presidential Early Entry</t>
  </si>
  <si>
    <t xml:space="preserve">    Subtotal Ability Based</t>
  </si>
  <si>
    <t>(3) Membership Based</t>
  </si>
  <si>
    <t>Law Enforcement</t>
  </si>
  <si>
    <t>Help Grant</t>
  </si>
  <si>
    <t>Administrative Staff &amp; Dependents</t>
  </si>
  <si>
    <t>Bureau of Indian Affairs</t>
  </si>
  <si>
    <t>Instructional Staff &amp; Dependents</t>
  </si>
  <si>
    <t>Military Reserves</t>
  </si>
  <si>
    <t>National Guard</t>
  </si>
  <si>
    <t>NE Military Dept</t>
  </si>
  <si>
    <t>Nucor</t>
  </si>
  <si>
    <t>Veterans Administration</t>
  </si>
  <si>
    <t>TRIO Grant</t>
  </si>
  <si>
    <t xml:space="preserve">    Subtotal Membership Based</t>
  </si>
  <si>
    <t xml:space="preserve">    TOTAL ACADEMIC AID</t>
  </si>
  <si>
    <t>AID FOR SERVICE</t>
  </si>
  <si>
    <t>Vocational Rehabilitation Grant</t>
  </si>
  <si>
    <t>Work Study</t>
  </si>
  <si>
    <t>Workforce</t>
  </si>
  <si>
    <t>Women's Soccer</t>
  </si>
  <si>
    <t>Women's Softball</t>
  </si>
  <si>
    <t>Student Actvities Council</t>
  </si>
  <si>
    <t>Men's Soccer</t>
  </si>
  <si>
    <t>Drama/Music/Speech/Journalism</t>
  </si>
  <si>
    <t>Livestock Judging</t>
  </si>
  <si>
    <t>Men's Basketball</t>
  </si>
  <si>
    <t>Men's Golf</t>
  </si>
  <si>
    <t>Residence Hall Assistants</t>
  </si>
  <si>
    <t>Student Ambassadors</t>
  </si>
  <si>
    <t>Student Senate (Student Government Assn)</t>
  </si>
  <si>
    <t>Women's Basketball</t>
  </si>
  <si>
    <t>Women's Volleyball</t>
  </si>
  <si>
    <t>Men's Baseball</t>
  </si>
  <si>
    <t>Dance</t>
  </si>
  <si>
    <t>Men's Rodeo</t>
  </si>
  <si>
    <t>Women's Rodeo</t>
  </si>
  <si>
    <t xml:space="preserve">    TOTAL AID FOR SERVICE</t>
  </si>
  <si>
    <t>Other Aid</t>
  </si>
  <si>
    <t>Foundation/non need &amp;  non merit</t>
  </si>
  <si>
    <t>Scholastic Contest Waiver</t>
  </si>
  <si>
    <t>Career Day Waiver</t>
  </si>
  <si>
    <t>Northeast New Program Scholarship</t>
  </si>
  <si>
    <t>Alternative Private Loans</t>
  </si>
  <si>
    <t>CCPE Scholarship</t>
  </si>
  <si>
    <t>Central Plains Center</t>
  </si>
  <si>
    <t>Federal Direct Unsubsidized</t>
  </si>
  <si>
    <t>Federal PLUS</t>
  </si>
  <si>
    <t>NE Dept of Health Human Svcs</t>
  </si>
  <si>
    <t>Private Schol (privately awarded)</t>
  </si>
  <si>
    <t>Rent waiver dorm temp assignment</t>
  </si>
  <si>
    <t>TEACH Early Childhood Schol</t>
  </si>
  <si>
    <t>Workers Compensation</t>
  </si>
  <si>
    <t>Siouxland Community</t>
  </si>
  <si>
    <t>Study Abroad</t>
  </si>
  <si>
    <t>Other Private Contracts</t>
  </si>
  <si>
    <t>Bridge for Success Waiver</t>
  </si>
  <si>
    <t>Referral Pilot Tuition Waiver</t>
  </si>
  <si>
    <t>Malawi Tuition Waiver</t>
  </si>
  <si>
    <t>UNMC BHWET Tuition and Fee Waiver</t>
  </si>
  <si>
    <t>IE Tuition and Fee Waiver</t>
  </si>
  <si>
    <t>Intersession</t>
  </si>
  <si>
    <t>Summer Tuition Waiver</t>
  </si>
  <si>
    <t xml:space="preserve">    Subtotal Other Aid</t>
  </si>
  <si>
    <t xml:space="preserve">    GRAND TOTAL ACADEMIC AID, AID FOR SERVICE, OTHER AID</t>
  </si>
  <si>
    <t xml:space="preserve">     DATA CALCULATIONS</t>
  </si>
  <si>
    <t xml:space="preserve"> 1.  Total institutional headcount</t>
  </si>
  <si>
    <t>Other funding sources are private sources (individuals, businesses and organizations) and the Northeast Community College Foundation.
Total institutional headcount is an unduplicated headcount for all credit terms of the fiscal year.</t>
  </si>
  <si>
    <t>Total institutional headcount is an unduplicated headcount for all credit terms of the fiscal year.
Other funding sources are private sources (individuals, businesses and organizations) and the Northeast Community College Foundation.
In the 2017-18 data submitted last year, In the Academic Aid, Need Based section, Foundation Aid (need-based) was entered in the wrong column.  It should be included in the Other column (not Federal column).</t>
  </si>
  <si>
    <t xml:space="preserve">Total institutional headcount is an unduplicated headcount for all credit terms of the fiscal year plus headcount for CCPE Gap Assistance.
Other funding sources are private sources (individuals, businesses and organizations) and the Northeast Community College Foundation.
For the 2018-19 data, in the Other Aid category, change the description for Mercy Medical Center to Siouxland Community due to a fund name change.
For the 2018-19 data, in the Other Aid category, change Foundation Study Abroad to simply Study Abroad as the College has also started to provide some funding for this.    
Number of students participating in financial aid programs and number of Nebraska residents receiving financial aid is for all credit terms plus the headcount for CCPE Gap Assistance.
</t>
  </si>
  <si>
    <t xml:space="preserve">Total institutional headcount is an unduplicated headcount for all credit terms of the fiscal year plus headcount for CCPE Gap Assistance.
Other funding sources are private sources (individuals, businesses and organizations) and the Northeast Community College Foundation.                                                                       Number of students participating in financial aid programs and number of Nebraska residents receiving financial is for all credit terms plus the headcount for CCPE Gap Assistance. 
</t>
  </si>
  <si>
    <t xml:space="preserve"> 2.  Number of students participating in financial aid programs</t>
  </si>
  <si>
    <t xml:space="preserve"> 3.  Number of students receiving more than one aid</t>
  </si>
  <si>
    <t xml:space="preserve"> 4.  % of total institutional headcount receiving aid</t>
  </si>
  <si>
    <t xml:space="preserve"> 5.  Number of Nebraska residents receiving financial aid</t>
  </si>
  <si>
    <t xml:space="preserve"> 6.  % participation by Nebraska residents</t>
  </si>
  <si>
    <t xml:space="preserve"> 7.  Total dollar value of financial aid</t>
  </si>
  <si>
    <t xml:space="preserve"> 8.  Amount received by Nebraska residents</t>
  </si>
  <si>
    <t xml:space="preserve"> 9.  Amount of Tuition Waivers received by Nebraska residents</t>
  </si>
  <si>
    <t>10.  Amount of Tuition Waivers received by non-Nebraska residents</t>
  </si>
  <si>
    <t>11.  % of total dollar amount received by Nebraska residents</t>
  </si>
  <si>
    <t>12.  Gross tuition income less refunds</t>
  </si>
  <si>
    <t>13.  % gross tuition income remitted to students</t>
  </si>
  <si>
    <t>14.  % remissions is of Grand Total of all aid</t>
  </si>
  <si>
    <t>15.  % Academic Aid is of Grand Total of all aid</t>
  </si>
  <si>
    <t>16.  % Aid for Service is of Grand Total of all aid</t>
  </si>
  <si>
    <t>17.  % Need Based Aid is of Grand Total of all aid</t>
  </si>
  <si>
    <t>18.  % Ability Based Aid is of Grand Total of all aid</t>
  </si>
  <si>
    <t>19.  % Aid Based on Membership is of Grand Total of all aid</t>
  </si>
  <si>
    <t>20. % Other Academic Aid as a Grand Total of All Aid</t>
  </si>
  <si>
    <t>2023-24</t>
  </si>
  <si>
    <t>To obtain unduplicated headcount for each year, only students taking non-reimbursable courses exclusively are being counted in the Non-Reimbursable for State Aid category.
Note the preparatory/remedial and dual enrollment headcount, hours, and FTE are included in the Reimbursable for State Aid category totals as well as in their own respective categories.
Uncollectible student debt has been included in the Refunds row.</t>
  </si>
  <si>
    <t xml:space="preserve">Total institutional headcount is an unduplicated headcount for all credit terms of the fiscal year plus headcount for CCPE Gap Assistance.
Number of students participating in financial aid programs and number of Nebraska residents receiving financial aid is for all credit terms plus the headcount for CCPE Gap Assistance. 
Other funding sources are private sources (individuals, businesses and organizations) and the Northeast Community College Foundation.          </t>
  </si>
  <si>
    <t>Classroom supply fees, Credit for Prior Learning fees, service charges, testing fees, and miscellaneous fines are included in the Miscellaneous fees row.</t>
  </si>
  <si>
    <t>2024-25</t>
  </si>
  <si>
    <t>Career Scholarship- State of Nebraska</t>
  </si>
  <si>
    <t>Classroom supply fees, Credit for Prior Learning fees, late payment fees, service charges, testing fees, parking fines, book fines, and miscellaneous fines are all included in the Miscellaneous row.</t>
  </si>
  <si>
    <t>To obtain unduplicated headcount for each year, only students taking non-reimbursable courses exclusively are being counted in the Non-Reimbursable for State Aid category.
Note the preparatory/remedial and dual enrollment headcount, hours, and FTE are included in the Reimbursable for State Aid category totals as well as in their own respective categories.
Tuition refunds were included in the appropriate undergraduate resident and non-resident rows in the Gross Tuition column.</t>
  </si>
  <si>
    <t>NE Teammates Dependent Waiver</t>
  </si>
  <si>
    <t>Latino Event Waiver</t>
  </si>
  <si>
    <t>Presidents Waiver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</si>
</sst>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4" formatCode="_(&quot;$&quot;* #,##0.00_);_(&quot;$&quot;* \(#,##0.00\);_(&quot;$&quot;* &quot;-&quot;??_);_(@_)"/>
    <numFmt numFmtId="43" formatCode="_(* #,##0.00_);_(* \(#,##0.00\);_(* &quot;-&quot;??_);_(@_)"/>
    <numFmt numFmtId="164" formatCode="#,##0.0"/>
    <numFmt numFmtId="165" formatCode="0_)"/>
    <numFmt numFmtId="166" formatCode="&quot;$&quot;#,##0"/>
    <numFmt numFmtId="167" formatCode="_(* #,##0_);_(* \(#,##0\);_(* &quot;-&quot;??_);_(@_)"/>
    <numFmt numFmtId="168" formatCode="&quot;$&quot;#,##0.00"/>
    <numFmt numFmtId="169" formatCode="0.0%"/>
  </numFmts>
  <fonts count="68">
    <font>
      <sz val="11"/>
      <color theme="1"/>
      <name val="Calibri"/>
      <family val="2"/>
      <scheme val="minor"/>
    </font>
    <font>
      <sz val="11"/>
      <color theme="1"/>
      <name val="Calibri"/>
      <family val="2"/>
      <scheme val="minor"/>
    </font>
    <font>
      <sz val="11"/>
      <color theme="1"/>
      <name val="Arial"/>
      <family val="2"/>
    </font>
    <font>
      <sz val="11"/>
      <name val="Arial"/>
      <family val="2"/>
    </font>
    <font>
      <b/>
      <sz val="11"/>
      <color theme="1"/>
      <name val="Arial"/>
      <family val="2"/>
    </font>
    <font>
      <b/>
      <u/>
      <sz val="11"/>
      <color theme="1"/>
      <name val="Calibri"/>
      <family val="2"/>
      <scheme val="minor"/>
    </font>
    <font>
      <b/>
      <sz val="10"/>
      <name val="Arial"/>
      <family val="2"/>
    </font>
    <font>
      <sz val="12"/>
      <name val="Times New Roman"/>
      <family val="1"/>
    </font>
    <font>
      <b/>
      <sz val="10"/>
      <color theme="1"/>
      <name val="Arial"/>
      <family val="2"/>
    </font>
    <font>
      <b/>
      <sz val="12"/>
      <name val="Arial"/>
      <family val="2"/>
    </font>
    <font>
      <b/>
      <sz val="12"/>
      <color rgb="FFFF0000"/>
      <name val="Arial"/>
      <family val="2"/>
    </font>
    <font>
      <sz val="10"/>
      <name val="Arial"/>
      <family val="2"/>
    </font>
    <font>
      <sz val="11"/>
      <color indexed="8"/>
      <name val="Calibri"/>
      <family val="2"/>
    </font>
    <font>
      <sz val="10"/>
      <color indexed="8"/>
      <name val="Times New Roman"/>
      <family val="2"/>
    </font>
    <font>
      <sz val="10"/>
      <name val="Times New Roman"/>
      <family val="1"/>
    </font>
    <font>
      <u/>
      <sz val="10"/>
      <color rgb="FF800080"/>
      <name val="Arial"/>
      <family val="2"/>
    </font>
    <font>
      <u/>
      <sz val="11"/>
      <color theme="10"/>
      <name val="Calibri"/>
      <family val="2"/>
      <scheme val="minor"/>
    </font>
    <font>
      <u/>
      <sz val="10"/>
      <color theme="10"/>
      <name val="Times New Roman"/>
      <family val="1"/>
    </font>
    <font>
      <u/>
      <sz val="10"/>
      <color rgb="FF0000FF"/>
      <name val="Arial"/>
      <family val="2"/>
    </font>
    <font>
      <u/>
      <sz val="11"/>
      <color theme="10"/>
      <name val="Calibri"/>
      <family val="2"/>
    </font>
    <font>
      <u/>
      <sz val="11"/>
      <color theme="10"/>
      <name val="Times New Roman"/>
      <family val="2"/>
    </font>
    <font>
      <sz val="10"/>
      <name val="MS Sans Serif"/>
      <family val="2"/>
    </font>
    <font>
      <sz val="8"/>
      <name val="Times New Roman"/>
      <family val="1"/>
    </font>
    <font>
      <sz val="10"/>
      <name val="Arial Unicode MS"/>
      <family val="2"/>
    </font>
    <font>
      <sz val="12"/>
      <name val="Arial"/>
      <family val="2"/>
    </font>
    <font>
      <sz val="10"/>
      <color indexed="8"/>
      <name val="Arial"/>
      <family val="2"/>
    </font>
    <font>
      <sz val="10"/>
      <color indexed="8"/>
      <name val="Arial"/>
      <family val="2"/>
      <charset val="204"/>
    </font>
    <font>
      <sz val="12"/>
      <name val="SWISS"/>
    </font>
    <font>
      <sz val="10"/>
      <color theme="1"/>
      <name val="Tahoma"/>
      <family val="2"/>
    </font>
    <font>
      <sz val="10"/>
      <color theme="1"/>
      <name val="Times New Roman"/>
      <family val="2"/>
    </font>
    <font>
      <sz val="10"/>
      <name val="SWISS"/>
    </font>
    <font>
      <sz val="10"/>
      <color rgb="FF000000"/>
      <name val="Times New Roman"/>
      <family val="1"/>
    </font>
    <font>
      <sz val="11"/>
      <color indexed="8"/>
      <name val="Calibri"/>
      <family val="2"/>
      <scheme val="minor"/>
    </font>
    <font>
      <sz val="10"/>
      <name val="Courier New"/>
      <family val="3"/>
    </font>
    <font>
      <sz val="8"/>
      <name val="DUTCH"/>
    </font>
    <font>
      <sz val="10"/>
      <color rgb="FF000000"/>
      <name val="Arial"/>
      <family val="2"/>
    </font>
    <font>
      <sz val="14"/>
      <color theme="1"/>
      <name val="Calibri"/>
      <family val="2"/>
    </font>
    <font>
      <sz val="18"/>
      <color theme="3"/>
      <name val="Cambria"/>
      <family val="2"/>
      <scheme val="major"/>
    </font>
    <font>
      <sz val="11"/>
      <color theme="0"/>
      <name val="Calibri"/>
      <family val="2"/>
      <scheme val="minor"/>
    </font>
    <font>
      <b/>
      <sz val="11"/>
      <name val="Arial"/>
      <family val="2"/>
    </font>
    <font>
      <sz val="10"/>
      <color theme="0"/>
      <name val="Arial"/>
      <family val="2"/>
    </font>
    <font>
      <sz val="11"/>
      <color theme="9" tint="-0.249977111117893"/>
      <name val="Arial"/>
      <family val="2"/>
    </font>
    <font>
      <sz val="11"/>
      <color theme="9" tint="-0.249977111117893"/>
      <name val="Calibri"/>
      <family val="2"/>
      <scheme val="minor"/>
    </font>
    <font>
      <b/>
      <u/>
      <sz val="11"/>
      <color theme="1"/>
      <name val="Arial"/>
      <family val="2"/>
    </font>
    <font>
      <b/>
      <sz val="11"/>
      <color theme="1"/>
      <name val="Calibri"/>
      <family val="2"/>
      <scheme val="minor"/>
    </font>
    <font>
      <b/>
      <u/>
      <sz val="10"/>
      <name val="Arial"/>
      <family val="2"/>
    </font>
    <font>
      <sz val="9"/>
      <name val="Arial"/>
      <family val="2"/>
    </font>
    <font>
      <sz val="11"/>
      <name val="Calibri"/>
      <family val="2"/>
      <scheme val="minor"/>
    </font>
    <font>
      <b/>
      <sz val="8"/>
      <color rgb="FFFF0000"/>
      <name val="Arial"/>
      <family val="2"/>
    </font>
    <font>
      <sz val="10"/>
      <color theme="1"/>
      <name val="Arial"/>
      <family val="2"/>
    </font>
    <font>
      <sz val="11"/>
      <color theme="1"/>
      <name val="Calibri"/>
      <family val="2"/>
    </font>
    <font>
      <sz val="11"/>
      <color rgb="FF000000"/>
      <name val="Calibri"/>
      <family val="2"/>
    </font>
    <font>
      <b/>
      <sz val="16"/>
      <color rgb="FF000000"/>
      <name val="Calibri"/>
      <family val="2"/>
    </font>
    <font>
      <sz val="12"/>
      <color rgb="FF000000"/>
      <name val="Arial"/>
      <family val="2"/>
    </font>
    <font>
      <i/>
      <sz val="9"/>
      <color theme="1"/>
      <name val="Arial"/>
      <family val="2"/>
    </font>
    <font>
      <b/>
      <sz val="20"/>
      <name val="Cambria"/>
      <family val="1"/>
      <scheme val="major"/>
    </font>
    <font>
      <sz val="11"/>
      <color theme="1"/>
      <name val="Cambria"/>
      <family val="1"/>
      <scheme val="major"/>
    </font>
    <font>
      <b/>
      <sz val="14"/>
      <name val="Cambria"/>
      <family val="1"/>
      <scheme val="major"/>
    </font>
    <font>
      <b/>
      <sz val="14"/>
      <color theme="1"/>
      <name val="Cambria"/>
      <family val="1"/>
      <scheme val="major"/>
    </font>
    <font>
      <sz val="14"/>
      <color theme="1"/>
      <name val="Cambria"/>
      <family val="1"/>
      <scheme val="major"/>
    </font>
    <font>
      <b/>
      <sz val="10"/>
      <name val="Cambria"/>
      <family val="1"/>
      <scheme val="major"/>
    </font>
    <font>
      <sz val="10"/>
      <color theme="1"/>
      <name val="Cambria"/>
      <family val="1"/>
      <scheme val="major"/>
    </font>
    <font>
      <b/>
      <sz val="10"/>
      <color theme="1"/>
      <name val="Cambria"/>
      <family val="1"/>
      <scheme val="major"/>
    </font>
    <font>
      <b/>
      <u/>
      <sz val="10"/>
      <name val="Cambria"/>
      <family val="1"/>
      <scheme val="major"/>
    </font>
    <font>
      <sz val="10"/>
      <name val="Cambria"/>
      <family val="1"/>
      <scheme val="major"/>
    </font>
    <font>
      <b/>
      <sz val="10"/>
      <color rgb="FFFF0000"/>
      <name val="Cambria"/>
      <family val="1"/>
      <scheme val="major"/>
    </font>
    <font>
      <u/>
      <sz val="10"/>
      <name val="Cambria"/>
      <family val="1"/>
      <scheme val="major"/>
    </font>
    <font>
      <sz val="11"/>
      <name val="Cambria"/>
      <family val="1"/>
      <scheme val="major"/>
    </font>
  </fonts>
  <fills count="31">
    <fill>
      <patternFill patternType="none"/>
    </fill>
    <fill>
      <patternFill patternType="gray125"/>
    </fill>
    <fill>
      <patternFill patternType="solid">
        <fgColor rgb="FFFFFFCC"/>
      </patternFill>
    </fill>
    <fill>
      <patternFill patternType="solid">
        <fgColor indexed="9"/>
        <bgColor indexed="9"/>
      </patternFill>
    </fill>
    <fill>
      <patternFill patternType="solid">
        <fgColor theme="0" tint="-0.14999847407452621"/>
        <bgColor indexed="64"/>
      </patternFill>
    </fill>
    <fill>
      <patternFill patternType="solid">
        <fgColor theme="1"/>
        <bgColor indexed="64"/>
      </patternFill>
    </fill>
    <fill>
      <patternFill patternType="solid">
        <fgColor indexed="65"/>
        <bgColor indexed="9"/>
      </patternFill>
    </fill>
    <fill>
      <patternFill patternType="solid">
        <fgColor indexed="9"/>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9"/>
      </patternFill>
    </fill>
    <fill>
      <patternFill patternType="solid">
        <fgColor rgb="FFFFFFFF"/>
        <bgColor rgb="FFFFFFFF"/>
      </patternFill>
    </fill>
    <fill>
      <patternFill patternType="solid">
        <fgColor rgb="FFF2DCDB"/>
        <bgColor rgb="FFFFFFFF"/>
      </patternFill>
    </fill>
    <fill>
      <patternFill patternType="solid">
        <fgColor rgb="FFDDD9C4"/>
        <bgColor rgb="FFFFFFFF"/>
      </patternFill>
    </fill>
    <fill>
      <patternFill patternType="solid">
        <fgColor rgb="FFC5D9F1"/>
        <bgColor rgb="FFFFFFFF"/>
      </patternFill>
    </fill>
    <fill>
      <patternFill patternType="solid">
        <fgColor rgb="FFEBF1DE"/>
        <bgColor rgb="FFFFFFFF"/>
      </patternFill>
    </fill>
    <fill>
      <patternFill patternType="solid">
        <fgColor rgb="FFFDE9D9"/>
        <bgColor rgb="FFFFFFFF"/>
      </patternFill>
    </fill>
    <fill>
      <patternFill patternType="solid">
        <fgColor rgb="FFE4DFEC"/>
        <bgColor rgb="FFFFFFFF"/>
      </patternFill>
    </fill>
    <fill>
      <patternFill patternType="solid">
        <fgColor rgb="FFF2DCDB"/>
        <bgColor rgb="FF000000"/>
      </patternFill>
    </fill>
    <fill>
      <patternFill patternType="solid">
        <fgColor rgb="FFDDD9C4"/>
        <bgColor rgb="FF000000"/>
      </patternFill>
    </fill>
    <fill>
      <patternFill patternType="solid">
        <fgColor rgb="FFC5D9F1"/>
        <bgColor rgb="FF000000"/>
      </patternFill>
    </fill>
    <fill>
      <patternFill patternType="solid">
        <fgColor rgb="FFEBF1DE"/>
        <bgColor rgb="FF000000"/>
      </patternFill>
    </fill>
    <fill>
      <patternFill patternType="solid">
        <fgColor rgb="FFFDE9D9"/>
        <bgColor rgb="FF000000"/>
      </patternFill>
    </fill>
    <fill>
      <patternFill patternType="solid">
        <fgColor rgb="FFE4DFEC"/>
        <bgColor rgb="FF000000"/>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5" tint="0.79998168889431442"/>
        <bgColor rgb="FFFFFFFF"/>
      </patternFill>
    </fill>
    <fill>
      <patternFill patternType="solid">
        <fgColor rgb="FFFFFF00"/>
        <bgColor indexed="64"/>
      </patternFill>
    </fill>
  </fills>
  <borders count="5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auto="1"/>
      </right>
      <top/>
      <bottom style="thin">
        <color auto="1"/>
      </bottom>
      <diagonal/>
    </border>
    <border>
      <left/>
      <right style="medium">
        <color auto="1"/>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auto="1"/>
      </right>
      <top style="medium">
        <color indexed="64"/>
      </top>
      <bottom style="thin">
        <color auto="1"/>
      </bottom>
      <diagonal/>
    </border>
    <border>
      <left style="thin">
        <color indexed="64"/>
      </left>
      <right/>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59">
    <xf numFmtId="0" fontId="0" fillId="0" borderId="0"/>
    <xf numFmtId="165" fontId="7"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0" borderId="0"/>
    <xf numFmtId="0" fontId="11" fillId="0" borderId="0"/>
    <xf numFmtId="0" fontId="14"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23" fillId="0" borderId="0"/>
    <xf numFmtId="0" fontId="23" fillId="0" borderId="0"/>
    <xf numFmtId="0" fontId="1" fillId="0" borderId="0"/>
    <xf numFmtId="0" fontId="24" fillId="0" borderId="0"/>
    <xf numFmtId="0" fontId="11" fillId="0" borderId="0"/>
    <xf numFmtId="0" fontId="25" fillId="0" borderId="0"/>
    <xf numFmtId="0" fontId="11" fillId="0" borderId="0"/>
    <xf numFmtId="0" fontId="26" fillId="0" borderId="0"/>
    <xf numFmtId="37" fontId="27" fillId="0" borderId="0"/>
    <xf numFmtId="0" fontId="24" fillId="0" borderId="0"/>
    <xf numFmtId="0" fontId="11" fillId="0" borderId="0"/>
    <xf numFmtId="0" fontId="28" fillId="0" borderId="0"/>
    <xf numFmtId="0" fontId="29" fillId="0" borderId="0"/>
    <xf numFmtId="165" fontId="7" fillId="0" borderId="0"/>
    <xf numFmtId="0" fontId="30" fillId="0" borderId="0"/>
    <xf numFmtId="0" fontId="7" fillId="0" borderId="0"/>
    <xf numFmtId="0" fontId="7"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31" fillId="0" borderId="0"/>
    <xf numFmtId="0" fontId="3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37" fontId="22" fillId="0" borderId="0"/>
    <xf numFmtId="0" fontId="7" fillId="0" borderId="0"/>
    <xf numFmtId="39" fontId="34" fillId="7" borderId="0"/>
    <xf numFmtId="0" fontId="35"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24"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2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5" fontId="7" fillId="0" borderId="0"/>
    <xf numFmtId="165"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37"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0" fontId="11" fillId="0" borderId="0"/>
    <xf numFmtId="37" fontId="22"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2" borderId="1" applyNumberFormat="0" applyFont="0" applyAlignment="0" applyProtection="0"/>
    <xf numFmtId="0" fontId="1" fillId="2" borderId="1"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80">
    <xf numFmtId="0" fontId="0" fillId="0" borderId="0" xfId="0"/>
    <xf numFmtId="164" fontId="2" fillId="0" borderId="2" xfId="0" applyNumberFormat="1" applyFont="1" applyBorder="1" applyProtection="1">
      <protection locked="0"/>
    </xf>
    <xf numFmtId="164" fontId="2" fillId="0" borderId="2" xfId="0" applyNumberFormat="1" applyFont="1" applyBorder="1"/>
    <xf numFmtId="164" fontId="2" fillId="4" borderId="2" xfId="0" applyNumberFormat="1" applyFont="1" applyFill="1" applyBorder="1"/>
    <xf numFmtId="3" fontId="2" fillId="0" borderId="0" xfId="0" applyNumberFormat="1" applyFont="1"/>
    <xf numFmtId="164" fontId="2" fillId="0" borderId="0" xfId="0" applyNumberFormat="1" applyFont="1"/>
    <xf numFmtId="164" fontId="2" fillId="3" borderId="0" xfId="0" applyNumberFormat="1" applyFont="1" applyFill="1"/>
    <xf numFmtId="0" fontId="2" fillId="3" borderId="0" xfId="0" applyFont="1" applyFill="1"/>
    <xf numFmtId="0" fontId="6" fillId="3" borderId="0" xfId="0" applyFont="1" applyFill="1"/>
    <xf numFmtId="0" fontId="6" fillId="3" borderId="9" xfId="0" applyFont="1" applyFill="1" applyBorder="1"/>
    <xf numFmtId="0" fontId="6" fillId="0" borderId="0" xfId="0" applyFont="1"/>
    <xf numFmtId="0" fontId="2" fillId="3" borderId="0" xfId="0" applyFont="1" applyFill="1" applyAlignment="1">
      <alignment horizontal="center" vertical="center"/>
    </xf>
    <xf numFmtId="0" fontId="0" fillId="3" borderId="0" xfId="0" applyFill="1"/>
    <xf numFmtId="0" fontId="3" fillId="0" borderId="0" xfId="0" applyFont="1"/>
    <xf numFmtId="0" fontId="3" fillId="8" borderId="2" xfId="0" applyFont="1" applyFill="1" applyBorder="1" applyAlignment="1">
      <alignment horizontal="left" vertical="center" wrapText="1"/>
    </xf>
    <xf numFmtId="0" fontId="3" fillId="8" borderId="0" xfId="0" applyFont="1" applyFill="1" applyAlignment="1">
      <alignment wrapText="1"/>
    </xf>
    <xf numFmtId="0" fontId="0" fillId="8" borderId="0" xfId="0" applyFill="1"/>
    <xf numFmtId="0" fontId="40" fillId="3" borderId="0" xfId="0" applyFont="1" applyFill="1"/>
    <xf numFmtId="0" fontId="38" fillId="3" borderId="0" xfId="0" applyFont="1" applyFill="1"/>
    <xf numFmtId="0" fontId="11" fillId="3" borderId="0" xfId="177" applyFill="1"/>
    <xf numFmtId="0" fontId="0" fillId="3" borderId="0" xfId="0" applyFill="1" applyAlignment="1">
      <alignment horizontal="center"/>
    </xf>
    <xf numFmtId="0" fontId="3" fillId="0" borderId="0" xfId="0" applyFont="1" applyAlignment="1">
      <alignment horizontal="center"/>
    </xf>
    <xf numFmtId="0" fontId="3" fillId="8" borderId="0" xfId="0" applyFont="1" applyFill="1" applyAlignment="1">
      <alignment horizontal="center" wrapText="1"/>
    </xf>
    <xf numFmtId="0" fontId="38" fillId="3" borderId="0" xfId="0" applyFont="1" applyFill="1" applyAlignment="1">
      <alignment horizontal="center"/>
    </xf>
    <xf numFmtId="0" fontId="3" fillId="0" borderId="2" xfId="0" applyFont="1" applyBorder="1" applyProtection="1">
      <protection locked="0"/>
    </xf>
    <xf numFmtId="0" fontId="3" fillId="0" borderId="2" xfId="0" applyFont="1" applyBorder="1" applyAlignment="1" applyProtection="1">
      <alignment horizontal="center"/>
      <protection locked="0"/>
    </xf>
    <xf numFmtId="0" fontId="3" fillId="0" borderId="15" xfId="0" applyFont="1" applyBorder="1"/>
    <xf numFmtId="0" fontId="3" fillId="0" borderId="15" xfId="0" applyFont="1" applyBorder="1" applyAlignment="1">
      <alignment horizontal="center"/>
    </xf>
    <xf numFmtId="0" fontId="2" fillId="0" borderId="0" xfId="0" applyFont="1"/>
    <xf numFmtId="3" fontId="2" fillId="0" borderId="26" xfId="0" applyNumberFormat="1" applyFont="1" applyBorder="1" applyProtection="1">
      <protection locked="0"/>
    </xf>
    <xf numFmtId="3" fontId="2" fillId="0" borderId="28" xfId="0" applyNumberFormat="1" applyFont="1" applyBorder="1"/>
    <xf numFmtId="3" fontId="2" fillId="4" borderId="26" xfId="0" applyNumberFormat="1" applyFont="1" applyFill="1" applyBorder="1"/>
    <xf numFmtId="0" fontId="2" fillId="3" borderId="8" xfId="0" applyFont="1" applyFill="1" applyBorder="1"/>
    <xf numFmtId="0" fontId="6" fillId="3" borderId="8" xfId="0" applyFont="1" applyFill="1" applyBorder="1"/>
    <xf numFmtId="166" fontId="2" fillId="0" borderId="29" xfId="557" applyNumberFormat="1" applyFont="1" applyFill="1" applyBorder="1" applyProtection="1"/>
    <xf numFmtId="166" fontId="2" fillId="0" borderId="29" xfId="0" applyNumberFormat="1" applyFont="1" applyBorder="1"/>
    <xf numFmtId="166" fontId="2" fillId="0" borderId="27" xfId="0" applyNumberFormat="1" applyFont="1" applyBorder="1" applyProtection="1">
      <protection locked="0"/>
    </xf>
    <xf numFmtId="166" fontId="2" fillId="4" borderId="27" xfId="0" applyNumberFormat="1" applyFont="1" applyFill="1" applyBorder="1"/>
    <xf numFmtId="166" fontId="2" fillId="5" borderId="27" xfId="0" applyNumberFormat="1" applyFont="1" applyFill="1" applyBorder="1"/>
    <xf numFmtId="166" fontId="2" fillId="0" borderId="0" xfId="0" applyNumberFormat="1" applyFont="1"/>
    <xf numFmtId="166" fontId="2" fillId="5" borderId="2" xfId="0" applyNumberFormat="1" applyFont="1" applyFill="1" applyBorder="1"/>
    <xf numFmtId="0" fontId="39" fillId="0" borderId="0" xfId="0" applyFont="1" applyAlignment="1">
      <alignment horizontal="left" indent="2"/>
    </xf>
    <xf numFmtId="3" fontId="3" fillId="0" borderId="0" xfId="0" applyNumberFormat="1" applyFont="1"/>
    <xf numFmtId="0" fontId="3" fillId="0" borderId="2" xfId="0" applyFont="1" applyBorder="1" applyAlignment="1" applyProtection="1">
      <alignment horizontal="left" indent="1"/>
      <protection locked="0"/>
    </xf>
    <xf numFmtId="0" fontId="39" fillId="0" borderId="35" xfId="0" applyFont="1" applyBorder="1"/>
    <xf numFmtId="4" fontId="3" fillId="0" borderId="31" xfId="0" applyNumberFormat="1" applyFont="1" applyBorder="1"/>
    <xf numFmtId="4" fontId="3" fillId="0" borderId="9" xfId="0" applyNumberFormat="1" applyFont="1" applyBorder="1"/>
    <xf numFmtId="0" fontId="3" fillId="0" borderId="32" xfId="0" applyFont="1" applyBorder="1"/>
    <xf numFmtId="4" fontId="3" fillId="0" borderId="32" xfId="0" applyNumberFormat="1" applyFont="1" applyBorder="1"/>
    <xf numFmtId="4" fontId="3" fillId="0" borderId="0" xfId="0" applyNumberFormat="1" applyFont="1" applyAlignment="1">
      <alignment horizontal="right" indent="1"/>
    </xf>
    <xf numFmtId="0" fontId="38" fillId="3" borderId="0" xfId="0" applyFont="1" applyFill="1" applyAlignment="1">
      <alignment horizontal="right" indent="1"/>
    </xf>
    <xf numFmtId="4" fontId="3" fillId="0" borderId="15" xfId="0" applyNumberFormat="1" applyFont="1" applyBorder="1" applyAlignment="1">
      <alignment horizontal="right" indent="1"/>
    </xf>
    <xf numFmtId="0" fontId="3" fillId="0" borderId="0" xfId="0" applyFont="1" applyAlignment="1">
      <alignment horizontal="right" indent="1"/>
    </xf>
    <xf numFmtId="0" fontId="3" fillId="0" borderId="15" xfId="0" applyFont="1" applyBorder="1" applyAlignment="1">
      <alignment horizontal="right" indent="1"/>
    </xf>
    <xf numFmtId="0" fontId="4" fillId="10" borderId="0" xfId="0" applyFont="1" applyFill="1"/>
    <xf numFmtId="0" fontId="6" fillId="0" borderId="37" xfId="0" applyFont="1" applyBorder="1" applyAlignment="1">
      <alignment horizontal="center" vertical="center" wrapText="1"/>
    </xf>
    <xf numFmtId="0" fontId="3" fillId="0" borderId="4" xfId="0" applyFont="1" applyBorder="1" applyProtection="1">
      <protection locked="0"/>
    </xf>
    <xf numFmtId="4" fontId="3" fillId="0" borderId="38" xfId="0" applyNumberFormat="1" applyFont="1" applyBorder="1"/>
    <xf numFmtId="0" fontId="3" fillId="0" borderId="37" xfId="0" applyFont="1" applyBorder="1"/>
    <xf numFmtId="4" fontId="41" fillId="0" borderId="0" xfId="0" applyNumberFormat="1" applyFont="1" applyAlignment="1">
      <alignment horizontal="right" indent="1"/>
    </xf>
    <xf numFmtId="3" fontId="2" fillId="0" borderId="26" xfId="0" applyNumberFormat="1" applyFont="1" applyBorder="1"/>
    <xf numFmtId="0" fontId="43" fillId="0" borderId="8" xfId="0" applyFont="1" applyBorder="1" applyAlignment="1">
      <alignment horizontal="left" vertical="center"/>
    </xf>
    <xf numFmtId="0" fontId="6" fillId="0" borderId="7" xfId="0" applyFont="1" applyBorder="1"/>
    <xf numFmtId="3" fontId="2" fillId="0" borderId="34" xfId="0" applyNumberFormat="1" applyFont="1" applyBorder="1"/>
    <xf numFmtId="164" fontId="2" fillId="0" borderId="7" xfId="0" applyNumberFormat="1" applyFont="1" applyBorder="1"/>
    <xf numFmtId="166" fontId="2" fillId="0" borderId="33" xfId="557" applyNumberFormat="1" applyFont="1" applyFill="1" applyBorder="1" applyProtection="1"/>
    <xf numFmtId="166" fontId="2" fillId="0" borderId="6" xfId="557" applyNumberFormat="1" applyFont="1" applyFill="1" applyBorder="1" applyProtection="1"/>
    <xf numFmtId="3" fontId="2" fillId="4" borderId="6" xfId="0" applyNumberFormat="1" applyFont="1" applyFill="1" applyBorder="1"/>
    <xf numFmtId="0" fontId="2" fillId="0" borderId="7" xfId="0" applyFont="1" applyBorder="1"/>
    <xf numFmtId="166" fontId="2" fillId="0" borderId="7" xfId="0" applyNumberFormat="1" applyFont="1" applyBorder="1"/>
    <xf numFmtId="166" fontId="2" fillId="0" borderId="33" xfId="0" applyNumberFormat="1" applyFont="1" applyBorder="1"/>
    <xf numFmtId="0" fontId="2" fillId="9" borderId="0" xfId="0" applyFont="1" applyFill="1"/>
    <xf numFmtId="3" fontId="2" fillId="9" borderId="0" xfId="0" applyNumberFormat="1" applyFont="1" applyFill="1"/>
    <xf numFmtId="166" fontId="2" fillId="9" borderId="0" xfId="0" applyNumberFormat="1" applyFont="1" applyFill="1"/>
    <xf numFmtId="0" fontId="4" fillId="0" borderId="0" xfId="0" applyFont="1"/>
    <xf numFmtId="166" fontId="4" fillId="0" borderId="0" xfId="0" applyNumberFormat="1" applyFont="1"/>
    <xf numFmtId="164" fontId="2" fillId="4" borderId="8" xfId="0" applyNumberFormat="1" applyFont="1" applyFill="1" applyBorder="1"/>
    <xf numFmtId="0" fontId="3" fillId="0" borderId="2" xfId="0" applyFont="1" applyBorder="1"/>
    <xf numFmtId="0" fontId="3" fillId="0" borderId="2" xfId="0" applyFont="1" applyBorder="1" applyAlignment="1">
      <alignment horizontal="center"/>
    </xf>
    <xf numFmtId="0" fontId="3" fillId="0" borderId="4" xfId="0" applyFont="1" applyBorder="1"/>
    <xf numFmtId="0" fontId="0" fillId="3" borderId="2" xfId="0" applyFill="1" applyBorder="1"/>
    <xf numFmtId="0" fontId="0" fillId="3" borderId="2" xfId="0" applyFill="1" applyBorder="1" applyAlignment="1">
      <alignment horizontal="center"/>
    </xf>
    <xf numFmtId="0" fontId="0" fillId="3" borderId="4" xfId="0" applyFill="1" applyBorder="1"/>
    <xf numFmtId="4" fontId="3" fillId="0" borderId="35" xfId="0" applyNumberFormat="1" applyFont="1" applyBorder="1"/>
    <xf numFmtId="0" fontId="39" fillId="3" borderId="0" xfId="0" applyFont="1" applyFill="1" applyAlignment="1">
      <alignment horizontal="left" indent="1"/>
    </xf>
    <xf numFmtId="0" fontId="0" fillId="3" borderId="0" xfId="0" applyFill="1" applyAlignment="1">
      <alignment horizontal="right" indent="1"/>
    </xf>
    <xf numFmtId="0" fontId="5" fillId="3" borderId="0" xfId="0" applyFont="1" applyFill="1" applyAlignment="1">
      <alignment vertical="top"/>
    </xf>
    <xf numFmtId="0" fontId="4" fillId="3" borderId="0" xfId="0" applyFont="1" applyFill="1" applyAlignment="1">
      <alignment wrapText="1"/>
    </xf>
    <xf numFmtId="0" fontId="44" fillId="3" borderId="0" xfId="0" applyFont="1" applyFill="1"/>
    <xf numFmtId="0" fontId="44" fillId="3" borderId="0" xfId="0" applyFont="1" applyFill="1" applyAlignment="1">
      <alignment horizontal="center"/>
    </xf>
    <xf numFmtId="3" fontId="44" fillId="3" borderId="0" xfId="0" applyNumberFormat="1" applyFont="1" applyFill="1"/>
    <xf numFmtId="0" fontId="0" fillId="3" borderId="9" xfId="0" applyFill="1" applyBorder="1"/>
    <xf numFmtId="0" fontId="0" fillId="3" borderId="10" xfId="0" applyFill="1" applyBorder="1"/>
    <xf numFmtId="0" fontId="6" fillId="6" borderId="10" xfId="0" applyFont="1" applyFill="1" applyBorder="1" applyAlignment="1">
      <alignment horizontal="center"/>
    </xf>
    <xf numFmtId="0" fontId="6" fillId="6" borderId="5" xfId="0" applyFont="1" applyFill="1" applyBorder="1" applyAlignment="1">
      <alignment horizontal="center"/>
    </xf>
    <xf numFmtId="0" fontId="0" fillId="3" borderId="32" xfId="0" applyFill="1" applyBorder="1"/>
    <xf numFmtId="0" fontId="6" fillId="6" borderId="32" xfId="0" applyFont="1" applyFill="1" applyBorder="1" applyAlignment="1">
      <alignment horizontal="center"/>
    </xf>
    <xf numFmtId="0" fontId="44" fillId="3" borderId="3" xfId="0" applyFont="1" applyFill="1" applyBorder="1" applyAlignment="1">
      <alignment horizontal="center"/>
    </xf>
    <xf numFmtId="0" fontId="6" fillId="3" borderId="10" xfId="0" applyFont="1" applyFill="1" applyBorder="1"/>
    <xf numFmtId="167" fontId="0" fillId="3" borderId="10" xfId="557" applyNumberFormat="1" applyFont="1" applyFill="1" applyBorder="1"/>
    <xf numFmtId="0" fontId="45" fillId="3" borderId="10" xfId="0" applyFont="1" applyFill="1" applyBorder="1"/>
    <xf numFmtId="167" fontId="47" fillId="3" borderId="10" xfId="557" applyNumberFormat="1" applyFont="1" applyFill="1" applyBorder="1"/>
    <xf numFmtId="0" fontId="6" fillId="3" borderId="40" xfId="0" applyFont="1" applyFill="1" applyBorder="1"/>
    <xf numFmtId="0" fontId="6" fillId="3" borderId="32" xfId="0" applyFont="1" applyFill="1" applyBorder="1"/>
    <xf numFmtId="167" fontId="0" fillId="3" borderId="32" xfId="557" applyNumberFormat="1" applyFont="1" applyFill="1" applyBorder="1"/>
    <xf numFmtId="167" fontId="0" fillId="3" borderId="0" xfId="557" applyNumberFormat="1" applyFont="1" applyFill="1"/>
    <xf numFmtId="167" fontId="0" fillId="3" borderId="39" xfId="557" applyNumberFormat="1" applyFont="1" applyFill="1" applyBorder="1"/>
    <xf numFmtId="167" fontId="0" fillId="3" borderId="4" xfId="557" applyNumberFormat="1" applyFont="1" applyFill="1" applyBorder="1"/>
    <xf numFmtId="167" fontId="0" fillId="3" borderId="0" xfId="0" applyNumberFormat="1" applyFill="1"/>
    <xf numFmtId="167" fontId="1" fillId="3" borderId="32" xfId="0" applyNumberFormat="1" applyFont="1" applyFill="1" applyBorder="1"/>
    <xf numFmtId="0" fontId="44" fillId="3" borderId="39" xfId="0" applyFont="1" applyFill="1" applyBorder="1"/>
    <xf numFmtId="0" fontId="5" fillId="3" borderId="39" xfId="0" applyFont="1" applyFill="1" applyBorder="1" applyAlignment="1">
      <alignment vertical="top"/>
    </xf>
    <xf numFmtId="3" fontId="2" fillId="0" borderId="7" xfId="0" applyNumberFormat="1" applyFont="1" applyBorder="1"/>
    <xf numFmtId="0" fontId="2" fillId="3" borderId="27" xfId="0" applyFont="1" applyFill="1" applyBorder="1"/>
    <xf numFmtId="0" fontId="6" fillId="3" borderId="27" xfId="0" applyFont="1" applyFill="1" applyBorder="1"/>
    <xf numFmtId="0" fontId="2" fillId="0" borderId="29" xfId="0" applyFont="1" applyBorder="1"/>
    <xf numFmtId="0" fontId="6" fillId="3" borderId="29" xfId="0" applyFont="1" applyFill="1" applyBorder="1"/>
    <xf numFmtId="0" fontId="48" fillId="0" borderId="2" xfId="0" applyFont="1" applyBorder="1" applyAlignment="1">
      <alignment horizontal="left" indent="1"/>
    </xf>
    <xf numFmtId="0" fontId="0" fillId="0" borderId="0" xfId="0" applyProtection="1">
      <protection locked="0"/>
    </xf>
    <xf numFmtId="0" fontId="0" fillId="3" borderId="10" xfId="0" applyFill="1" applyBorder="1" applyProtection="1">
      <protection locked="0"/>
    </xf>
    <xf numFmtId="167" fontId="47" fillId="3" borderId="10" xfId="557" applyNumberFormat="1" applyFont="1" applyFill="1" applyBorder="1" applyProtection="1">
      <protection locked="0"/>
    </xf>
    <xf numFmtId="0" fontId="0" fillId="3" borderId="40" xfId="0" applyFill="1" applyBorder="1" applyProtection="1">
      <protection locked="0"/>
    </xf>
    <xf numFmtId="167" fontId="47" fillId="3" borderId="40" xfId="557" applyNumberFormat="1" applyFont="1" applyFill="1" applyBorder="1" applyProtection="1">
      <protection locked="0"/>
    </xf>
    <xf numFmtId="0" fontId="6" fillId="3" borderId="10" xfId="0" applyFont="1" applyFill="1" applyBorder="1" applyProtection="1">
      <protection locked="0"/>
    </xf>
    <xf numFmtId="167" fontId="0" fillId="3" borderId="10" xfId="557" applyNumberFormat="1" applyFont="1" applyFill="1" applyBorder="1" applyProtection="1">
      <protection locked="0"/>
    </xf>
    <xf numFmtId="0" fontId="0" fillId="3" borderId="0" xfId="0" applyFill="1" applyProtection="1">
      <protection locked="0"/>
    </xf>
    <xf numFmtId="167" fontId="1" fillId="3" borderId="10" xfId="0" applyNumberFormat="1" applyFont="1" applyFill="1" applyBorder="1" applyProtection="1">
      <protection locked="0"/>
    </xf>
    <xf numFmtId="0" fontId="1" fillId="3" borderId="10" xfId="0" applyFont="1" applyFill="1" applyBorder="1" applyProtection="1">
      <protection locked="0"/>
    </xf>
    <xf numFmtId="0" fontId="48" fillId="0" borderId="3" xfId="0" applyFont="1" applyBorder="1" applyAlignment="1">
      <alignment horizontal="left" indent="1"/>
    </xf>
    <xf numFmtId="0" fontId="2" fillId="0" borderId="0" xfId="0" applyFont="1" applyAlignment="1">
      <alignment wrapText="1"/>
    </xf>
    <xf numFmtId="167" fontId="1" fillId="3" borderId="10" xfId="557" applyNumberFormat="1" applyFont="1" applyFill="1" applyBorder="1"/>
    <xf numFmtId="166" fontId="3" fillId="0" borderId="2" xfId="0" applyNumberFormat="1" applyFont="1" applyBorder="1" applyProtection="1">
      <protection locked="0"/>
    </xf>
    <xf numFmtId="166" fontId="3" fillId="0" borderId="2" xfId="0" applyNumberFormat="1" applyFont="1" applyBorder="1"/>
    <xf numFmtId="166" fontId="3" fillId="0" borderId="0" xfId="0" applyNumberFormat="1" applyFont="1"/>
    <xf numFmtId="166" fontId="3" fillId="4" borderId="2" xfId="0" applyNumberFormat="1" applyFont="1" applyFill="1" applyBorder="1"/>
    <xf numFmtId="166" fontId="38" fillId="3" borderId="0" xfId="0" applyNumberFormat="1" applyFont="1" applyFill="1"/>
    <xf numFmtId="166" fontId="3" fillId="0" borderId="15" xfId="0" applyNumberFormat="1" applyFont="1" applyBorder="1"/>
    <xf numFmtId="166" fontId="3" fillId="0" borderId="18" xfId="0" applyNumberFormat="1" applyFont="1" applyBorder="1"/>
    <xf numFmtId="166" fontId="3" fillId="0" borderId="16" xfId="0" applyNumberFormat="1" applyFont="1" applyBorder="1"/>
    <xf numFmtId="0" fontId="0" fillId="3" borderId="32" xfId="0" applyFill="1" applyBorder="1" applyProtection="1">
      <protection locked="0"/>
    </xf>
    <xf numFmtId="167" fontId="47" fillId="3" borderId="32" xfId="557" applyNumberFormat="1" applyFont="1" applyFill="1" applyBorder="1" applyProtection="1">
      <protection locked="0"/>
    </xf>
    <xf numFmtId="0" fontId="45" fillId="3" borderId="10" xfId="0" applyFont="1" applyFill="1" applyBorder="1" applyProtection="1">
      <protection locked="0"/>
    </xf>
    <xf numFmtId="0" fontId="6" fillId="3" borderId="10" xfId="0" applyFont="1" applyFill="1" applyBorder="1" applyAlignment="1" applyProtection="1">
      <alignment horizontal="left" indent="1"/>
      <protection locked="0"/>
    </xf>
    <xf numFmtId="167" fontId="0" fillId="3" borderId="31" xfId="557" applyNumberFormat="1" applyFont="1" applyFill="1" applyBorder="1" applyProtection="1">
      <protection locked="0"/>
    </xf>
    <xf numFmtId="167" fontId="47" fillId="3" borderId="31" xfId="557" applyNumberFormat="1" applyFont="1" applyFill="1" applyBorder="1" applyProtection="1">
      <protection locked="0"/>
    </xf>
    <xf numFmtId="167" fontId="1" fillId="3" borderId="32" xfId="0" applyNumberFormat="1" applyFont="1" applyFill="1" applyBorder="1" applyProtection="1">
      <protection locked="0"/>
    </xf>
    <xf numFmtId="37" fontId="11" fillId="0" borderId="3" xfId="333" applyNumberFormat="1" applyFont="1" applyBorder="1"/>
    <xf numFmtId="5" fontId="49" fillId="3" borderId="10" xfId="333" applyNumberFormat="1" applyFont="1" applyFill="1" applyBorder="1"/>
    <xf numFmtId="0" fontId="50" fillId="11" borderId="0" xfId="0" applyFont="1" applyFill="1" applyAlignment="1">
      <alignment wrapText="1"/>
    </xf>
    <xf numFmtId="0" fontId="6" fillId="11" borderId="0" xfId="0" applyFont="1" applyFill="1" applyAlignment="1">
      <alignment wrapText="1"/>
    </xf>
    <xf numFmtId="0" fontId="6" fillId="11" borderId="29" xfId="0" applyFont="1" applyFill="1" applyBorder="1" applyAlignment="1">
      <alignment horizontal="center" wrapText="1"/>
    </xf>
    <xf numFmtId="0" fontId="50" fillId="11" borderId="28" xfId="0" applyFont="1" applyFill="1" applyBorder="1" applyAlignment="1">
      <alignment wrapText="1"/>
    </xf>
    <xf numFmtId="0" fontId="6" fillId="11" borderId="0" xfId="0" applyFont="1" applyFill="1" applyAlignment="1">
      <alignment horizontal="center"/>
    </xf>
    <xf numFmtId="0" fontId="6" fillId="11" borderId="37" xfId="0" applyFont="1" applyFill="1" applyBorder="1" applyAlignment="1">
      <alignment horizontal="center"/>
    </xf>
    <xf numFmtId="0" fontId="50" fillId="11" borderId="11" xfId="0" applyFont="1" applyFill="1" applyBorder="1" applyAlignment="1">
      <alignment wrapText="1"/>
    </xf>
    <xf numFmtId="0" fontId="6" fillId="11" borderId="11" xfId="0" applyFont="1" applyFill="1" applyBorder="1"/>
    <xf numFmtId="0" fontId="6" fillId="11" borderId="12" xfId="0" applyFont="1" applyFill="1" applyBorder="1"/>
    <xf numFmtId="0" fontId="50" fillId="11" borderId="28" xfId="0" applyFont="1" applyFill="1" applyBorder="1"/>
    <xf numFmtId="0" fontId="50" fillId="11" borderId="0" xfId="0" applyFont="1" applyFill="1"/>
    <xf numFmtId="0" fontId="50" fillId="11" borderId="0" xfId="0" applyFont="1" applyFill="1" applyAlignment="1">
      <alignment horizontal="center" vertical="center"/>
    </xf>
    <xf numFmtId="0" fontId="39" fillId="11" borderId="13"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36"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37" xfId="0" applyFont="1" applyFill="1" applyBorder="1" applyAlignment="1">
      <alignment horizontal="center" vertical="center" wrapText="1"/>
    </xf>
    <xf numFmtId="0" fontId="6" fillId="18" borderId="30" xfId="0" applyFont="1" applyFill="1" applyBorder="1" applyAlignment="1">
      <alignment horizontal="center" vertical="center" wrapText="1"/>
    </xf>
    <xf numFmtId="0" fontId="6" fillId="19" borderId="30" xfId="0" applyFont="1" applyFill="1" applyBorder="1" applyAlignment="1">
      <alignment horizontal="center" vertical="center" wrapText="1"/>
    </xf>
    <xf numFmtId="0" fontId="6" fillId="20" borderId="30" xfId="0" applyFont="1" applyFill="1" applyBorder="1" applyAlignment="1">
      <alignment horizontal="center" vertical="center" wrapText="1"/>
    </xf>
    <xf numFmtId="0" fontId="6" fillId="21" borderId="30" xfId="0" applyFont="1" applyFill="1" applyBorder="1" applyAlignment="1">
      <alignment horizontal="center" vertical="center" wrapText="1"/>
    </xf>
    <xf numFmtId="0" fontId="6" fillId="22" borderId="30" xfId="0" applyFont="1" applyFill="1" applyBorder="1" applyAlignment="1">
      <alignment horizontal="center" vertical="center" wrapText="1"/>
    </xf>
    <xf numFmtId="0" fontId="6" fillId="23" borderId="30" xfId="0" applyFont="1" applyFill="1" applyBorder="1" applyAlignment="1">
      <alignment horizontal="center" vertical="center" wrapText="1"/>
    </xf>
    <xf numFmtId="0" fontId="50" fillId="11" borderId="0" xfId="0" applyFont="1" applyFill="1" applyAlignment="1">
      <alignment horizontal="center" vertical="center" wrapText="1"/>
    </xf>
    <xf numFmtId="0" fontId="51" fillId="0" borderId="0" xfId="0" applyFont="1"/>
    <xf numFmtId="166" fontId="51" fillId="0" borderId="0" xfId="0" applyNumberFormat="1" applyFont="1"/>
    <xf numFmtId="0" fontId="52" fillId="0" borderId="0" xfId="0" applyFont="1"/>
    <xf numFmtId="0" fontId="53" fillId="0" borderId="0" xfId="0" applyFont="1"/>
    <xf numFmtId="3" fontId="2" fillId="0" borderId="6" xfId="557" applyNumberFormat="1" applyFont="1" applyFill="1" applyBorder="1" applyProtection="1"/>
    <xf numFmtId="164" fontId="2" fillId="0" borderId="2" xfId="557" applyNumberFormat="1" applyFont="1" applyFill="1" applyBorder="1" applyProtection="1"/>
    <xf numFmtId="3" fontId="2" fillId="0" borderId="2" xfId="557" applyNumberFormat="1" applyFont="1" applyFill="1" applyBorder="1" applyProtection="1"/>
    <xf numFmtId="166" fontId="2" fillId="0" borderId="27" xfId="0" applyNumberFormat="1" applyFont="1" applyBorder="1"/>
    <xf numFmtId="166" fontId="2" fillId="0" borderId="2" xfId="0" applyNumberFormat="1" applyFont="1" applyBorder="1"/>
    <xf numFmtId="3" fontId="2" fillId="0" borderId="6" xfId="0" applyNumberFormat="1" applyFont="1" applyBorder="1"/>
    <xf numFmtId="167" fontId="0" fillId="0" borderId="10" xfId="557" applyNumberFormat="1" applyFont="1" applyFill="1" applyBorder="1" applyProtection="1">
      <protection locked="0"/>
    </xf>
    <xf numFmtId="166" fontId="2" fillId="0" borderId="27" xfId="557" applyNumberFormat="1" applyFont="1" applyFill="1" applyBorder="1" applyProtection="1"/>
    <xf numFmtId="166" fontId="54" fillId="0" borderId="29" xfId="0" applyNumberFormat="1" applyFont="1" applyBorder="1" applyAlignment="1">
      <alignment vertical="center"/>
    </xf>
    <xf numFmtId="3" fontId="54" fillId="0" borderId="28" xfId="0" applyNumberFormat="1" applyFont="1" applyBorder="1" applyAlignment="1">
      <alignment vertical="center"/>
    </xf>
    <xf numFmtId="164" fontId="54" fillId="0" borderId="0" xfId="0" applyNumberFormat="1" applyFont="1" applyAlignment="1">
      <alignment vertical="center"/>
    </xf>
    <xf numFmtId="0" fontId="3" fillId="8" borderId="0" xfId="0" applyFont="1" applyFill="1" applyAlignment="1">
      <alignment horizontal="left" vertical="center" wrapText="1"/>
    </xf>
    <xf numFmtId="0" fontId="3" fillId="8" borderId="2" xfId="0" applyFont="1" applyFill="1" applyBorder="1" applyAlignment="1">
      <alignment horizontal="left" wrapText="1" indent="1"/>
    </xf>
    <xf numFmtId="4" fontId="41" fillId="0" borderId="0" xfId="0" applyNumberFormat="1" applyFont="1" applyAlignment="1">
      <alignment horizontal="right"/>
    </xf>
    <xf numFmtId="0" fontId="2" fillId="10" borderId="30" xfId="0" applyFont="1" applyFill="1" applyBorder="1"/>
    <xf numFmtId="166" fontId="2" fillId="0" borderId="27" xfId="557" applyNumberFormat="1" applyFont="1" applyFill="1" applyBorder="1" applyProtection="1">
      <protection locked="0"/>
    </xf>
    <xf numFmtId="168" fontId="3" fillId="0" borderId="2" xfId="0" applyNumberFormat="1" applyFont="1" applyBorder="1"/>
    <xf numFmtId="0" fontId="3" fillId="0" borderId="9" xfId="0" applyFont="1" applyBorder="1" applyAlignment="1">
      <alignment horizontal="center"/>
    </xf>
    <xf numFmtId="4" fontId="41" fillId="0" borderId="0" xfId="0" applyNumberFormat="1" applyFont="1" applyAlignment="1">
      <alignment horizontal="center"/>
    </xf>
    <xf numFmtId="0" fontId="3" fillId="0" borderId="32" xfId="0" applyFont="1" applyBorder="1" applyAlignment="1">
      <alignment horizontal="center"/>
    </xf>
    <xf numFmtId="0" fontId="42" fillId="0" borderId="0" xfId="0" applyFont="1" applyAlignment="1">
      <alignment horizontal="center"/>
    </xf>
    <xf numFmtId="0" fontId="0" fillId="0" borderId="0" xfId="0" applyAlignment="1">
      <alignment horizontal="center"/>
    </xf>
    <xf numFmtId="0" fontId="0" fillId="8" borderId="0" xfId="0" applyFill="1" applyAlignment="1">
      <alignment horizontal="center"/>
    </xf>
    <xf numFmtId="168" fontId="3" fillId="0" borderId="2" xfId="0" applyNumberFormat="1" applyFont="1" applyBorder="1" applyAlignment="1" applyProtection="1">
      <alignment horizontal="right" indent="1"/>
      <protection locked="0"/>
    </xf>
    <xf numFmtId="168" fontId="3" fillId="0" borderId="2" xfId="0" applyNumberFormat="1" applyFont="1" applyBorder="1" applyAlignment="1">
      <alignment horizontal="right" indent="1"/>
    </xf>
    <xf numFmtId="166" fontId="3" fillId="0" borderId="2" xfId="0" applyNumberFormat="1" applyFont="1" applyBorder="1" applyAlignment="1" applyProtection="1">
      <alignment horizontal="right" indent="1"/>
      <protection locked="0"/>
    </xf>
    <xf numFmtId="166" fontId="0" fillId="3" borderId="2" xfId="0" applyNumberFormat="1" applyFill="1" applyBorder="1" applyAlignment="1">
      <alignment horizontal="right" indent="1"/>
    </xf>
    <xf numFmtId="166" fontId="3" fillId="0" borderId="2" xfId="0" applyNumberFormat="1" applyFont="1" applyBorder="1" applyAlignment="1">
      <alignment horizontal="right" indent="1"/>
    </xf>
    <xf numFmtId="166" fontId="3" fillId="0" borderId="2" xfId="557" applyNumberFormat="1" applyFont="1" applyFill="1" applyBorder="1" applyAlignment="1" applyProtection="1">
      <alignment horizontal="right" indent="1"/>
    </xf>
    <xf numFmtId="164" fontId="2" fillId="5" borderId="2" xfId="0" applyNumberFormat="1" applyFont="1" applyFill="1" applyBorder="1"/>
    <xf numFmtId="0" fontId="11" fillId="8" borderId="2" xfId="0" applyFont="1" applyFill="1" applyBorder="1" applyAlignment="1">
      <alignment horizontal="left" wrapText="1" indent="1"/>
    </xf>
    <xf numFmtId="1" fontId="61" fillId="0" borderId="28" xfId="0" applyNumberFormat="1" applyFont="1" applyBorder="1" applyAlignment="1" applyProtection="1">
      <alignment horizontal="right" indent="1"/>
      <protection locked="0"/>
    </xf>
    <xf numFmtId="166" fontId="61" fillId="0" borderId="0" xfId="0" applyNumberFormat="1" applyFont="1" applyAlignment="1" applyProtection="1">
      <alignment horizontal="right" indent="1"/>
      <protection locked="0"/>
    </xf>
    <xf numFmtId="3" fontId="67" fillId="0" borderId="26" xfId="0" applyNumberFormat="1" applyFont="1" applyBorder="1" applyAlignment="1" applyProtection="1">
      <alignment horizontal="right" vertical="center" indent="1"/>
      <protection locked="0"/>
    </xf>
    <xf numFmtId="169" fontId="67" fillId="4" borderId="26" xfId="558" applyNumberFormat="1" applyFont="1" applyFill="1" applyBorder="1" applyAlignment="1" applyProtection="1">
      <alignment horizontal="right" vertical="center" indent="1"/>
    </xf>
    <xf numFmtId="169" fontId="67" fillId="4" borderId="26" xfId="545" applyNumberFormat="1" applyFont="1" applyFill="1" applyBorder="1" applyAlignment="1" applyProtection="1">
      <alignment horizontal="right" vertical="center" indent="1"/>
    </xf>
    <xf numFmtId="169" fontId="67" fillId="4" borderId="47" xfId="558" applyNumberFormat="1" applyFont="1" applyFill="1" applyBorder="1" applyAlignment="1" applyProtection="1">
      <alignment horizontal="right" vertical="center" indent="1"/>
    </xf>
    <xf numFmtId="166" fontId="3" fillId="0" borderId="2" xfId="557" applyNumberFormat="1" applyFont="1" applyFill="1" applyBorder="1" applyAlignment="1" applyProtection="1">
      <alignment horizontal="right" indent="1"/>
      <protection locked="0"/>
    </xf>
    <xf numFmtId="0" fontId="64" fillId="0" borderId="0" xfId="0" applyFont="1" applyProtection="1">
      <protection locked="0"/>
    </xf>
    <xf numFmtId="3" fontId="11" fillId="0" borderId="4" xfId="333" applyNumberFormat="1" applyFont="1" applyBorder="1"/>
    <xf numFmtId="0" fontId="6" fillId="0" borderId="29" xfId="0" applyFont="1" applyBorder="1" applyAlignment="1">
      <alignment horizontal="center" vertical="center" wrapText="1"/>
    </xf>
    <xf numFmtId="0" fontId="55" fillId="0" borderId="0" xfId="0" applyFont="1" applyAlignment="1">
      <alignment horizontal="center"/>
    </xf>
    <xf numFmtId="3" fontId="56" fillId="0" borderId="0" xfId="0" applyNumberFormat="1" applyFont="1" applyAlignment="1">
      <alignment horizontal="right" indent="1"/>
    </xf>
    <xf numFmtId="166" fontId="55" fillId="0" borderId="0" xfId="0" applyNumberFormat="1" applyFont="1" applyAlignment="1">
      <alignment horizontal="center"/>
    </xf>
    <xf numFmtId="0" fontId="56" fillId="0" borderId="0" xfId="0" applyFont="1" applyAlignment="1">
      <alignment horizontal="center"/>
    </xf>
    <xf numFmtId="0" fontId="56" fillId="0" borderId="0" xfId="0" applyFont="1"/>
    <xf numFmtId="0" fontId="57" fillId="8" borderId="0" xfId="0" applyFont="1" applyFill="1" applyAlignment="1">
      <alignment horizontal="right"/>
    </xf>
    <xf numFmtId="0" fontId="59" fillId="8" borderId="0" xfId="0" applyFont="1" applyFill="1"/>
    <xf numFmtId="0" fontId="60" fillId="8" borderId="0" xfId="0" applyFont="1" applyFill="1"/>
    <xf numFmtId="3" fontId="60" fillId="9" borderId="28" xfId="0" applyNumberFormat="1" applyFont="1" applyFill="1" applyBorder="1" applyAlignment="1">
      <alignment horizontal="right" indent="1"/>
    </xf>
    <xf numFmtId="166" fontId="60" fillId="9" borderId="0" xfId="0" applyNumberFormat="1" applyFont="1" applyFill="1"/>
    <xf numFmtId="166" fontId="60" fillId="9" borderId="29" xfId="0" applyNumberFormat="1" applyFont="1" applyFill="1" applyBorder="1"/>
    <xf numFmtId="0" fontId="56" fillId="24" borderId="28" xfId="0" applyFont="1" applyFill="1" applyBorder="1"/>
    <xf numFmtId="166" fontId="56" fillId="24" borderId="0" xfId="0" applyNumberFormat="1" applyFont="1" applyFill="1"/>
    <xf numFmtId="166" fontId="56" fillId="24" borderId="29" xfId="0" applyNumberFormat="1" applyFont="1" applyFill="1" applyBorder="1"/>
    <xf numFmtId="0" fontId="60" fillId="25" borderId="28" xfId="0" applyFont="1" applyFill="1" applyBorder="1"/>
    <xf numFmtId="166" fontId="60" fillId="25" borderId="0" xfId="0" applyNumberFormat="1" applyFont="1" applyFill="1"/>
    <xf numFmtId="166" fontId="60" fillId="25" borderId="29" xfId="0" applyNumberFormat="1" applyFont="1" applyFill="1" applyBorder="1"/>
    <xf numFmtId="0" fontId="60" fillId="26" borderId="28" xfId="0" applyFont="1" applyFill="1" applyBorder="1"/>
    <xf numFmtId="166" fontId="60" fillId="26" borderId="0" xfId="0" applyNumberFormat="1" applyFont="1" applyFill="1"/>
    <xf numFmtId="166" fontId="60" fillId="26" borderId="29" xfId="0" applyNumberFormat="1" applyFont="1" applyFill="1" applyBorder="1"/>
    <xf numFmtId="0" fontId="60" fillId="27" borderId="28" xfId="0" applyFont="1" applyFill="1" applyBorder="1"/>
    <xf numFmtId="166" fontId="60" fillId="27" borderId="0" xfId="0" applyNumberFormat="1" applyFont="1" applyFill="1"/>
    <xf numFmtId="166" fontId="60" fillId="27" borderId="29" xfId="0" applyNumberFormat="1" applyFont="1" applyFill="1" applyBorder="1"/>
    <xf numFmtId="0" fontId="60" fillId="28" borderId="28" xfId="0" applyFont="1" applyFill="1" applyBorder="1"/>
    <xf numFmtId="166" fontId="60" fillId="28" borderId="0" xfId="0" applyNumberFormat="1" applyFont="1" applyFill="1"/>
    <xf numFmtId="166" fontId="60" fillId="28" borderId="29" xfId="0" applyNumberFormat="1" applyFont="1" applyFill="1" applyBorder="1"/>
    <xf numFmtId="0" fontId="60" fillId="9" borderId="28" xfId="0" applyFont="1" applyFill="1" applyBorder="1"/>
    <xf numFmtId="0" fontId="60" fillId="24" borderId="28" xfId="0" applyFont="1" applyFill="1" applyBorder="1"/>
    <xf numFmtId="166" fontId="60" fillId="24" borderId="0" xfId="0" applyNumberFormat="1" applyFont="1" applyFill="1"/>
    <xf numFmtId="166" fontId="60" fillId="24" borderId="29" xfId="0" applyNumberFormat="1" applyFont="1" applyFill="1" applyBorder="1"/>
    <xf numFmtId="0" fontId="56" fillId="8" borderId="0" xfId="0" applyFont="1" applyFill="1"/>
    <xf numFmtId="0" fontId="61" fillId="24" borderId="28" xfId="0" applyFont="1" applyFill="1" applyBorder="1"/>
    <xf numFmtId="166" fontId="61" fillId="24" borderId="0" xfId="0" applyNumberFormat="1" applyFont="1" applyFill="1"/>
    <xf numFmtId="166" fontId="61" fillId="24" borderId="29" xfId="0" applyNumberFormat="1" applyFont="1" applyFill="1" applyBorder="1"/>
    <xf numFmtId="0" fontId="61" fillId="8" borderId="0" xfId="0" applyFont="1" applyFill="1"/>
    <xf numFmtId="3" fontId="60" fillId="9" borderId="28" xfId="0" applyNumberFormat="1" applyFont="1" applyFill="1" applyBorder="1" applyAlignment="1">
      <alignment horizontal="right" vertical="center" indent="1"/>
    </xf>
    <xf numFmtId="166" fontId="60" fillId="9" borderId="0" xfId="0" applyNumberFormat="1" applyFont="1" applyFill="1" applyAlignment="1">
      <alignment horizontal="center" vertical="center"/>
    </xf>
    <xf numFmtId="166" fontId="60" fillId="9" borderId="31" xfId="0" applyNumberFormat="1" applyFont="1" applyFill="1" applyBorder="1" applyAlignment="1">
      <alignment horizontal="center" vertical="center" wrapText="1"/>
    </xf>
    <xf numFmtId="166" fontId="60" fillId="9" borderId="29" xfId="0" applyNumberFormat="1" applyFont="1" applyFill="1" applyBorder="1" applyAlignment="1">
      <alignment horizontal="center" vertical="center" wrapText="1"/>
    </xf>
    <xf numFmtId="0" fontId="60" fillId="24" borderId="28" xfId="0" applyFont="1" applyFill="1" applyBorder="1" applyAlignment="1">
      <alignment horizontal="center" vertical="center"/>
    </xf>
    <xf numFmtId="166" fontId="60" fillId="24" borderId="0" xfId="0" applyNumberFormat="1" applyFont="1" applyFill="1" applyAlignment="1">
      <alignment horizontal="center" vertical="center"/>
    </xf>
    <xf numFmtId="166" fontId="60" fillId="24" borderId="31" xfId="0" applyNumberFormat="1" applyFont="1" applyFill="1" applyBorder="1" applyAlignment="1">
      <alignment horizontal="center" vertical="center" wrapText="1"/>
    </xf>
    <xf numFmtId="166" fontId="60" fillId="24" borderId="29" xfId="0" applyNumberFormat="1" applyFont="1" applyFill="1" applyBorder="1" applyAlignment="1">
      <alignment horizontal="center" vertical="center" wrapText="1"/>
    </xf>
    <xf numFmtId="0" fontId="60" fillId="25" borderId="28" xfId="0" applyFont="1" applyFill="1" applyBorder="1" applyAlignment="1">
      <alignment horizontal="center" vertical="center"/>
    </xf>
    <xf numFmtId="166" fontId="60" fillId="25" borderId="0" xfId="0" applyNumberFormat="1" applyFont="1" applyFill="1" applyAlignment="1">
      <alignment horizontal="center" vertical="center"/>
    </xf>
    <xf numFmtId="166" fontId="60" fillId="25" borderId="31" xfId="0" applyNumberFormat="1" applyFont="1" applyFill="1" applyBorder="1" applyAlignment="1">
      <alignment horizontal="center" vertical="center" wrapText="1"/>
    </xf>
    <xf numFmtId="166" fontId="60" fillId="25" borderId="29" xfId="0" applyNumberFormat="1" applyFont="1" applyFill="1" applyBorder="1" applyAlignment="1">
      <alignment horizontal="center" vertical="center" wrapText="1"/>
    </xf>
    <xf numFmtId="0" fontId="60" fillId="26" borderId="28" xfId="0" applyFont="1" applyFill="1" applyBorder="1" applyAlignment="1">
      <alignment horizontal="center" vertical="center"/>
    </xf>
    <xf numFmtId="166" fontId="60" fillId="26" borderId="0" xfId="0" applyNumberFormat="1" applyFont="1" applyFill="1" applyAlignment="1">
      <alignment horizontal="center" vertical="center"/>
    </xf>
    <xf numFmtId="166" fontId="60" fillId="26" borderId="31" xfId="0" applyNumberFormat="1" applyFont="1" applyFill="1" applyBorder="1" applyAlignment="1">
      <alignment horizontal="center" vertical="center" wrapText="1"/>
    </xf>
    <xf numFmtId="166" fontId="60" fillId="26" borderId="29" xfId="0" applyNumberFormat="1" applyFont="1" applyFill="1" applyBorder="1" applyAlignment="1">
      <alignment horizontal="center" vertical="center" wrapText="1"/>
    </xf>
    <xf numFmtId="0" fontId="60" fillId="27" borderId="28" xfId="0" applyFont="1" applyFill="1" applyBorder="1" applyAlignment="1">
      <alignment horizontal="center" vertical="center"/>
    </xf>
    <xf numFmtId="166" fontId="60" fillId="27" borderId="0" xfId="0" applyNumberFormat="1" applyFont="1" applyFill="1" applyAlignment="1">
      <alignment horizontal="center" vertical="center"/>
    </xf>
    <xf numFmtId="166" fontId="60" fillId="27" borderId="31" xfId="0" applyNumberFormat="1" applyFont="1" applyFill="1" applyBorder="1" applyAlignment="1">
      <alignment horizontal="center" vertical="center" wrapText="1"/>
    </xf>
    <xf numFmtId="166" fontId="60" fillId="27" borderId="29" xfId="0" applyNumberFormat="1" applyFont="1" applyFill="1" applyBorder="1" applyAlignment="1">
      <alignment horizontal="center" vertical="center" wrapText="1"/>
    </xf>
    <xf numFmtId="0" fontId="60" fillId="28" borderId="28" xfId="0" applyFont="1" applyFill="1" applyBorder="1" applyAlignment="1">
      <alignment horizontal="center" vertical="center"/>
    </xf>
    <xf numFmtId="166" fontId="60" fillId="28" borderId="0" xfId="0" applyNumberFormat="1" applyFont="1" applyFill="1" applyAlignment="1">
      <alignment horizontal="center" vertical="center"/>
    </xf>
    <xf numFmtId="166" fontId="60" fillId="28" borderId="31" xfId="0" applyNumberFormat="1" applyFont="1" applyFill="1" applyBorder="1" applyAlignment="1">
      <alignment horizontal="center" vertical="center" wrapText="1"/>
    </xf>
    <xf numFmtId="166" fontId="60" fillId="28" borderId="29" xfId="0" applyNumberFormat="1" applyFont="1" applyFill="1" applyBorder="1" applyAlignment="1">
      <alignment horizontal="center" vertical="center" wrapText="1"/>
    </xf>
    <xf numFmtId="0" fontId="60" fillId="9" borderId="28" xfId="0" applyFont="1" applyFill="1" applyBorder="1" applyAlignment="1">
      <alignment horizontal="center" vertical="center"/>
    </xf>
    <xf numFmtId="0" fontId="60" fillId="0" borderId="0" xfId="0" applyFont="1" applyAlignment="1">
      <alignment wrapText="1"/>
    </xf>
    <xf numFmtId="3" fontId="60" fillId="9" borderId="34" xfId="0" applyNumberFormat="1" applyFont="1" applyFill="1" applyBorder="1" applyAlignment="1">
      <alignment horizontal="center" vertical="center" wrapText="1"/>
    </xf>
    <xf numFmtId="166" fontId="60" fillId="9" borderId="2" xfId="0" applyNumberFormat="1" applyFont="1" applyFill="1" applyBorder="1" applyAlignment="1">
      <alignment horizontal="center" vertical="center" wrapText="1"/>
    </xf>
    <xf numFmtId="166" fontId="60" fillId="9" borderId="6" xfId="0" applyNumberFormat="1" applyFont="1" applyFill="1" applyBorder="1" applyAlignment="1">
      <alignment horizontal="center" vertical="center" wrapText="1"/>
    </xf>
    <xf numFmtId="166" fontId="62" fillId="9" borderId="6" xfId="0" applyNumberFormat="1" applyFont="1" applyFill="1" applyBorder="1" applyAlignment="1">
      <alignment horizontal="center" vertical="center" wrapText="1"/>
    </xf>
    <xf numFmtId="166" fontId="60" fillId="9" borderId="8" xfId="0" applyNumberFormat="1" applyFont="1" applyFill="1" applyBorder="1" applyAlignment="1">
      <alignment horizontal="center" vertical="center" wrapText="1"/>
    </xf>
    <xf numFmtId="166" fontId="60" fillId="9" borderId="27" xfId="0" applyNumberFormat="1" applyFont="1" applyFill="1" applyBorder="1" applyAlignment="1">
      <alignment horizontal="center" vertical="center" wrapText="1"/>
    </xf>
    <xf numFmtId="0" fontId="60" fillId="24" borderId="34" xfId="0" applyFont="1" applyFill="1" applyBorder="1" applyAlignment="1">
      <alignment horizontal="center" vertical="center" wrapText="1"/>
    </xf>
    <xf numFmtId="166" fontId="60" fillId="24" borderId="2" xfId="0" applyNumberFormat="1" applyFont="1" applyFill="1" applyBorder="1" applyAlignment="1">
      <alignment horizontal="center" vertical="center" wrapText="1"/>
    </xf>
    <xf numFmtId="166" fontId="60" fillId="24" borderId="6" xfId="0" applyNumberFormat="1" applyFont="1" applyFill="1" applyBorder="1" applyAlignment="1">
      <alignment horizontal="center" vertical="center" wrapText="1"/>
    </xf>
    <xf numFmtId="166" fontId="62" fillId="24" borderId="6" xfId="0" applyNumberFormat="1" applyFont="1" applyFill="1" applyBorder="1" applyAlignment="1">
      <alignment horizontal="center" vertical="center" wrapText="1"/>
    </xf>
    <xf numFmtId="166" fontId="60" fillId="24" borderId="8" xfId="0" applyNumberFormat="1" applyFont="1" applyFill="1" applyBorder="1" applyAlignment="1">
      <alignment horizontal="center" vertical="center" wrapText="1"/>
    </xf>
    <xf numFmtId="166" fontId="60" fillId="24" borderId="27" xfId="0" applyNumberFormat="1" applyFont="1" applyFill="1" applyBorder="1" applyAlignment="1">
      <alignment horizontal="center" vertical="center" wrapText="1"/>
    </xf>
    <xf numFmtId="0" fontId="60" fillId="25" borderId="34" xfId="0" applyFont="1" applyFill="1" applyBorder="1" applyAlignment="1">
      <alignment horizontal="center" vertical="center" wrapText="1"/>
    </xf>
    <xf numFmtId="166" fontId="60" fillId="25" borderId="2" xfId="0" applyNumberFormat="1" applyFont="1" applyFill="1" applyBorder="1" applyAlignment="1">
      <alignment horizontal="center" vertical="center" wrapText="1"/>
    </xf>
    <xf numFmtId="166" fontId="60" fillId="25" borderId="6" xfId="0" applyNumberFormat="1" applyFont="1" applyFill="1" applyBorder="1" applyAlignment="1">
      <alignment horizontal="center" vertical="center" wrapText="1"/>
    </xf>
    <xf numFmtId="166" fontId="62" fillId="25" borderId="6" xfId="0" applyNumberFormat="1" applyFont="1" applyFill="1" applyBorder="1" applyAlignment="1">
      <alignment horizontal="center" vertical="center" wrapText="1"/>
    </xf>
    <xf numFmtId="166" fontId="60" fillId="25" borderId="8" xfId="0" applyNumberFormat="1" applyFont="1" applyFill="1" applyBorder="1" applyAlignment="1">
      <alignment horizontal="center" vertical="center" wrapText="1"/>
    </xf>
    <xf numFmtId="166" fontId="60" fillId="25" borderId="27" xfId="0" applyNumberFormat="1" applyFont="1" applyFill="1" applyBorder="1" applyAlignment="1">
      <alignment horizontal="center" vertical="center" wrapText="1"/>
    </xf>
    <xf numFmtId="0" fontId="60" fillId="26" borderId="34" xfId="0" applyFont="1" applyFill="1" applyBorder="1" applyAlignment="1">
      <alignment horizontal="center" vertical="center" wrapText="1"/>
    </xf>
    <xf numFmtId="166" fontId="60" fillId="26" borderId="2" xfId="0" applyNumberFormat="1" applyFont="1" applyFill="1" applyBorder="1" applyAlignment="1">
      <alignment horizontal="center" vertical="center" wrapText="1"/>
    </xf>
    <xf numFmtId="166" fontId="60" fillId="26" borderId="6" xfId="0" applyNumberFormat="1" applyFont="1" applyFill="1" applyBorder="1" applyAlignment="1">
      <alignment horizontal="center" vertical="center" wrapText="1"/>
    </xf>
    <xf numFmtId="166" fontId="62" fillId="26" borderId="6" xfId="0" applyNumberFormat="1" applyFont="1" applyFill="1" applyBorder="1" applyAlignment="1">
      <alignment horizontal="center" vertical="center" wrapText="1"/>
    </xf>
    <xf numFmtId="166" fontId="60" fillId="26" borderId="8" xfId="0" applyNumberFormat="1" applyFont="1" applyFill="1" applyBorder="1" applyAlignment="1">
      <alignment horizontal="center" vertical="center" wrapText="1"/>
    </xf>
    <xf numFmtId="166" fontId="60" fillId="26" borderId="27" xfId="0" applyNumberFormat="1" applyFont="1" applyFill="1" applyBorder="1" applyAlignment="1">
      <alignment horizontal="center" vertical="center" wrapText="1"/>
    </xf>
    <xf numFmtId="0" fontId="60" fillId="27" borderId="34" xfId="0" applyFont="1" applyFill="1" applyBorder="1" applyAlignment="1">
      <alignment horizontal="center" vertical="center" wrapText="1"/>
    </xf>
    <xf numFmtId="166" fontId="60" fillId="27" borderId="2" xfId="0" applyNumberFormat="1" applyFont="1" applyFill="1" applyBorder="1" applyAlignment="1">
      <alignment horizontal="center" vertical="center" wrapText="1"/>
    </xf>
    <xf numFmtId="166" fontId="60" fillId="27" borderId="6" xfId="0" applyNumberFormat="1" applyFont="1" applyFill="1" applyBorder="1" applyAlignment="1">
      <alignment horizontal="center" vertical="center" wrapText="1"/>
    </xf>
    <xf numFmtId="166" fontId="62" fillId="27" borderId="6" xfId="0" applyNumberFormat="1" applyFont="1" applyFill="1" applyBorder="1" applyAlignment="1">
      <alignment horizontal="center" vertical="center" wrapText="1"/>
    </xf>
    <xf numFmtId="166" fontId="60" fillId="27" borderId="8" xfId="0" applyNumberFormat="1" applyFont="1" applyFill="1" applyBorder="1" applyAlignment="1">
      <alignment horizontal="center" vertical="center" wrapText="1"/>
    </xf>
    <xf numFmtId="166" fontId="60" fillId="27" borderId="27" xfId="0" applyNumberFormat="1" applyFont="1" applyFill="1" applyBorder="1" applyAlignment="1">
      <alignment horizontal="center" vertical="center" wrapText="1"/>
    </xf>
    <xf numFmtId="0" fontId="60" fillId="28" borderId="34" xfId="0" applyFont="1" applyFill="1" applyBorder="1" applyAlignment="1">
      <alignment horizontal="center" vertical="center" wrapText="1"/>
    </xf>
    <xf numFmtId="166" fontId="60" fillId="28" borderId="2" xfId="0" applyNumberFormat="1" applyFont="1" applyFill="1" applyBorder="1" applyAlignment="1">
      <alignment horizontal="center" vertical="center" wrapText="1"/>
    </xf>
    <xf numFmtId="166" fontId="60" fillId="28" borderId="6" xfId="0" applyNumberFormat="1" applyFont="1" applyFill="1" applyBorder="1" applyAlignment="1">
      <alignment horizontal="center" vertical="center" wrapText="1"/>
    </xf>
    <xf numFmtId="166" fontId="62" fillId="28" borderId="6" xfId="0" applyNumberFormat="1" applyFont="1" applyFill="1" applyBorder="1" applyAlignment="1">
      <alignment horizontal="center" vertical="center" wrapText="1"/>
    </xf>
    <xf numFmtId="166" fontId="60" fillId="28" borderId="8" xfId="0" applyNumberFormat="1" applyFont="1" applyFill="1" applyBorder="1" applyAlignment="1">
      <alignment horizontal="center" vertical="center" wrapText="1"/>
    </xf>
    <xf numFmtId="166" fontId="60" fillId="28" borderId="27" xfId="0" applyNumberFormat="1" applyFont="1" applyFill="1" applyBorder="1" applyAlignment="1">
      <alignment horizontal="center" vertical="center" wrapText="1"/>
    </xf>
    <xf numFmtId="0" fontId="60" fillId="9" borderId="34" xfId="0" applyFont="1" applyFill="1" applyBorder="1" applyAlignment="1">
      <alignment horizontal="center" vertical="center" wrapText="1"/>
    </xf>
    <xf numFmtId="0" fontId="61" fillId="0" borderId="0" xfId="0" applyFont="1" applyAlignment="1">
      <alignment wrapText="1"/>
    </xf>
    <xf numFmtId="0" fontId="61" fillId="0" borderId="0" xfId="0" applyFont="1"/>
    <xf numFmtId="3" fontId="61" fillId="0" borderId="28" xfId="0" applyNumberFormat="1" applyFont="1" applyBorder="1" applyAlignment="1">
      <alignment horizontal="right" indent="1"/>
    </xf>
    <xf numFmtId="166" fontId="61" fillId="4" borderId="4" xfId="0" applyNumberFormat="1" applyFont="1" applyFill="1" applyBorder="1" applyAlignment="1">
      <alignment horizontal="right" indent="1"/>
    </xf>
    <xf numFmtId="166" fontId="61" fillId="4" borderId="5" xfId="0" applyNumberFormat="1" applyFont="1" applyFill="1" applyBorder="1" applyAlignment="1">
      <alignment horizontal="right" indent="1"/>
    </xf>
    <xf numFmtId="166" fontId="61" fillId="0" borderId="0" xfId="0" applyNumberFormat="1" applyFont="1" applyAlignment="1">
      <alignment horizontal="right" indent="1"/>
    </xf>
    <xf numFmtId="166" fontId="61" fillId="4" borderId="29" xfId="0" applyNumberFormat="1" applyFont="1" applyFill="1" applyBorder="1" applyAlignment="1">
      <alignment horizontal="right" indent="1"/>
    </xf>
    <xf numFmtId="0" fontId="60" fillId="0" borderId="0" xfId="0" applyFont="1"/>
    <xf numFmtId="1" fontId="61" fillId="0" borderId="28" xfId="0" applyNumberFormat="1" applyFont="1" applyBorder="1" applyAlignment="1">
      <alignment horizontal="right" indent="1"/>
    </xf>
    <xf numFmtId="0" fontId="63" fillId="0" borderId="0" xfId="0" applyFont="1"/>
    <xf numFmtId="0" fontId="64" fillId="0" borderId="0" xfId="0" applyFont="1"/>
    <xf numFmtId="4" fontId="0" fillId="0" borderId="0" xfId="0" applyNumberFormat="1"/>
    <xf numFmtId="0" fontId="65" fillId="0" borderId="23" xfId="0" applyFont="1" applyBorder="1" applyAlignment="1">
      <alignment horizontal="left" indent="1"/>
    </xf>
    <xf numFmtId="0" fontId="60" fillId="4" borderId="0" xfId="0" applyFont="1" applyFill="1"/>
    <xf numFmtId="3" fontId="61" fillId="4" borderId="28" xfId="0" applyNumberFormat="1" applyFont="1" applyFill="1" applyBorder="1" applyAlignment="1">
      <alignment horizontal="right" indent="1"/>
    </xf>
    <xf numFmtId="166" fontId="61" fillId="4" borderId="0" xfId="0" applyNumberFormat="1" applyFont="1" applyFill="1" applyAlignment="1">
      <alignment horizontal="right" indent="1"/>
    </xf>
    <xf numFmtId="4" fontId="61" fillId="0" borderId="0" xfId="0" applyNumberFormat="1" applyFont="1" applyAlignment="1">
      <alignment horizontal="right" indent="1"/>
    </xf>
    <xf numFmtId="0" fontId="60" fillId="4" borderId="9" xfId="0" applyFont="1" applyFill="1" applyBorder="1" applyAlignment="1">
      <alignment horizontal="center" wrapText="1"/>
    </xf>
    <xf numFmtId="3" fontId="61" fillId="4" borderId="42" xfId="0" applyNumberFormat="1" applyFont="1" applyFill="1" applyBorder="1" applyAlignment="1">
      <alignment horizontal="right" indent="1"/>
    </xf>
    <xf numFmtId="166" fontId="61" fillId="4" borderId="3" xfId="0" applyNumberFormat="1" applyFont="1" applyFill="1" applyBorder="1" applyAlignment="1">
      <alignment horizontal="right" indent="1"/>
    </xf>
    <xf numFmtId="166" fontId="61" fillId="4" borderId="9" xfId="0" applyNumberFormat="1" applyFont="1" applyFill="1" applyBorder="1" applyAlignment="1">
      <alignment horizontal="right" indent="1"/>
    </xf>
    <xf numFmtId="166" fontId="61" fillId="4" borderId="43" xfId="0" applyNumberFormat="1" applyFont="1" applyFill="1" applyBorder="1" applyAlignment="1">
      <alignment horizontal="right" indent="1"/>
    </xf>
    <xf numFmtId="166" fontId="61" fillId="4" borderId="3" xfId="0" applyNumberFormat="1" applyFont="1" applyFill="1" applyBorder="1" applyAlignment="1">
      <alignment horizontal="right"/>
    </xf>
    <xf numFmtId="0" fontId="66" fillId="8" borderId="0" xfId="0" applyFont="1" applyFill="1"/>
    <xf numFmtId="3" fontId="64" fillId="8" borderId="28" xfId="0" applyNumberFormat="1" applyFont="1" applyFill="1" applyBorder="1" applyAlignment="1">
      <alignment horizontal="right" indent="1"/>
    </xf>
    <xf numFmtId="166" fontId="64" fillId="8" borderId="0" xfId="0" applyNumberFormat="1" applyFont="1" applyFill="1" applyAlignment="1">
      <alignment horizontal="right" indent="1"/>
    </xf>
    <xf numFmtId="166" fontId="64" fillId="0" borderId="0" xfId="0" applyNumberFormat="1" applyFont="1" applyAlignment="1">
      <alignment horizontal="right" indent="1"/>
    </xf>
    <xf numFmtId="166" fontId="61" fillId="8" borderId="0" xfId="0" applyNumberFormat="1" applyFont="1" applyFill="1" applyAlignment="1">
      <alignment horizontal="right" indent="1"/>
    </xf>
    <xf numFmtId="166" fontId="61" fillId="8" borderId="29" xfId="0" applyNumberFormat="1" applyFont="1" applyFill="1" applyBorder="1" applyAlignment="1">
      <alignment horizontal="right" indent="1"/>
    </xf>
    <xf numFmtId="0" fontId="61" fillId="8" borderId="28" xfId="0" applyFont="1" applyFill="1" applyBorder="1" applyAlignment="1">
      <alignment horizontal="right" indent="1"/>
    </xf>
    <xf numFmtId="0" fontId="64" fillId="8" borderId="28" xfId="0" applyFont="1" applyFill="1" applyBorder="1" applyAlignment="1">
      <alignment horizontal="right" indent="1"/>
    </xf>
    <xf numFmtId="0" fontId="60" fillId="0" borderId="8" xfId="0" applyFont="1" applyBorder="1" applyAlignment="1">
      <alignment horizontal="left" vertical="center" wrapText="1"/>
    </xf>
    <xf numFmtId="3" fontId="60" fillId="0" borderId="26" xfId="0" applyNumberFormat="1" applyFont="1" applyBorder="1" applyAlignment="1">
      <alignment horizontal="center" vertical="center" wrapText="1"/>
    </xf>
    <xf numFmtId="0" fontId="60" fillId="0" borderId="26" xfId="0" applyFont="1" applyBorder="1" applyAlignment="1">
      <alignment horizontal="center" vertical="center" wrapText="1"/>
    </xf>
    <xf numFmtId="0" fontId="61" fillId="8" borderId="0" xfId="0" applyFont="1" applyFill="1" applyAlignment="1">
      <alignment horizontal="center" vertical="center" wrapText="1"/>
    </xf>
    <xf numFmtId="0" fontId="67" fillId="0" borderId="0" xfId="0" applyFont="1" applyAlignment="1">
      <alignment vertical="center" wrapText="1"/>
    </xf>
    <xf numFmtId="3" fontId="67" fillId="0" borderId="26" xfId="0" applyNumberFormat="1" applyFont="1" applyBorder="1" applyAlignment="1">
      <alignment horizontal="right" vertical="center" indent="1"/>
    </xf>
    <xf numFmtId="3" fontId="67" fillId="0" borderId="26" xfId="0" applyNumberFormat="1" applyFont="1" applyBorder="1" applyAlignment="1">
      <alignment horizontal="right" indent="1"/>
    </xf>
    <xf numFmtId="169" fontId="67" fillId="4" borderId="26" xfId="0" applyNumberFormat="1" applyFont="1" applyFill="1" applyBorder="1" applyAlignment="1">
      <alignment horizontal="right" vertical="center" indent="1"/>
    </xf>
    <xf numFmtId="166" fontId="67" fillId="4" borderId="26" xfId="0" applyNumberFormat="1" applyFont="1" applyFill="1" applyBorder="1" applyAlignment="1">
      <alignment horizontal="right" vertical="center" indent="1"/>
    </xf>
    <xf numFmtId="0" fontId="56" fillId="8" borderId="0" xfId="0" applyFont="1" applyFill="1" applyAlignment="1">
      <alignment vertical="center"/>
    </xf>
    <xf numFmtId="166" fontId="67" fillId="0" borderId="26" xfId="0" applyNumberFormat="1" applyFont="1" applyBorder="1" applyAlignment="1">
      <alignment horizontal="right" vertical="center" indent="1"/>
    </xf>
    <xf numFmtId="166" fontId="67" fillId="0" borderId="26" xfId="0" applyNumberFormat="1" applyFont="1" applyBorder="1" applyAlignment="1">
      <alignment horizontal="right" indent="1"/>
    </xf>
    <xf numFmtId="169" fontId="67" fillId="4" borderId="47" xfId="0" applyNumberFormat="1" applyFont="1" applyFill="1" applyBorder="1" applyAlignment="1">
      <alignment horizontal="right" vertical="center" indent="1"/>
    </xf>
    <xf numFmtId="3" fontId="61" fillId="8" borderId="0" xfId="0" applyNumberFormat="1" applyFont="1" applyFill="1" applyAlignment="1">
      <alignment horizontal="right" indent="1"/>
    </xf>
    <xf numFmtId="0" fontId="61" fillId="8" borderId="0" xfId="0" applyFont="1" applyFill="1" applyAlignment="1">
      <alignment horizontal="right" indent="1"/>
    </xf>
    <xf numFmtId="3" fontId="62" fillId="8" borderId="0" xfId="0" applyNumberFormat="1" applyFont="1" applyFill="1" applyAlignment="1">
      <alignment horizontal="right" indent="1"/>
    </xf>
    <xf numFmtId="166" fontId="61" fillId="8" borderId="0" xfId="0" applyNumberFormat="1" applyFont="1" applyFill="1"/>
    <xf numFmtId="0" fontId="62" fillId="8" borderId="0" xfId="0" applyFont="1" applyFill="1"/>
    <xf numFmtId="3" fontId="61" fillId="0" borderId="0" xfId="0" applyNumberFormat="1" applyFont="1" applyAlignment="1">
      <alignment horizontal="right" indent="1"/>
    </xf>
    <xf numFmtId="166" fontId="61" fillId="0" borderId="0" xfId="0" applyNumberFormat="1" applyFont="1"/>
    <xf numFmtId="166" fontId="56" fillId="0" borderId="0" xfId="0" applyNumberFormat="1" applyFont="1"/>
    <xf numFmtId="166" fontId="61" fillId="4" borderId="29" xfId="0" applyNumberFormat="1" applyFont="1" applyFill="1" applyBorder="1" applyAlignment="1" applyProtection="1">
      <alignment horizontal="right" indent="1"/>
      <protection locked="0"/>
    </xf>
    <xf numFmtId="3" fontId="61" fillId="0" borderId="28" xfId="0" applyNumberFormat="1" applyFont="1" applyBorder="1" applyAlignment="1" applyProtection="1">
      <alignment horizontal="right" indent="1"/>
      <protection locked="0"/>
    </xf>
    <xf numFmtId="0" fontId="64" fillId="30" borderId="0" xfId="0" applyFont="1" applyFill="1"/>
    <xf numFmtId="0" fontId="2" fillId="0" borderId="8"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15" borderId="17" xfId="0" applyFont="1" applyFill="1" applyBorder="1" applyAlignment="1">
      <alignment horizontal="center" vertical="center"/>
    </xf>
    <xf numFmtId="0" fontId="9" fillId="15" borderId="18" xfId="0" applyFont="1" applyFill="1" applyBorder="1" applyAlignment="1">
      <alignment horizontal="center" vertical="center"/>
    </xf>
    <xf numFmtId="0" fontId="9" fillId="15" borderId="19" xfId="0" applyFont="1" applyFill="1" applyBorder="1" applyAlignment="1">
      <alignment horizontal="center" vertical="center"/>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166" fontId="6" fillId="0" borderId="21" xfId="0" applyNumberFormat="1" applyFont="1" applyBorder="1" applyAlignment="1">
      <alignment horizontal="center" vertical="center" wrapText="1"/>
    </xf>
    <xf numFmtId="166" fontId="6" fillId="0" borderId="23" xfId="0" applyNumberFormat="1" applyFont="1" applyBorder="1" applyAlignment="1">
      <alignment horizontal="center" vertical="center" wrapText="1"/>
    </xf>
    <xf numFmtId="166" fontId="6" fillId="0" borderId="25" xfId="0" applyNumberFormat="1" applyFont="1" applyBorder="1" applyAlignment="1">
      <alignment horizontal="center" vertical="center"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9" fillId="14" borderId="17" xfId="0" applyFont="1" applyFill="1" applyBorder="1" applyAlignment="1">
      <alignment horizontal="center" vertical="center"/>
    </xf>
    <xf numFmtId="0" fontId="9" fillId="14" borderId="18" xfId="0" applyFont="1" applyFill="1" applyBorder="1" applyAlignment="1">
      <alignment horizontal="center" vertical="center"/>
    </xf>
    <xf numFmtId="0" fontId="9" fillId="14" borderId="19" xfId="0" applyFont="1" applyFill="1" applyBorder="1" applyAlignment="1">
      <alignment horizontal="center" vertical="center"/>
    </xf>
    <xf numFmtId="0" fontId="9" fillId="13" borderId="17" xfId="0" applyFont="1" applyFill="1" applyBorder="1" applyAlignment="1">
      <alignment horizontal="center" vertical="center"/>
    </xf>
    <xf numFmtId="0" fontId="9" fillId="13" borderId="18" xfId="0" applyFont="1" applyFill="1" applyBorder="1" applyAlignment="1">
      <alignment horizontal="center" vertical="center"/>
    </xf>
    <xf numFmtId="0" fontId="9" fillId="13" borderId="19" xfId="0" applyFont="1" applyFill="1" applyBorder="1" applyAlignment="1">
      <alignment horizontal="center" vertical="center"/>
    </xf>
    <xf numFmtId="0" fontId="9" fillId="12" borderId="17" xfId="0" applyFont="1" applyFill="1" applyBorder="1" applyAlignment="1">
      <alignment horizontal="center" vertical="center"/>
    </xf>
    <xf numFmtId="0" fontId="9" fillId="12" borderId="18" xfId="0" applyFont="1" applyFill="1" applyBorder="1" applyAlignment="1">
      <alignment horizontal="center" vertical="center"/>
    </xf>
    <xf numFmtId="0" fontId="9" fillId="12" borderId="19" xfId="0" applyFont="1" applyFill="1" applyBorder="1" applyAlignment="1">
      <alignment horizontal="center" vertical="center"/>
    </xf>
    <xf numFmtId="0" fontId="9" fillId="17" borderId="17" xfId="0" applyFont="1" applyFill="1" applyBorder="1" applyAlignment="1">
      <alignment horizontal="center" vertical="center"/>
    </xf>
    <xf numFmtId="0" fontId="9" fillId="17" borderId="18" xfId="0" applyFont="1" applyFill="1" applyBorder="1" applyAlignment="1">
      <alignment horizontal="center" vertical="center"/>
    </xf>
    <xf numFmtId="0" fontId="9" fillId="17" borderId="19"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8"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9" fillId="16" borderId="17" xfId="0" applyFont="1" applyFill="1" applyBorder="1" applyAlignment="1">
      <alignment horizontal="center" vertical="center"/>
    </xf>
    <xf numFmtId="0" fontId="9" fillId="16" borderId="18" xfId="0" applyFont="1" applyFill="1" applyBorder="1" applyAlignment="1">
      <alignment horizontal="center" vertical="center"/>
    </xf>
    <xf numFmtId="0" fontId="9" fillId="16" borderId="19" xfId="0" applyFont="1" applyFill="1" applyBorder="1" applyAlignment="1">
      <alignment horizontal="center" vertical="center"/>
    </xf>
    <xf numFmtId="0" fontId="2" fillId="0" borderId="2"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0" fillId="0" borderId="0" xfId="0" applyFont="1" applyAlignment="1">
      <alignment horizontal="left" wrapText="1"/>
    </xf>
    <xf numFmtId="0" fontId="44" fillId="3" borderId="8" xfId="0" applyFont="1" applyFill="1" applyBorder="1" applyAlignment="1">
      <alignment horizontal="center"/>
    </xf>
    <xf numFmtId="0" fontId="44" fillId="3" borderId="6" xfId="0" applyFont="1" applyFill="1" applyBorder="1" applyAlignment="1">
      <alignment horizontal="center"/>
    </xf>
    <xf numFmtId="0" fontId="0" fillId="3" borderId="8"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8" xfId="0" applyFill="1" applyBorder="1" applyAlignment="1">
      <alignment horizontal="left" vertical="top" wrapText="1"/>
    </xf>
    <xf numFmtId="0" fontId="0" fillId="3" borderId="6"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6" fillId="0" borderId="4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12" borderId="41" xfId="0" applyFont="1" applyFill="1" applyBorder="1" applyAlignment="1">
      <alignment horizontal="center"/>
    </xf>
    <xf numFmtId="0" fontId="6" fillId="12" borderId="12" xfId="0" applyFont="1" applyFill="1" applyBorder="1" applyAlignment="1">
      <alignment horizontal="center"/>
    </xf>
    <xf numFmtId="0" fontId="6" fillId="13" borderId="41" xfId="0" applyFont="1" applyFill="1" applyBorder="1" applyAlignment="1">
      <alignment horizontal="center"/>
    </xf>
    <xf numFmtId="0" fontId="6" fillId="13" borderId="12" xfId="0" applyFont="1" applyFill="1" applyBorder="1" applyAlignment="1">
      <alignment horizontal="center"/>
    </xf>
    <xf numFmtId="0" fontId="6" fillId="14" borderId="41" xfId="0" applyFont="1" applyFill="1" applyBorder="1" applyAlignment="1">
      <alignment horizontal="center"/>
    </xf>
    <xf numFmtId="0" fontId="6" fillId="14" borderId="12" xfId="0" applyFont="1" applyFill="1" applyBorder="1" applyAlignment="1">
      <alignment horizontal="center"/>
    </xf>
    <xf numFmtId="0" fontId="6" fillId="15" borderId="41" xfId="0" applyFont="1" applyFill="1" applyBorder="1" applyAlignment="1">
      <alignment horizontal="center"/>
    </xf>
    <xf numFmtId="0" fontId="6" fillId="15" borderId="12" xfId="0" applyFont="1" applyFill="1" applyBorder="1" applyAlignment="1">
      <alignment horizontal="center"/>
    </xf>
    <xf numFmtId="0" fontId="6" fillId="16" borderId="41" xfId="0" applyFont="1" applyFill="1" applyBorder="1" applyAlignment="1">
      <alignment horizontal="center"/>
    </xf>
    <xf numFmtId="0" fontId="6" fillId="16" borderId="12" xfId="0" applyFont="1" applyFill="1" applyBorder="1" applyAlignment="1">
      <alignment horizontal="center"/>
    </xf>
    <xf numFmtId="0" fontId="6" fillId="17" borderId="41" xfId="0" applyFont="1" applyFill="1" applyBorder="1" applyAlignment="1">
      <alignment horizontal="center"/>
    </xf>
    <xf numFmtId="0" fontId="6" fillId="17" borderId="12" xfId="0" applyFont="1" applyFill="1" applyBorder="1" applyAlignment="1">
      <alignment horizontal="center"/>
    </xf>
    <xf numFmtId="0" fontId="6" fillId="29" borderId="41" xfId="0" applyFont="1" applyFill="1" applyBorder="1" applyAlignment="1">
      <alignment horizontal="center"/>
    </xf>
    <xf numFmtId="0" fontId="6" fillId="29" borderId="12" xfId="0" applyFont="1" applyFill="1" applyBorder="1" applyAlignment="1">
      <alignment horizontal="center"/>
    </xf>
    <xf numFmtId="166" fontId="62" fillId="8" borderId="8" xfId="0" applyNumberFormat="1" applyFont="1" applyFill="1" applyBorder="1" applyAlignment="1">
      <alignment horizontal="center" vertical="center" wrapText="1"/>
    </xf>
    <xf numFmtId="166" fontId="62" fillId="8" borderId="7" xfId="0" applyNumberFormat="1" applyFont="1" applyFill="1" applyBorder="1" applyAlignment="1">
      <alignment horizontal="center" vertical="center" wrapText="1"/>
    </xf>
    <xf numFmtId="166" fontId="62" fillId="8" borderId="33" xfId="0" applyNumberFormat="1" applyFont="1" applyFill="1" applyBorder="1" applyAlignment="1">
      <alignment horizontal="center" vertical="center" wrapText="1"/>
    </xf>
    <xf numFmtId="166" fontId="56" fillId="8" borderId="44" xfId="0" applyNumberFormat="1" applyFont="1" applyFill="1" applyBorder="1" applyAlignment="1">
      <alignment horizontal="left" vertical="top" wrapText="1"/>
    </xf>
    <xf numFmtId="166" fontId="56" fillId="8" borderId="45" xfId="0" applyNumberFormat="1" applyFont="1" applyFill="1" applyBorder="1" applyAlignment="1">
      <alignment horizontal="left" vertical="top" wrapText="1"/>
    </xf>
    <xf numFmtId="166" fontId="56" fillId="8" borderId="46" xfId="0" applyNumberFormat="1" applyFont="1" applyFill="1" applyBorder="1" applyAlignment="1">
      <alignment horizontal="left" vertical="top" wrapText="1"/>
    </xf>
    <xf numFmtId="166" fontId="56" fillId="8" borderId="39" xfId="0" applyNumberFormat="1" applyFont="1" applyFill="1" applyBorder="1" applyAlignment="1">
      <alignment horizontal="left" vertical="top" wrapText="1"/>
    </xf>
    <xf numFmtId="166" fontId="56" fillId="8" borderId="0" xfId="0" applyNumberFormat="1" applyFont="1" applyFill="1" applyAlignment="1">
      <alignment horizontal="left" vertical="top" wrapText="1"/>
    </xf>
    <xf numFmtId="166" fontId="56" fillId="8" borderId="29" xfId="0" applyNumberFormat="1" applyFont="1" applyFill="1" applyBorder="1" applyAlignment="1">
      <alignment horizontal="left" vertical="top" wrapText="1"/>
    </xf>
    <xf numFmtId="166" fontId="56" fillId="8" borderId="48" xfId="0" applyNumberFormat="1" applyFont="1" applyFill="1" applyBorder="1" applyAlignment="1">
      <alignment horizontal="left" vertical="top" wrapText="1"/>
    </xf>
    <xf numFmtId="166" fontId="56" fillId="8" borderId="49" xfId="0" applyNumberFormat="1" applyFont="1" applyFill="1" applyBorder="1" applyAlignment="1">
      <alignment horizontal="left" vertical="top" wrapText="1"/>
    </xf>
    <xf numFmtId="166" fontId="56" fillId="8" borderId="50" xfId="0" applyNumberFormat="1" applyFont="1" applyFill="1" applyBorder="1" applyAlignment="1">
      <alignment horizontal="left" vertical="top" wrapText="1"/>
    </xf>
    <xf numFmtId="0" fontId="57" fillId="9" borderId="17" xfId="0" applyFont="1" applyFill="1" applyBorder="1" applyAlignment="1">
      <alignment horizontal="center"/>
    </xf>
    <xf numFmtId="0" fontId="57" fillId="9" borderId="18" xfId="0" applyFont="1" applyFill="1" applyBorder="1" applyAlignment="1">
      <alignment horizontal="center"/>
    </xf>
    <xf numFmtId="0" fontId="57" fillId="9" borderId="19" xfId="0" applyFont="1" applyFill="1" applyBorder="1" applyAlignment="1">
      <alignment horizontal="center"/>
    </xf>
    <xf numFmtId="0" fontId="57" fillId="24" borderId="17" xfId="0" applyFont="1" applyFill="1" applyBorder="1" applyAlignment="1">
      <alignment horizontal="center"/>
    </xf>
    <xf numFmtId="0" fontId="57" fillId="24" borderId="18" xfId="0" applyFont="1" applyFill="1" applyBorder="1" applyAlignment="1">
      <alignment horizontal="center"/>
    </xf>
    <xf numFmtId="0" fontId="57" fillId="24" borderId="19" xfId="0" applyFont="1" applyFill="1" applyBorder="1" applyAlignment="1">
      <alignment horizontal="center"/>
    </xf>
    <xf numFmtId="166" fontId="60" fillId="9" borderId="2" xfId="0" applyNumberFormat="1" applyFont="1" applyFill="1" applyBorder="1" applyAlignment="1">
      <alignment horizontal="center" vertical="center" wrapText="1"/>
    </xf>
    <xf numFmtId="166" fontId="60" fillId="24" borderId="2" xfId="0" applyNumberFormat="1" applyFont="1" applyFill="1" applyBorder="1" applyAlignment="1">
      <alignment horizontal="center" vertical="center" wrapText="1"/>
    </xf>
    <xf numFmtId="166" fontId="60" fillId="25" borderId="2" xfId="0" applyNumberFormat="1" applyFont="1" applyFill="1" applyBorder="1" applyAlignment="1">
      <alignment horizontal="center" vertical="center" wrapText="1"/>
    </xf>
    <xf numFmtId="166" fontId="60" fillId="26" borderId="2" xfId="0" applyNumberFormat="1" applyFont="1" applyFill="1" applyBorder="1" applyAlignment="1">
      <alignment horizontal="center" vertical="center" wrapText="1"/>
    </xf>
    <xf numFmtId="166" fontId="60" fillId="27" borderId="2" xfId="0" applyNumberFormat="1" applyFont="1" applyFill="1" applyBorder="1" applyAlignment="1">
      <alignment horizontal="center" vertical="center" wrapText="1"/>
    </xf>
    <xf numFmtId="166" fontId="60" fillId="28" borderId="2" xfId="0" applyNumberFormat="1" applyFont="1" applyFill="1" applyBorder="1" applyAlignment="1">
      <alignment horizontal="center" vertical="center" wrapText="1"/>
    </xf>
    <xf numFmtId="0" fontId="58" fillId="24" borderId="17" xfId="0" applyFont="1" applyFill="1" applyBorder="1" applyAlignment="1">
      <alignment horizontal="center"/>
    </xf>
    <xf numFmtId="0" fontId="58" fillId="24" borderId="18" xfId="0" applyFont="1" applyFill="1" applyBorder="1" applyAlignment="1">
      <alignment horizontal="center"/>
    </xf>
    <xf numFmtId="0" fontId="58" fillId="24" borderId="19" xfId="0" applyFont="1" applyFill="1" applyBorder="1" applyAlignment="1">
      <alignment horizontal="center"/>
    </xf>
    <xf numFmtId="0" fontId="57" fillId="25" borderId="17" xfId="0" applyFont="1" applyFill="1" applyBorder="1" applyAlignment="1">
      <alignment horizontal="center"/>
    </xf>
    <xf numFmtId="0" fontId="57" fillId="25" borderId="18" xfId="0" applyFont="1" applyFill="1" applyBorder="1" applyAlignment="1">
      <alignment horizontal="center"/>
    </xf>
    <xf numFmtId="0" fontId="57" fillId="25" borderId="19" xfId="0" applyFont="1" applyFill="1" applyBorder="1" applyAlignment="1">
      <alignment horizontal="center"/>
    </xf>
    <xf numFmtId="0" fontId="57" fillId="26" borderId="42" xfId="0" applyFont="1" applyFill="1" applyBorder="1" applyAlignment="1">
      <alignment horizontal="center"/>
    </xf>
    <xf numFmtId="0" fontId="57" fillId="26" borderId="9" xfId="0" applyFont="1" applyFill="1" applyBorder="1" applyAlignment="1">
      <alignment horizontal="center"/>
    </xf>
    <xf numFmtId="0" fontId="57" fillId="26" borderId="43" xfId="0" applyFont="1" applyFill="1" applyBorder="1" applyAlignment="1">
      <alignment horizontal="center"/>
    </xf>
    <xf numFmtId="0" fontId="57" fillId="27" borderId="17" xfId="0" applyFont="1" applyFill="1" applyBorder="1" applyAlignment="1">
      <alignment horizontal="center"/>
    </xf>
    <xf numFmtId="0" fontId="57" fillId="27" borderId="18" xfId="0" applyFont="1" applyFill="1" applyBorder="1" applyAlignment="1">
      <alignment horizontal="center"/>
    </xf>
    <xf numFmtId="0" fontId="57" fillId="27" borderId="19" xfId="0" applyFont="1" applyFill="1" applyBorder="1" applyAlignment="1">
      <alignment horizontal="center"/>
    </xf>
    <xf numFmtId="0" fontId="57" fillId="28" borderId="17" xfId="0" applyFont="1" applyFill="1" applyBorder="1" applyAlignment="1">
      <alignment horizontal="center"/>
    </xf>
    <xf numFmtId="0" fontId="57" fillId="28" borderId="18" xfId="0" applyFont="1" applyFill="1" applyBorder="1" applyAlignment="1">
      <alignment horizontal="center"/>
    </xf>
    <xf numFmtId="0" fontId="57" fillId="28" borderId="19" xfId="0" applyFont="1" applyFill="1" applyBorder="1" applyAlignment="1">
      <alignment horizontal="center"/>
    </xf>
  </cellXfs>
  <cellStyles count="559">
    <cellStyle name="Comma" xfId="557" builtinId="3"/>
    <cellStyle name="Comma 10" xfId="2" xr:uid="{00000000-0005-0000-0000-000001000000}"/>
    <cellStyle name="Comma 11" xfId="3" xr:uid="{00000000-0005-0000-0000-000002000000}"/>
    <cellStyle name="Comma 11 2" xfId="4" xr:uid="{00000000-0005-0000-0000-000003000000}"/>
    <cellStyle name="Comma 12" xfId="5" xr:uid="{00000000-0005-0000-0000-000004000000}"/>
    <cellStyle name="Comma 13" xfId="6" xr:uid="{00000000-0005-0000-0000-000005000000}"/>
    <cellStyle name="Comma 14" xfId="7" xr:uid="{00000000-0005-0000-0000-000006000000}"/>
    <cellStyle name="Comma 15" xfId="8" xr:uid="{00000000-0005-0000-0000-000007000000}"/>
    <cellStyle name="Comma 2" xfId="9" xr:uid="{00000000-0005-0000-0000-000008000000}"/>
    <cellStyle name="Comma 2 2" xfId="10" xr:uid="{00000000-0005-0000-0000-000009000000}"/>
    <cellStyle name="Comma 2 2 2" xfId="11" xr:uid="{00000000-0005-0000-0000-00000A000000}"/>
    <cellStyle name="Comma 2 3" xfId="12" xr:uid="{00000000-0005-0000-0000-00000B000000}"/>
    <cellStyle name="Comma 2 4" xfId="13" xr:uid="{00000000-0005-0000-0000-00000C000000}"/>
    <cellStyle name="Comma 2 5" xfId="14" xr:uid="{00000000-0005-0000-0000-00000D000000}"/>
    <cellStyle name="Comma 3" xfId="15" xr:uid="{00000000-0005-0000-0000-00000E000000}"/>
    <cellStyle name="Comma 3 2" xfId="16" xr:uid="{00000000-0005-0000-0000-00000F000000}"/>
    <cellStyle name="Comma 3 2 2" xfId="17" xr:uid="{00000000-0005-0000-0000-000010000000}"/>
    <cellStyle name="Comma 4" xfId="18" xr:uid="{00000000-0005-0000-0000-000011000000}"/>
    <cellStyle name="Comma 4 2" xfId="19" xr:uid="{00000000-0005-0000-0000-000012000000}"/>
    <cellStyle name="Comma 4 3" xfId="20" xr:uid="{00000000-0005-0000-0000-000013000000}"/>
    <cellStyle name="Comma 5" xfId="21" xr:uid="{00000000-0005-0000-0000-000014000000}"/>
    <cellStyle name="Comma 5 2" xfId="22" xr:uid="{00000000-0005-0000-0000-000015000000}"/>
    <cellStyle name="Comma 6" xfId="23" xr:uid="{00000000-0005-0000-0000-000016000000}"/>
    <cellStyle name="Comma 6 2" xfId="24" xr:uid="{00000000-0005-0000-0000-000017000000}"/>
    <cellStyle name="Comma 7" xfId="25" xr:uid="{00000000-0005-0000-0000-000018000000}"/>
    <cellStyle name="Comma 7 2" xfId="26" xr:uid="{00000000-0005-0000-0000-000019000000}"/>
    <cellStyle name="Comma 7 3" xfId="27" xr:uid="{00000000-0005-0000-0000-00001A000000}"/>
    <cellStyle name="Comma 8" xfId="28" xr:uid="{00000000-0005-0000-0000-00001B000000}"/>
    <cellStyle name="Comma 9" xfId="29" xr:uid="{00000000-0005-0000-0000-00001C000000}"/>
    <cellStyle name="Comma 9 2" xfId="30" xr:uid="{00000000-0005-0000-0000-00001D000000}"/>
    <cellStyle name="Currency 2" xfId="31" xr:uid="{00000000-0005-0000-0000-00001E000000}"/>
    <cellStyle name="Currency 2 2" xfId="32" xr:uid="{00000000-0005-0000-0000-00001F000000}"/>
    <cellStyle name="Currency 2 2 2" xfId="33" xr:uid="{00000000-0005-0000-0000-000020000000}"/>
    <cellStyle name="Currency 2 3" xfId="34" xr:uid="{00000000-0005-0000-0000-000021000000}"/>
    <cellStyle name="Currency 2 4" xfId="35" xr:uid="{00000000-0005-0000-0000-000022000000}"/>
    <cellStyle name="Currency 2 4 2" xfId="36" xr:uid="{00000000-0005-0000-0000-000023000000}"/>
    <cellStyle name="Currency 2 5" xfId="37" xr:uid="{00000000-0005-0000-0000-000024000000}"/>
    <cellStyle name="Currency 3" xfId="38" xr:uid="{00000000-0005-0000-0000-000025000000}"/>
    <cellStyle name="Currency 3 2" xfId="39" xr:uid="{00000000-0005-0000-0000-000026000000}"/>
    <cellStyle name="Currency 4" xfId="40" xr:uid="{00000000-0005-0000-0000-000027000000}"/>
    <cellStyle name="Currency 4 2" xfId="41" xr:uid="{00000000-0005-0000-0000-000028000000}"/>
    <cellStyle name="Currency 4 3" xfId="42" xr:uid="{00000000-0005-0000-0000-000029000000}"/>
    <cellStyle name="Currency 5" xfId="43" xr:uid="{00000000-0005-0000-0000-00002A000000}"/>
    <cellStyle name="Currency 6" xfId="44" xr:uid="{00000000-0005-0000-0000-00002B000000}"/>
    <cellStyle name="Currency 6 2" xfId="45" xr:uid="{00000000-0005-0000-0000-00002C000000}"/>
    <cellStyle name="Currency 7" xfId="46" xr:uid="{00000000-0005-0000-0000-00002D000000}"/>
    <cellStyle name="Followed Hyperlink 2" xfId="47" xr:uid="{00000000-0005-0000-0000-00002E000000}"/>
    <cellStyle name="Hyperlink 2" xfId="48" xr:uid="{00000000-0005-0000-0000-00002F000000}"/>
    <cellStyle name="Hyperlink 2 2" xfId="49" xr:uid="{00000000-0005-0000-0000-000030000000}"/>
    <cellStyle name="Hyperlink 3" xfId="50" xr:uid="{00000000-0005-0000-0000-000031000000}"/>
    <cellStyle name="Hyperlink 4" xfId="51" xr:uid="{00000000-0005-0000-0000-000032000000}"/>
    <cellStyle name="Hyperlink 5" xfId="52" xr:uid="{00000000-0005-0000-0000-000033000000}"/>
    <cellStyle name="Normal" xfId="0" builtinId="0"/>
    <cellStyle name="Normal 10" xfId="53" xr:uid="{00000000-0005-0000-0000-000035000000}"/>
    <cellStyle name="Normal 10 2" xfId="54" xr:uid="{00000000-0005-0000-0000-000036000000}"/>
    <cellStyle name="Normal 10 3" xfId="55" xr:uid="{00000000-0005-0000-0000-000037000000}"/>
    <cellStyle name="Normal 10 4" xfId="56" xr:uid="{00000000-0005-0000-0000-000038000000}"/>
    <cellStyle name="Normal 100" xfId="57" xr:uid="{00000000-0005-0000-0000-000039000000}"/>
    <cellStyle name="Normal 101" xfId="58" xr:uid="{00000000-0005-0000-0000-00003A000000}"/>
    <cellStyle name="Normal 102" xfId="59" xr:uid="{00000000-0005-0000-0000-00003B000000}"/>
    <cellStyle name="Normal 103" xfId="60" xr:uid="{00000000-0005-0000-0000-00003C000000}"/>
    <cellStyle name="Normal 104" xfId="61" xr:uid="{00000000-0005-0000-0000-00003D000000}"/>
    <cellStyle name="Normal 105" xfId="62" xr:uid="{00000000-0005-0000-0000-00003E000000}"/>
    <cellStyle name="Normal 106" xfId="63" xr:uid="{00000000-0005-0000-0000-00003F000000}"/>
    <cellStyle name="Normal 107" xfId="64" xr:uid="{00000000-0005-0000-0000-000040000000}"/>
    <cellStyle name="Normal 108" xfId="65" xr:uid="{00000000-0005-0000-0000-000041000000}"/>
    <cellStyle name="Normal 109" xfId="66" xr:uid="{00000000-0005-0000-0000-000042000000}"/>
    <cellStyle name="Normal 11" xfId="67" xr:uid="{00000000-0005-0000-0000-000043000000}"/>
    <cellStyle name="Normal 11 2" xfId="68" xr:uid="{00000000-0005-0000-0000-000044000000}"/>
    <cellStyle name="Normal 110" xfId="69" xr:uid="{00000000-0005-0000-0000-000045000000}"/>
    <cellStyle name="Normal 111" xfId="70" xr:uid="{00000000-0005-0000-0000-000046000000}"/>
    <cellStyle name="Normal 112" xfId="71" xr:uid="{00000000-0005-0000-0000-000047000000}"/>
    <cellStyle name="Normal 113" xfId="72" xr:uid="{00000000-0005-0000-0000-000048000000}"/>
    <cellStyle name="Normal 114" xfId="73" xr:uid="{00000000-0005-0000-0000-000049000000}"/>
    <cellStyle name="Normal 115" xfId="74" xr:uid="{00000000-0005-0000-0000-00004A000000}"/>
    <cellStyle name="Normal 116" xfId="75" xr:uid="{00000000-0005-0000-0000-00004B000000}"/>
    <cellStyle name="Normal 117" xfId="76" xr:uid="{00000000-0005-0000-0000-00004C000000}"/>
    <cellStyle name="Normal 118" xfId="77" xr:uid="{00000000-0005-0000-0000-00004D000000}"/>
    <cellStyle name="Normal 119" xfId="78" xr:uid="{00000000-0005-0000-0000-00004E000000}"/>
    <cellStyle name="Normal 12" xfId="79" xr:uid="{00000000-0005-0000-0000-00004F000000}"/>
    <cellStyle name="Normal 120" xfId="80" xr:uid="{00000000-0005-0000-0000-000050000000}"/>
    <cellStyle name="Normal 121" xfId="81" xr:uid="{00000000-0005-0000-0000-000051000000}"/>
    <cellStyle name="Normal 122" xfId="82" xr:uid="{00000000-0005-0000-0000-000052000000}"/>
    <cellStyle name="Normal 123" xfId="83" xr:uid="{00000000-0005-0000-0000-000053000000}"/>
    <cellStyle name="Normal 124" xfId="84" xr:uid="{00000000-0005-0000-0000-000054000000}"/>
    <cellStyle name="Normal 125" xfId="85" xr:uid="{00000000-0005-0000-0000-000055000000}"/>
    <cellStyle name="Normal 126" xfId="86" xr:uid="{00000000-0005-0000-0000-000056000000}"/>
    <cellStyle name="Normal 127" xfId="87" xr:uid="{00000000-0005-0000-0000-000057000000}"/>
    <cellStyle name="Normal 128" xfId="88" xr:uid="{00000000-0005-0000-0000-000058000000}"/>
    <cellStyle name="Normal 129" xfId="89" xr:uid="{00000000-0005-0000-0000-000059000000}"/>
    <cellStyle name="Normal 13" xfId="90" xr:uid="{00000000-0005-0000-0000-00005A000000}"/>
    <cellStyle name="Normal 13 2" xfId="91" xr:uid="{00000000-0005-0000-0000-00005B000000}"/>
    <cellStyle name="Normal 130" xfId="92" xr:uid="{00000000-0005-0000-0000-00005C000000}"/>
    <cellStyle name="Normal 131" xfId="93" xr:uid="{00000000-0005-0000-0000-00005D000000}"/>
    <cellStyle name="Normal 132" xfId="94" xr:uid="{00000000-0005-0000-0000-00005E000000}"/>
    <cellStyle name="Normal 133" xfId="95" xr:uid="{00000000-0005-0000-0000-00005F000000}"/>
    <cellStyle name="Normal 134" xfId="96" xr:uid="{00000000-0005-0000-0000-000060000000}"/>
    <cellStyle name="Normal 135" xfId="97" xr:uid="{00000000-0005-0000-0000-000061000000}"/>
    <cellStyle name="Normal 136" xfId="98" xr:uid="{00000000-0005-0000-0000-000062000000}"/>
    <cellStyle name="Normal 137" xfId="99" xr:uid="{00000000-0005-0000-0000-000063000000}"/>
    <cellStyle name="Normal 138" xfId="100" xr:uid="{00000000-0005-0000-0000-000064000000}"/>
    <cellStyle name="Normal 139" xfId="101" xr:uid="{00000000-0005-0000-0000-000065000000}"/>
    <cellStyle name="Normal 14" xfId="102" xr:uid="{00000000-0005-0000-0000-000066000000}"/>
    <cellStyle name="Normal 140" xfId="103" xr:uid="{00000000-0005-0000-0000-000067000000}"/>
    <cellStyle name="Normal 141" xfId="104" xr:uid="{00000000-0005-0000-0000-000068000000}"/>
    <cellStyle name="Normal 142" xfId="105" xr:uid="{00000000-0005-0000-0000-000069000000}"/>
    <cellStyle name="Normal 143" xfId="106" xr:uid="{00000000-0005-0000-0000-00006A000000}"/>
    <cellStyle name="Normal 144" xfId="107" xr:uid="{00000000-0005-0000-0000-00006B000000}"/>
    <cellStyle name="Normal 145" xfId="108" xr:uid="{00000000-0005-0000-0000-00006C000000}"/>
    <cellStyle name="Normal 146" xfId="109" xr:uid="{00000000-0005-0000-0000-00006D000000}"/>
    <cellStyle name="Normal 147" xfId="110" xr:uid="{00000000-0005-0000-0000-00006E000000}"/>
    <cellStyle name="Normal 148" xfId="111" xr:uid="{00000000-0005-0000-0000-00006F000000}"/>
    <cellStyle name="Normal 149" xfId="112" xr:uid="{00000000-0005-0000-0000-000070000000}"/>
    <cellStyle name="Normal 15" xfId="113" xr:uid="{00000000-0005-0000-0000-000071000000}"/>
    <cellStyle name="Normal 150" xfId="114" xr:uid="{00000000-0005-0000-0000-000072000000}"/>
    <cellStyle name="Normal 151" xfId="115" xr:uid="{00000000-0005-0000-0000-000073000000}"/>
    <cellStyle name="Normal 152" xfId="116" xr:uid="{00000000-0005-0000-0000-000074000000}"/>
    <cellStyle name="Normal 153" xfId="117" xr:uid="{00000000-0005-0000-0000-000075000000}"/>
    <cellStyle name="Normal 154" xfId="118" xr:uid="{00000000-0005-0000-0000-000076000000}"/>
    <cellStyle name="Normal 155" xfId="119" xr:uid="{00000000-0005-0000-0000-000077000000}"/>
    <cellStyle name="Normal 156" xfId="120" xr:uid="{00000000-0005-0000-0000-000078000000}"/>
    <cellStyle name="Normal 157" xfId="121" xr:uid="{00000000-0005-0000-0000-000079000000}"/>
    <cellStyle name="Normal 158" xfId="122" xr:uid="{00000000-0005-0000-0000-00007A000000}"/>
    <cellStyle name="Normal 159" xfId="123" xr:uid="{00000000-0005-0000-0000-00007B000000}"/>
    <cellStyle name="Normal 16" xfId="124" xr:uid="{00000000-0005-0000-0000-00007C000000}"/>
    <cellStyle name="Normal 160" xfId="125" xr:uid="{00000000-0005-0000-0000-00007D000000}"/>
    <cellStyle name="Normal 161" xfId="126" xr:uid="{00000000-0005-0000-0000-00007E000000}"/>
    <cellStyle name="Normal 162" xfId="127" xr:uid="{00000000-0005-0000-0000-00007F000000}"/>
    <cellStyle name="Normal 163" xfId="128" xr:uid="{00000000-0005-0000-0000-000080000000}"/>
    <cellStyle name="Normal 164" xfId="129" xr:uid="{00000000-0005-0000-0000-000081000000}"/>
    <cellStyle name="Normal 165" xfId="130" xr:uid="{00000000-0005-0000-0000-000082000000}"/>
    <cellStyle name="Normal 166" xfId="131" xr:uid="{00000000-0005-0000-0000-000083000000}"/>
    <cellStyle name="Normal 167" xfId="132" xr:uid="{00000000-0005-0000-0000-000084000000}"/>
    <cellStyle name="Normal 168" xfId="133" xr:uid="{00000000-0005-0000-0000-000085000000}"/>
    <cellStyle name="Normal 169" xfId="134" xr:uid="{00000000-0005-0000-0000-000086000000}"/>
    <cellStyle name="Normal 17" xfId="135" xr:uid="{00000000-0005-0000-0000-000087000000}"/>
    <cellStyle name="Normal 170" xfId="136" xr:uid="{00000000-0005-0000-0000-000088000000}"/>
    <cellStyle name="Normal 171" xfId="137" xr:uid="{00000000-0005-0000-0000-000089000000}"/>
    <cellStyle name="Normal 172" xfId="138" xr:uid="{00000000-0005-0000-0000-00008A000000}"/>
    <cellStyle name="Normal 173" xfId="139" xr:uid="{00000000-0005-0000-0000-00008B000000}"/>
    <cellStyle name="Normal 174" xfId="140" xr:uid="{00000000-0005-0000-0000-00008C000000}"/>
    <cellStyle name="Normal 175" xfId="141" xr:uid="{00000000-0005-0000-0000-00008D000000}"/>
    <cellStyle name="Normal 176" xfId="142" xr:uid="{00000000-0005-0000-0000-00008E000000}"/>
    <cellStyle name="Normal 177" xfId="143" xr:uid="{00000000-0005-0000-0000-00008F000000}"/>
    <cellStyle name="Normal 178" xfId="144" xr:uid="{00000000-0005-0000-0000-000090000000}"/>
    <cellStyle name="Normal 179" xfId="145" xr:uid="{00000000-0005-0000-0000-000091000000}"/>
    <cellStyle name="Normal 18" xfId="146" xr:uid="{00000000-0005-0000-0000-000092000000}"/>
    <cellStyle name="Normal 180" xfId="147" xr:uid="{00000000-0005-0000-0000-000093000000}"/>
    <cellStyle name="Normal 181" xfId="148" xr:uid="{00000000-0005-0000-0000-000094000000}"/>
    <cellStyle name="Normal 182" xfId="149" xr:uid="{00000000-0005-0000-0000-000095000000}"/>
    <cellStyle name="Normal 183" xfId="150" xr:uid="{00000000-0005-0000-0000-000096000000}"/>
    <cellStyle name="Normal 184" xfId="151" xr:uid="{00000000-0005-0000-0000-000097000000}"/>
    <cellStyle name="Normal 185" xfId="152" xr:uid="{00000000-0005-0000-0000-000098000000}"/>
    <cellStyle name="Normal 186" xfId="153" xr:uid="{00000000-0005-0000-0000-000099000000}"/>
    <cellStyle name="Normal 187" xfId="154" xr:uid="{00000000-0005-0000-0000-00009A000000}"/>
    <cellStyle name="Normal 188" xfId="155" xr:uid="{00000000-0005-0000-0000-00009B000000}"/>
    <cellStyle name="Normal 189" xfId="156" xr:uid="{00000000-0005-0000-0000-00009C000000}"/>
    <cellStyle name="Normal 19" xfId="157" xr:uid="{00000000-0005-0000-0000-00009D000000}"/>
    <cellStyle name="Normal 190" xfId="158" xr:uid="{00000000-0005-0000-0000-00009E000000}"/>
    <cellStyle name="Normal 191" xfId="159" xr:uid="{00000000-0005-0000-0000-00009F000000}"/>
    <cellStyle name="Normal 192" xfId="160" xr:uid="{00000000-0005-0000-0000-0000A0000000}"/>
    <cellStyle name="Normal 193" xfId="161" xr:uid="{00000000-0005-0000-0000-0000A1000000}"/>
    <cellStyle name="Normal 194" xfId="162" xr:uid="{00000000-0005-0000-0000-0000A2000000}"/>
    <cellStyle name="Normal 195" xfId="163" xr:uid="{00000000-0005-0000-0000-0000A3000000}"/>
    <cellStyle name="Normal 196" xfId="164" xr:uid="{00000000-0005-0000-0000-0000A4000000}"/>
    <cellStyle name="Normal 197" xfId="165" xr:uid="{00000000-0005-0000-0000-0000A5000000}"/>
    <cellStyle name="Normal 198" xfId="166" xr:uid="{00000000-0005-0000-0000-0000A6000000}"/>
    <cellStyle name="Normal 199" xfId="167" xr:uid="{00000000-0005-0000-0000-0000A7000000}"/>
    <cellStyle name="Normal 2" xfId="168" xr:uid="{00000000-0005-0000-0000-0000A8000000}"/>
    <cellStyle name="Normal 2 10" xfId="169" xr:uid="{00000000-0005-0000-0000-0000A9000000}"/>
    <cellStyle name="Normal 2 10 2" xfId="170" xr:uid="{00000000-0005-0000-0000-0000AA000000}"/>
    <cellStyle name="Normal 2 11" xfId="171" xr:uid="{00000000-0005-0000-0000-0000AB000000}"/>
    <cellStyle name="Normal 2 11 2" xfId="172" xr:uid="{00000000-0005-0000-0000-0000AC000000}"/>
    <cellStyle name="Normal 2 2" xfId="173" xr:uid="{00000000-0005-0000-0000-0000AD000000}"/>
    <cellStyle name="Normal 2 2 2" xfId="174" xr:uid="{00000000-0005-0000-0000-0000AE000000}"/>
    <cellStyle name="Normal 2 2 2 2" xfId="175" xr:uid="{00000000-0005-0000-0000-0000AF000000}"/>
    <cellStyle name="Normal 2 2 3" xfId="176" xr:uid="{00000000-0005-0000-0000-0000B0000000}"/>
    <cellStyle name="Normal 2 2 4" xfId="177" xr:uid="{00000000-0005-0000-0000-0000B1000000}"/>
    <cellStyle name="Normal 2 2 5" xfId="178" xr:uid="{00000000-0005-0000-0000-0000B2000000}"/>
    <cellStyle name="Normal 2 3" xfId="179" xr:uid="{00000000-0005-0000-0000-0000B3000000}"/>
    <cellStyle name="Normal 2 3 2" xfId="180" xr:uid="{00000000-0005-0000-0000-0000B4000000}"/>
    <cellStyle name="Normal 2 3 3" xfId="181" xr:uid="{00000000-0005-0000-0000-0000B5000000}"/>
    <cellStyle name="Normal 2 4" xfId="182" xr:uid="{00000000-0005-0000-0000-0000B6000000}"/>
    <cellStyle name="Normal 2 5" xfId="183" xr:uid="{00000000-0005-0000-0000-0000B7000000}"/>
    <cellStyle name="Normal 2 6" xfId="1" xr:uid="{00000000-0005-0000-0000-0000B8000000}"/>
    <cellStyle name="Normal 2 6 2" xfId="184" xr:uid="{00000000-0005-0000-0000-0000B9000000}"/>
    <cellStyle name="Normal 2 7" xfId="185" xr:uid="{00000000-0005-0000-0000-0000BA000000}"/>
    <cellStyle name="Normal 2 8" xfId="186" xr:uid="{00000000-0005-0000-0000-0000BB000000}"/>
    <cellStyle name="Normal 2 8 2" xfId="187" xr:uid="{00000000-0005-0000-0000-0000BC000000}"/>
    <cellStyle name="Normal 2 9" xfId="188" xr:uid="{00000000-0005-0000-0000-0000BD000000}"/>
    <cellStyle name="Normal 20" xfId="189" xr:uid="{00000000-0005-0000-0000-0000BE000000}"/>
    <cellStyle name="Normal 200" xfId="190" xr:uid="{00000000-0005-0000-0000-0000BF000000}"/>
    <cellStyle name="Normal 201" xfId="191" xr:uid="{00000000-0005-0000-0000-0000C0000000}"/>
    <cellStyle name="Normal 202" xfId="192" xr:uid="{00000000-0005-0000-0000-0000C1000000}"/>
    <cellStyle name="Normal 203" xfId="193" xr:uid="{00000000-0005-0000-0000-0000C2000000}"/>
    <cellStyle name="Normal 204" xfId="194" xr:uid="{00000000-0005-0000-0000-0000C3000000}"/>
    <cellStyle name="Normal 205" xfId="195" xr:uid="{00000000-0005-0000-0000-0000C4000000}"/>
    <cellStyle name="Normal 206" xfId="196" xr:uid="{00000000-0005-0000-0000-0000C5000000}"/>
    <cellStyle name="Normal 207" xfId="197" xr:uid="{00000000-0005-0000-0000-0000C6000000}"/>
    <cellStyle name="Normal 208" xfId="198" xr:uid="{00000000-0005-0000-0000-0000C7000000}"/>
    <cellStyle name="Normal 209" xfId="199" xr:uid="{00000000-0005-0000-0000-0000C8000000}"/>
    <cellStyle name="Normal 21" xfId="200" xr:uid="{00000000-0005-0000-0000-0000C9000000}"/>
    <cellStyle name="Normal 210" xfId="201" xr:uid="{00000000-0005-0000-0000-0000CA000000}"/>
    <cellStyle name="Normal 211" xfId="202" xr:uid="{00000000-0005-0000-0000-0000CB000000}"/>
    <cellStyle name="Normal 212" xfId="203" xr:uid="{00000000-0005-0000-0000-0000CC000000}"/>
    <cellStyle name="Normal 213" xfId="204" xr:uid="{00000000-0005-0000-0000-0000CD000000}"/>
    <cellStyle name="Normal 214" xfId="205" xr:uid="{00000000-0005-0000-0000-0000CE000000}"/>
    <cellStyle name="Normal 215" xfId="206" xr:uid="{00000000-0005-0000-0000-0000CF000000}"/>
    <cellStyle name="Normal 216" xfId="207" xr:uid="{00000000-0005-0000-0000-0000D0000000}"/>
    <cellStyle name="Normal 217" xfId="208" xr:uid="{00000000-0005-0000-0000-0000D1000000}"/>
    <cellStyle name="Normal 218" xfId="209" xr:uid="{00000000-0005-0000-0000-0000D2000000}"/>
    <cellStyle name="Normal 219" xfId="210" xr:uid="{00000000-0005-0000-0000-0000D3000000}"/>
    <cellStyle name="Normal 22" xfId="211" xr:uid="{00000000-0005-0000-0000-0000D4000000}"/>
    <cellStyle name="Normal 220" xfId="212" xr:uid="{00000000-0005-0000-0000-0000D5000000}"/>
    <cellStyle name="Normal 221" xfId="213" xr:uid="{00000000-0005-0000-0000-0000D6000000}"/>
    <cellStyle name="Normal 222" xfId="214" xr:uid="{00000000-0005-0000-0000-0000D7000000}"/>
    <cellStyle name="Normal 223" xfId="215" xr:uid="{00000000-0005-0000-0000-0000D8000000}"/>
    <cellStyle name="Normal 224" xfId="216" xr:uid="{00000000-0005-0000-0000-0000D9000000}"/>
    <cellStyle name="Normal 225" xfId="217" xr:uid="{00000000-0005-0000-0000-0000DA000000}"/>
    <cellStyle name="Normal 226" xfId="218" xr:uid="{00000000-0005-0000-0000-0000DB000000}"/>
    <cellStyle name="Normal 227" xfId="219" xr:uid="{00000000-0005-0000-0000-0000DC000000}"/>
    <cellStyle name="Normal 228" xfId="220" xr:uid="{00000000-0005-0000-0000-0000DD000000}"/>
    <cellStyle name="Normal 229" xfId="221" xr:uid="{00000000-0005-0000-0000-0000DE000000}"/>
    <cellStyle name="Normal 23" xfId="222" xr:uid="{00000000-0005-0000-0000-0000DF000000}"/>
    <cellStyle name="Normal 230" xfId="223" xr:uid="{00000000-0005-0000-0000-0000E0000000}"/>
    <cellStyle name="Normal 231" xfId="224" xr:uid="{00000000-0005-0000-0000-0000E1000000}"/>
    <cellStyle name="Normal 232" xfId="225" xr:uid="{00000000-0005-0000-0000-0000E2000000}"/>
    <cellStyle name="Normal 233" xfId="226" xr:uid="{00000000-0005-0000-0000-0000E3000000}"/>
    <cellStyle name="Normal 234" xfId="227" xr:uid="{00000000-0005-0000-0000-0000E4000000}"/>
    <cellStyle name="Normal 235" xfId="228" xr:uid="{00000000-0005-0000-0000-0000E5000000}"/>
    <cellStyle name="Normal 236" xfId="229" xr:uid="{00000000-0005-0000-0000-0000E6000000}"/>
    <cellStyle name="Normal 237" xfId="230" xr:uid="{00000000-0005-0000-0000-0000E7000000}"/>
    <cellStyle name="Normal 238" xfId="231" xr:uid="{00000000-0005-0000-0000-0000E8000000}"/>
    <cellStyle name="Normal 239" xfId="232" xr:uid="{00000000-0005-0000-0000-0000E9000000}"/>
    <cellStyle name="Normal 24" xfId="233" xr:uid="{00000000-0005-0000-0000-0000EA000000}"/>
    <cellStyle name="Normal 240" xfId="234" xr:uid="{00000000-0005-0000-0000-0000EB000000}"/>
    <cellStyle name="Normal 241" xfId="235" xr:uid="{00000000-0005-0000-0000-0000EC000000}"/>
    <cellStyle name="Normal 242" xfId="236" xr:uid="{00000000-0005-0000-0000-0000ED000000}"/>
    <cellStyle name="Normal 243" xfId="237" xr:uid="{00000000-0005-0000-0000-0000EE000000}"/>
    <cellStyle name="Normal 244" xfId="238" xr:uid="{00000000-0005-0000-0000-0000EF000000}"/>
    <cellStyle name="Normal 245" xfId="239" xr:uid="{00000000-0005-0000-0000-0000F0000000}"/>
    <cellStyle name="Normal 246" xfId="240" xr:uid="{00000000-0005-0000-0000-0000F1000000}"/>
    <cellStyle name="Normal 247" xfId="241" xr:uid="{00000000-0005-0000-0000-0000F2000000}"/>
    <cellStyle name="Normal 248" xfId="242" xr:uid="{00000000-0005-0000-0000-0000F3000000}"/>
    <cellStyle name="Normal 249" xfId="243" xr:uid="{00000000-0005-0000-0000-0000F4000000}"/>
    <cellStyle name="Normal 25" xfId="244" xr:uid="{00000000-0005-0000-0000-0000F5000000}"/>
    <cellStyle name="Normal 250" xfId="245" xr:uid="{00000000-0005-0000-0000-0000F6000000}"/>
    <cellStyle name="Normal 251" xfId="246" xr:uid="{00000000-0005-0000-0000-0000F7000000}"/>
    <cellStyle name="Normal 252" xfId="247" xr:uid="{00000000-0005-0000-0000-0000F8000000}"/>
    <cellStyle name="Normal 253" xfId="248" xr:uid="{00000000-0005-0000-0000-0000F9000000}"/>
    <cellStyle name="Normal 254" xfId="249" xr:uid="{00000000-0005-0000-0000-0000FA000000}"/>
    <cellStyle name="Normal 255" xfId="250" xr:uid="{00000000-0005-0000-0000-0000FB000000}"/>
    <cellStyle name="Normal 256" xfId="251" xr:uid="{00000000-0005-0000-0000-0000FC000000}"/>
    <cellStyle name="Normal 257" xfId="252" xr:uid="{00000000-0005-0000-0000-0000FD000000}"/>
    <cellStyle name="Normal 258" xfId="253" xr:uid="{00000000-0005-0000-0000-0000FE000000}"/>
    <cellStyle name="Normal 259" xfId="254" xr:uid="{00000000-0005-0000-0000-0000FF000000}"/>
    <cellStyle name="Normal 26" xfId="255" xr:uid="{00000000-0005-0000-0000-000000010000}"/>
    <cellStyle name="Normal 260" xfId="256" xr:uid="{00000000-0005-0000-0000-000001010000}"/>
    <cellStyle name="Normal 261" xfId="257" xr:uid="{00000000-0005-0000-0000-000002010000}"/>
    <cellStyle name="Normal 262" xfId="258" xr:uid="{00000000-0005-0000-0000-000003010000}"/>
    <cellStyle name="Normal 263" xfId="259" xr:uid="{00000000-0005-0000-0000-000004010000}"/>
    <cellStyle name="Normal 264" xfId="260" xr:uid="{00000000-0005-0000-0000-000005010000}"/>
    <cellStyle name="Normal 265" xfId="261" xr:uid="{00000000-0005-0000-0000-000006010000}"/>
    <cellStyle name="Normal 266" xfId="262" xr:uid="{00000000-0005-0000-0000-000007010000}"/>
    <cellStyle name="Normal 267" xfId="263" xr:uid="{00000000-0005-0000-0000-000008010000}"/>
    <cellStyle name="Normal 268" xfId="264" xr:uid="{00000000-0005-0000-0000-000009010000}"/>
    <cellStyle name="Normal 269" xfId="265" xr:uid="{00000000-0005-0000-0000-00000A010000}"/>
    <cellStyle name="Normal 27" xfId="266" xr:uid="{00000000-0005-0000-0000-00000B010000}"/>
    <cellStyle name="Normal 270" xfId="267" xr:uid="{00000000-0005-0000-0000-00000C010000}"/>
    <cellStyle name="Normal 271" xfId="268" xr:uid="{00000000-0005-0000-0000-00000D010000}"/>
    <cellStyle name="Normal 272" xfId="269" xr:uid="{00000000-0005-0000-0000-00000E010000}"/>
    <cellStyle name="Normal 273" xfId="270" xr:uid="{00000000-0005-0000-0000-00000F010000}"/>
    <cellStyle name="Normal 274" xfId="271" xr:uid="{00000000-0005-0000-0000-000010010000}"/>
    <cellStyle name="Normal 275" xfId="272" xr:uid="{00000000-0005-0000-0000-000011010000}"/>
    <cellStyle name="Normal 276" xfId="273" xr:uid="{00000000-0005-0000-0000-000012010000}"/>
    <cellStyle name="Normal 277" xfId="274" xr:uid="{00000000-0005-0000-0000-000013010000}"/>
    <cellStyle name="Normal 278" xfId="275" xr:uid="{00000000-0005-0000-0000-000014010000}"/>
    <cellStyle name="Normal 279" xfId="276" xr:uid="{00000000-0005-0000-0000-000015010000}"/>
    <cellStyle name="Normal 28" xfId="277" xr:uid="{00000000-0005-0000-0000-000016010000}"/>
    <cellStyle name="Normal 280" xfId="278" xr:uid="{00000000-0005-0000-0000-000017010000}"/>
    <cellStyle name="Normal 281" xfId="279" xr:uid="{00000000-0005-0000-0000-000018010000}"/>
    <cellStyle name="Normal 282" xfId="280" xr:uid="{00000000-0005-0000-0000-000019010000}"/>
    <cellStyle name="Normal 283" xfId="281" xr:uid="{00000000-0005-0000-0000-00001A010000}"/>
    <cellStyle name="Normal 284" xfId="282" xr:uid="{00000000-0005-0000-0000-00001B010000}"/>
    <cellStyle name="Normal 285" xfId="283" xr:uid="{00000000-0005-0000-0000-00001C010000}"/>
    <cellStyle name="Normal 286" xfId="284" xr:uid="{00000000-0005-0000-0000-00001D010000}"/>
    <cellStyle name="Normal 287" xfId="285" xr:uid="{00000000-0005-0000-0000-00001E010000}"/>
    <cellStyle name="Normal 288" xfId="286" xr:uid="{00000000-0005-0000-0000-00001F010000}"/>
    <cellStyle name="Normal 289" xfId="287" xr:uid="{00000000-0005-0000-0000-000020010000}"/>
    <cellStyle name="Normal 29" xfId="288" xr:uid="{00000000-0005-0000-0000-000021010000}"/>
    <cellStyle name="Normal 290" xfId="289" xr:uid="{00000000-0005-0000-0000-000022010000}"/>
    <cellStyle name="Normal 291" xfId="290" xr:uid="{00000000-0005-0000-0000-000023010000}"/>
    <cellStyle name="Normal 292" xfId="291" xr:uid="{00000000-0005-0000-0000-000024010000}"/>
    <cellStyle name="Normal 293" xfId="292" xr:uid="{00000000-0005-0000-0000-000025010000}"/>
    <cellStyle name="Normal 294" xfId="293" xr:uid="{00000000-0005-0000-0000-000026010000}"/>
    <cellStyle name="Normal 295" xfId="294" xr:uid="{00000000-0005-0000-0000-000027010000}"/>
    <cellStyle name="Normal 296" xfId="295" xr:uid="{00000000-0005-0000-0000-000028010000}"/>
    <cellStyle name="Normal 297" xfId="296" xr:uid="{00000000-0005-0000-0000-000029010000}"/>
    <cellStyle name="Normal 298" xfId="297" xr:uid="{00000000-0005-0000-0000-00002A010000}"/>
    <cellStyle name="Normal 299" xfId="298" xr:uid="{00000000-0005-0000-0000-00002B010000}"/>
    <cellStyle name="Normal 3" xfId="299" xr:uid="{00000000-0005-0000-0000-00002C010000}"/>
    <cellStyle name="Normal 3 10" xfId="300" xr:uid="{00000000-0005-0000-0000-00002D010000}"/>
    <cellStyle name="Normal 3 100" xfId="301" xr:uid="{00000000-0005-0000-0000-00002E010000}"/>
    <cellStyle name="Normal 3 101" xfId="302" xr:uid="{00000000-0005-0000-0000-00002F010000}"/>
    <cellStyle name="Normal 3 102" xfId="303" xr:uid="{00000000-0005-0000-0000-000030010000}"/>
    <cellStyle name="Normal 3 103" xfId="304" xr:uid="{00000000-0005-0000-0000-000031010000}"/>
    <cellStyle name="Normal 3 104" xfId="305" xr:uid="{00000000-0005-0000-0000-000032010000}"/>
    <cellStyle name="Normal 3 105" xfId="306" xr:uid="{00000000-0005-0000-0000-000033010000}"/>
    <cellStyle name="Normal 3 106" xfId="307" xr:uid="{00000000-0005-0000-0000-000034010000}"/>
    <cellStyle name="Normal 3 107" xfId="308" xr:uid="{00000000-0005-0000-0000-000035010000}"/>
    <cellStyle name="Normal 3 108" xfId="309" xr:uid="{00000000-0005-0000-0000-000036010000}"/>
    <cellStyle name="Normal 3 109" xfId="310" xr:uid="{00000000-0005-0000-0000-000037010000}"/>
    <cellStyle name="Normal 3 11" xfId="311" xr:uid="{00000000-0005-0000-0000-000038010000}"/>
    <cellStyle name="Normal 3 110" xfId="312" xr:uid="{00000000-0005-0000-0000-000039010000}"/>
    <cellStyle name="Normal 3 111" xfId="313" xr:uid="{00000000-0005-0000-0000-00003A010000}"/>
    <cellStyle name="Normal 3 112" xfId="314" xr:uid="{00000000-0005-0000-0000-00003B010000}"/>
    <cellStyle name="Normal 3 113" xfId="315" xr:uid="{00000000-0005-0000-0000-00003C010000}"/>
    <cellStyle name="Normal 3 114" xfId="316" xr:uid="{00000000-0005-0000-0000-00003D010000}"/>
    <cellStyle name="Normal 3 115" xfId="317" xr:uid="{00000000-0005-0000-0000-00003E010000}"/>
    <cellStyle name="Normal 3 116" xfId="318" xr:uid="{00000000-0005-0000-0000-00003F010000}"/>
    <cellStyle name="Normal 3 117" xfId="319" xr:uid="{00000000-0005-0000-0000-000040010000}"/>
    <cellStyle name="Normal 3 118" xfId="320" xr:uid="{00000000-0005-0000-0000-000041010000}"/>
    <cellStyle name="Normal 3 119" xfId="321" xr:uid="{00000000-0005-0000-0000-000042010000}"/>
    <cellStyle name="Normal 3 12" xfId="322" xr:uid="{00000000-0005-0000-0000-000043010000}"/>
    <cellStyle name="Normal 3 120" xfId="323" xr:uid="{00000000-0005-0000-0000-000044010000}"/>
    <cellStyle name="Normal 3 121" xfId="324" xr:uid="{00000000-0005-0000-0000-000045010000}"/>
    <cellStyle name="Normal 3 122" xfId="325" xr:uid="{00000000-0005-0000-0000-000046010000}"/>
    <cellStyle name="Normal 3 123" xfId="326" xr:uid="{00000000-0005-0000-0000-000047010000}"/>
    <cellStyle name="Normal 3 124" xfId="327" xr:uid="{00000000-0005-0000-0000-000048010000}"/>
    <cellStyle name="Normal 3 125" xfId="328" xr:uid="{00000000-0005-0000-0000-000049010000}"/>
    <cellStyle name="Normal 3 126" xfId="329" xr:uid="{00000000-0005-0000-0000-00004A010000}"/>
    <cellStyle name="Normal 3 127" xfId="330" xr:uid="{00000000-0005-0000-0000-00004B010000}"/>
    <cellStyle name="Normal 3 128" xfId="331" xr:uid="{00000000-0005-0000-0000-00004C010000}"/>
    <cellStyle name="Normal 3 128 2" xfId="332" xr:uid="{00000000-0005-0000-0000-00004D010000}"/>
    <cellStyle name="Normal 3 129" xfId="333" xr:uid="{00000000-0005-0000-0000-00004E010000}"/>
    <cellStyle name="Normal 3 13" xfId="334" xr:uid="{00000000-0005-0000-0000-00004F010000}"/>
    <cellStyle name="Normal 3 14" xfId="335" xr:uid="{00000000-0005-0000-0000-000050010000}"/>
    <cellStyle name="Normal 3 15" xfId="336" xr:uid="{00000000-0005-0000-0000-000051010000}"/>
    <cellStyle name="Normal 3 16" xfId="337" xr:uid="{00000000-0005-0000-0000-000052010000}"/>
    <cellStyle name="Normal 3 17" xfId="338" xr:uid="{00000000-0005-0000-0000-000053010000}"/>
    <cellStyle name="Normal 3 18" xfId="339" xr:uid="{00000000-0005-0000-0000-000054010000}"/>
    <cellStyle name="Normal 3 19" xfId="340" xr:uid="{00000000-0005-0000-0000-000055010000}"/>
    <cellStyle name="Normal 3 2" xfId="341" xr:uid="{00000000-0005-0000-0000-000056010000}"/>
    <cellStyle name="Normal 3 20" xfId="342" xr:uid="{00000000-0005-0000-0000-000057010000}"/>
    <cellStyle name="Normal 3 21" xfId="343" xr:uid="{00000000-0005-0000-0000-000058010000}"/>
    <cellStyle name="Normal 3 22" xfId="344" xr:uid="{00000000-0005-0000-0000-000059010000}"/>
    <cellStyle name="Normal 3 23" xfId="345" xr:uid="{00000000-0005-0000-0000-00005A010000}"/>
    <cellStyle name="Normal 3 24" xfId="346" xr:uid="{00000000-0005-0000-0000-00005B010000}"/>
    <cellStyle name="Normal 3 25" xfId="347" xr:uid="{00000000-0005-0000-0000-00005C010000}"/>
    <cellStyle name="Normal 3 26" xfId="348" xr:uid="{00000000-0005-0000-0000-00005D010000}"/>
    <cellStyle name="Normal 3 27" xfId="349" xr:uid="{00000000-0005-0000-0000-00005E010000}"/>
    <cellStyle name="Normal 3 28" xfId="350" xr:uid="{00000000-0005-0000-0000-00005F010000}"/>
    <cellStyle name="Normal 3 29" xfId="351" xr:uid="{00000000-0005-0000-0000-000060010000}"/>
    <cellStyle name="Normal 3 3" xfId="352" xr:uid="{00000000-0005-0000-0000-000061010000}"/>
    <cellStyle name="Normal 3 30" xfId="353" xr:uid="{00000000-0005-0000-0000-000062010000}"/>
    <cellStyle name="Normal 3 31" xfId="354" xr:uid="{00000000-0005-0000-0000-000063010000}"/>
    <cellStyle name="Normal 3 32" xfId="355" xr:uid="{00000000-0005-0000-0000-000064010000}"/>
    <cellStyle name="Normal 3 33" xfId="356" xr:uid="{00000000-0005-0000-0000-000065010000}"/>
    <cellStyle name="Normal 3 34" xfId="357" xr:uid="{00000000-0005-0000-0000-000066010000}"/>
    <cellStyle name="Normal 3 35" xfId="358" xr:uid="{00000000-0005-0000-0000-000067010000}"/>
    <cellStyle name="Normal 3 36" xfId="359" xr:uid="{00000000-0005-0000-0000-000068010000}"/>
    <cellStyle name="Normal 3 37" xfId="360" xr:uid="{00000000-0005-0000-0000-000069010000}"/>
    <cellStyle name="Normal 3 38" xfId="361" xr:uid="{00000000-0005-0000-0000-00006A010000}"/>
    <cellStyle name="Normal 3 39" xfId="362" xr:uid="{00000000-0005-0000-0000-00006B010000}"/>
    <cellStyle name="Normal 3 4" xfId="363" xr:uid="{00000000-0005-0000-0000-00006C010000}"/>
    <cellStyle name="Normal 3 40" xfId="364" xr:uid="{00000000-0005-0000-0000-00006D010000}"/>
    <cellStyle name="Normal 3 41" xfId="365" xr:uid="{00000000-0005-0000-0000-00006E010000}"/>
    <cellStyle name="Normal 3 42" xfId="366" xr:uid="{00000000-0005-0000-0000-00006F010000}"/>
    <cellStyle name="Normal 3 43" xfId="367" xr:uid="{00000000-0005-0000-0000-000070010000}"/>
    <cellStyle name="Normal 3 44" xfId="368" xr:uid="{00000000-0005-0000-0000-000071010000}"/>
    <cellStyle name="Normal 3 45" xfId="369" xr:uid="{00000000-0005-0000-0000-000072010000}"/>
    <cellStyle name="Normal 3 46" xfId="370" xr:uid="{00000000-0005-0000-0000-000073010000}"/>
    <cellStyle name="Normal 3 47" xfId="371" xr:uid="{00000000-0005-0000-0000-000074010000}"/>
    <cellStyle name="Normal 3 48" xfId="372" xr:uid="{00000000-0005-0000-0000-000075010000}"/>
    <cellStyle name="Normal 3 49" xfId="373" xr:uid="{00000000-0005-0000-0000-000076010000}"/>
    <cellStyle name="Normal 3 5" xfId="374" xr:uid="{00000000-0005-0000-0000-000077010000}"/>
    <cellStyle name="Normal 3 50" xfId="375" xr:uid="{00000000-0005-0000-0000-000078010000}"/>
    <cellStyle name="Normal 3 51" xfId="376" xr:uid="{00000000-0005-0000-0000-000079010000}"/>
    <cellStyle name="Normal 3 52" xfId="377" xr:uid="{00000000-0005-0000-0000-00007A010000}"/>
    <cellStyle name="Normal 3 53" xfId="378" xr:uid="{00000000-0005-0000-0000-00007B010000}"/>
    <cellStyle name="Normal 3 54" xfId="379" xr:uid="{00000000-0005-0000-0000-00007C010000}"/>
    <cellStyle name="Normal 3 55" xfId="380" xr:uid="{00000000-0005-0000-0000-00007D010000}"/>
    <cellStyle name="Normal 3 56" xfId="381" xr:uid="{00000000-0005-0000-0000-00007E010000}"/>
    <cellStyle name="Normal 3 57" xfId="382" xr:uid="{00000000-0005-0000-0000-00007F010000}"/>
    <cellStyle name="Normal 3 58" xfId="383" xr:uid="{00000000-0005-0000-0000-000080010000}"/>
    <cellStyle name="Normal 3 59" xfId="384" xr:uid="{00000000-0005-0000-0000-000081010000}"/>
    <cellStyle name="Normal 3 6" xfId="385" xr:uid="{00000000-0005-0000-0000-000082010000}"/>
    <cellStyle name="Normal 3 60" xfId="386" xr:uid="{00000000-0005-0000-0000-000083010000}"/>
    <cellStyle name="Normal 3 61" xfId="387" xr:uid="{00000000-0005-0000-0000-000084010000}"/>
    <cellStyle name="Normal 3 62" xfId="388" xr:uid="{00000000-0005-0000-0000-000085010000}"/>
    <cellStyle name="Normal 3 63" xfId="389" xr:uid="{00000000-0005-0000-0000-000086010000}"/>
    <cellStyle name="Normal 3 64" xfId="390" xr:uid="{00000000-0005-0000-0000-000087010000}"/>
    <cellStyle name="Normal 3 65" xfId="391" xr:uid="{00000000-0005-0000-0000-000088010000}"/>
    <cellStyle name="Normal 3 66" xfId="392" xr:uid="{00000000-0005-0000-0000-000089010000}"/>
    <cellStyle name="Normal 3 67" xfId="393" xr:uid="{00000000-0005-0000-0000-00008A010000}"/>
    <cellStyle name="Normal 3 68" xfId="394" xr:uid="{00000000-0005-0000-0000-00008B010000}"/>
    <cellStyle name="Normal 3 69" xfId="395" xr:uid="{00000000-0005-0000-0000-00008C010000}"/>
    <cellStyle name="Normal 3 7" xfId="396" xr:uid="{00000000-0005-0000-0000-00008D010000}"/>
    <cellStyle name="Normal 3 70" xfId="397" xr:uid="{00000000-0005-0000-0000-00008E010000}"/>
    <cellStyle name="Normal 3 71" xfId="398" xr:uid="{00000000-0005-0000-0000-00008F010000}"/>
    <cellStyle name="Normal 3 72" xfId="399" xr:uid="{00000000-0005-0000-0000-000090010000}"/>
    <cellStyle name="Normal 3 73" xfId="400" xr:uid="{00000000-0005-0000-0000-000091010000}"/>
    <cellStyle name="Normal 3 74" xfId="401" xr:uid="{00000000-0005-0000-0000-000092010000}"/>
    <cellStyle name="Normal 3 75" xfId="402" xr:uid="{00000000-0005-0000-0000-000093010000}"/>
    <cellStyle name="Normal 3 76" xfId="403" xr:uid="{00000000-0005-0000-0000-000094010000}"/>
    <cellStyle name="Normal 3 77" xfId="404" xr:uid="{00000000-0005-0000-0000-000095010000}"/>
    <cellStyle name="Normal 3 78" xfId="405" xr:uid="{00000000-0005-0000-0000-000096010000}"/>
    <cellStyle name="Normal 3 79" xfId="406" xr:uid="{00000000-0005-0000-0000-000097010000}"/>
    <cellStyle name="Normal 3 8" xfId="407" xr:uid="{00000000-0005-0000-0000-000098010000}"/>
    <cellStyle name="Normal 3 80" xfId="408" xr:uid="{00000000-0005-0000-0000-000099010000}"/>
    <cellStyle name="Normal 3 81" xfId="409" xr:uid="{00000000-0005-0000-0000-00009A010000}"/>
    <cellStyle name="Normal 3 82" xfId="410" xr:uid="{00000000-0005-0000-0000-00009B010000}"/>
    <cellStyle name="Normal 3 83" xfId="411" xr:uid="{00000000-0005-0000-0000-00009C010000}"/>
    <cellStyle name="Normal 3 84" xfId="412" xr:uid="{00000000-0005-0000-0000-00009D010000}"/>
    <cellStyle name="Normal 3 85" xfId="413" xr:uid="{00000000-0005-0000-0000-00009E010000}"/>
    <cellStyle name="Normal 3 86" xfId="414" xr:uid="{00000000-0005-0000-0000-00009F010000}"/>
    <cellStyle name="Normal 3 87" xfId="415" xr:uid="{00000000-0005-0000-0000-0000A0010000}"/>
    <cellStyle name="Normal 3 88" xfId="416" xr:uid="{00000000-0005-0000-0000-0000A1010000}"/>
    <cellStyle name="Normal 3 89" xfId="417" xr:uid="{00000000-0005-0000-0000-0000A2010000}"/>
    <cellStyle name="Normal 3 9" xfId="418" xr:uid="{00000000-0005-0000-0000-0000A3010000}"/>
    <cellStyle name="Normal 3 90" xfId="419" xr:uid="{00000000-0005-0000-0000-0000A4010000}"/>
    <cellStyle name="Normal 3 91" xfId="420" xr:uid="{00000000-0005-0000-0000-0000A5010000}"/>
    <cellStyle name="Normal 3 92" xfId="421" xr:uid="{00000000-0005-0000-0000-0000A6010000}"/>
    <cellStyle name="Normal 3 93" xfId="422" xr:uid="{00000000-0005-0000-0000-0000A7010000}"/>
    <cellStyle name="Normal 3 94" xfId="423" xr:uid="{00000000-0005-0000-0000-0000A8010000}"/>
    <cellStyle name="Normal 3 95" xfId="424" xr:uid="{00000000-0005-0000-0000-0000A9010000}"/>
    <cellStyle name="Normal 3 96" xfId="425" xr:uid="{00000000-0005-0000-0000-0000AA010000}"/>
    <cellStyle name="Normal 3 97" xfId="426" xr:uid="{00000000-0005-0000-0000-0000AB010000}"/>
    <cellStyle name="Normal 3 98" xfId="427" xr:uid="{00000000-0005-0000-0000-0000AC010000}"/>
    <cellStyle name="Normal 3 99" xfId="428" xr:uid="{00000000-0005-0000-0000-0000AD010000}"/>
    <cellStyle name="Normal 30" xfId="429" xr:uid="{00000000-0005-0000-0000-0000AE010000}"/>
    <cellStyle name="Normal 300" xfId="430" xr:uid="{00000000-0005-0000-0000-0000AF010000}"/>
    <cellStyle name="Normal 301" xfId="431" xr:uid="{00000000-0005-0000-0000-0000B0010000}"/>
    <cellStyle name="Normal 302" xfId="432" xr:uid="{00000000-0005-0000-0000-0000B1010000}"/>
    <cellStyle name="Normal 303" xfId="433" xr:uid="{00000000-0005-0000-0000-0000B2010000}"/>
    <cellStyle name="Normal 304" xfId="434" xr:uid="{00000000-0005-0000-0000-0000B3010000}"/>
    <cellStyle name="Normal 305" xfId="435" xr:uid="{00000000-0005-0000-0000-0000B4010000}"/>
    <cellStyle name="Normal 306" xfId="436" xr:uid="{00000000-0005-0000-0000-0000B5010000}"/>
    <cellStyle name="Normal 307" xfId="437" xr:uid="{00000000-0005-0000-0000-0000B6010000}"/>
    <cellStyle name="Normal 308" xfId="438" xr:uid="{00000000-0005-0000-0000-0000B7010000}"/>
    <cellStyle name="Normal 309" xfId="439" xr:uid="{00000000-0005-0000-0000-0000B8010000}"/>
    <cellStyle name="Normal 31" xfId="440" xr:uid="{00000000-0005-0000-0000-0000B9010000}"/>
    <cellStyle name="Normal 310" xfId="441" xr:uid="{00000000-0005-0000-0000-0000BA010000}"/>
    <cellStyle name="Normal 311" xfId="442" xr:uid="{00000000-0005-0000-0000-0000BB010000}"/>
    <cellStyle name="Normal 312" xfId="443" xr:uid="{00000000-0005-0000-0000-0000BC010000}"/>
    <cellStyle name="Normal 313" xfId="444" xr:uid="{00000000-0005-0000-0000-0000BD010000}"/>
    <cellStyle name="Normal 314" xfId="445" xr:uid="{00000000-0005-0000-0000-0000BE010000}"/>
    <cellStyle name="Normal 315" xfId="446" xr:uid="{00000000-0005-0000-0000-0000BF010000}"/>
    <cellStyle name="Normal 316" xfId="447" xr:uid="{00000000-0005-0000-0000-0000C0010000}"/>
    <cellStyle name="Normal 317" xfId="448" xr:uid="{00000000-0005-0000-0000-0000C1010000}"/>
    <cellStyle name="Normal 318" xfId="449" xr:uid="{00000000-0005-0000-0000-0000C2010000}"/>
    <cellStyle name="Normal 319" xfId="450" xr:uid="{00000000-0005-0000-0000-0000C3010000}"/>
    <cellStyle name="Normal 319 2" xfId="451" xr:uid="{00000000-0005-0000-0000-0000C4010000}"/>
    <cellStyle name="Normal 32" xfId="452" xr:uid="{00000000-0005-0000-0000-0000C5010000}"/>
    <cellStyle name="Normal 320" xfId="453" xr:uid="{00000000-0005-0000-0000-0000C6010000}"/>
    <cellStyle name="Normal 321" xfId="454" xr:uid="{00000000-0005-0000-0000-0000C7010000}"/>
    <cellStyle name="Normal 322" xfId="455" xr:uid="{00000000-0005-0000-0000-0000C8010000}"/>
    <cellStyle name="Normal 323" xfId="456" xr:uid="{00000000-0005-0000-0000-0000C9010000}"/>
    <cellStyle name="Normal 324" xfId="457" xr:uid="{00000000-0005-0000-0000-0000CA010000}"/>
    <cellStyle name="Normal 33" xfId="458" xr:uid="{00000000-0005-0000-0000-0000CB010000}"/>
    <cellStyle name="Normal 34" xfId="459" xr:uid="{00000000-0005-0000-0000-0000CC010000}"/>
    <cellStyle name="Normal 35" xfId="460" xr:uid="{00000000-0005-0000-0000-0000CD010000}"/>
    <cellStyle name="Normal 36" xfId="461" xr:uid="{00000000-0005-0000-0000-0000CE010000}"/>
    <cellStyle name="Normal 37" xfId="462" xr:uid="{00000000-0005-0000-0000-0000CF010000}"/>
    <cellStyle name="Normal 38" xfId="463" xr:uid="{00000000-0005-0000-0000-0000D0010000}"/>
    <cellStyle name="Normal 39" xfId="464" xr:uid="{00000000-0005-0000-0000-0000D1010000}"/>
    <cellStyle name="Normal 4" xfId="465" xr:uid="{00000000-0005-0000-0000-0000D2010000}"/>
    <cellStyle name="Normal 4 2" xfId="466" xr:uid="{00000000-0005-0000-0000-0000D3010000}"/>
    <cellStyle name="Normal 4 3" xfId="467" xr:uid="{00000000-0005-0000-0000-0000D4010000}"/>
    <cellStyle name="Normal 40" xfId="468" xr:uid="{00000000-0005-0000-0000-0000D5010000}"/>
    <cellStyle name="Normal 41" xfId="469" xr:uid="{00000000-0005-0000-0000-0000D6010000}"/>
    <cellStyle name="Normal 42" xfId="470" xr:uid="{00000000-0005-0000-0000-0000D7010000}"/>
    <cellStyle name="Normal 43" xfId="471" xr:uid="{00000000-0005-0000-0000-0000D8010000}"/>
    <cellStyle name="Normal 44" xfId="472" xr:uid="{00000000-0005-0000-0000-0000D9010000}"/>
    <cellStyle name="Normal 45" xfId="473" xr:uid="{00000000-0005-0000-0000-0000DA010000}"/>
    <cellStyle name="Normal 46" xfId="474" xr:uid="{00000000-0005-0000-0000-0000DB010000}"/>
    <cellStyle name="Normal 47" xfId="475" xr:uid="{00000000-0005-0000-0000-0000DC010000}"/>
    <cellStyle name="Normal 48" xfId="476" xr:uid="{00000000-0005-0000-0000-0000DD010000}"/>
    <cellStyle name="Normal 49" xfId="477" xr:uid="{00000000-0005-0000-0000-0000DE010000}"/>
    <cellStyle name="Normal 5" xfId="478" xr:uid="{00000000-0005-0000-0000-0000DF010000}"/>
    <cellStyle name="Normal 5 2" xfId="479" xr:uid="{00000000-0005-0000-0000-0000E0010000}"/>
    <cellStyle name="Normal 50" xfId="480" xr:uid="{00000000-0005-0000-0000-0000E1010000}"/>
    <cellStyle name="Normal 51" xfId="481" xr:uid="{00000000-0005-0000-0000-0000E2010000}"/>
    <cellStyle name="Normal 52" xfId="482" xr:uid="{00000000-0005-0000-0000-0000E3010000}"/>
    <cellStyle name="Normal 53" xfId="483" xr:uid="{00000000-0005-0000-0000-0000E4010000}"/>
    <cellStyle name="Normal 54" xfId="484" xr:uid="{00000000-0005-0000-0000-0000E5010000}"/>
    <cellStyle name="Normal 55" xfId="485" xr:uid="{00000000-0005-0000-0000-0000E6010000}"/>
    <cellStyle name="Normal 56" xfId="486" xr:uid="{00000000-0005-0000-0000-0000E7010000}"/>
    <cellStyle name="Normal 57" xfId="487" xr:uid="{00000000-0005-0000-0000-0000E8010000}"/>
    <cellStyle name="Normal 58" xfId="488" xr:uid="{00000000-0005-0000-0000-0000E9010000}"/>
    <cellStyle name="Normal 59" xfId="489" xr:uid="{00000000-0005-0000-0000-0000EA010000}"/>
    <cellStyle name="Normal 6" xfId="490" xr:uid="{00000000-0005-0000-0000-0000EB010000}"/>
    <cellStyle name="Normal 6 2" xfId="491" xr:uid="{00000000-0005-0000-0000-0000EC010000}"/>
    <cellStyle name="Normal 6 3" xfId="492" xr:uid="{00000000-0005-0000-0000-0000ED010000}"/>
    <cellStyle name="Normal 6 4" xfId="493" xr:uid="{00000000-0005-0000-0000-0000EE010000}"/>
    <cellStyle name="Normal 6 4 2" xfId="494" xr:uid="{00000000-0005-0000-0000-0000EF010000}"/>
    <cellStyle name="Normal 6 5" xfId="495" xr:uid="{00000000-0005-0000-0000-0000F0010000}"/>
    <cellStyle name="Normal 60" xfId="496" xr:uid="{00000000-0005-0000-0000-0000F1010000}"/>
    <cellStyle name="Normal 61" xfId="497" xr:uid="{00000000-0005-0000-0000-0000F2010000}"/>
    <cellStyle name="Normal 62" xfId="498" xr:uid="{00000000-0005-0000-0000-0000F3010000}"/>
    <cellStyle name="Normal 63" xfId="499" xr:uid="{00000000-0005-0000-0000-0000F4010000}"/>
    <cellStyle name="Normal 64" xfId="500" xr:uid="{00000000-0005-0000-0000-0000F5010000}"/>
    <cellStyle name="Normal 65" xfId="501" xr:uid="{00000000-0005-0000-0000-0000F6010000}"/>
    <cellStyle name="Normal 66" xfId="502" xr:uid="{00000000-0005-0000-0000-0000F7010000}"/>
    <cellStyle name="Normal 67" xfId="503" xr:uid="{00000000-0005-0000-0000-0000F8010000}"/>
    <cellStyle name="Normal 68" xfId="504" xr:uid="{00000000-0005-0000-0000-0000F9010000}"/>
    <cellStyle name="Normal 69" xfId="505" xr:uid="{00000000-0005-0000-0000-0000FA010000}"/>
    <cellStyle name="Normal 7" xfId="506" xr:uid="{00000000-0005-0000-0000-0000FB010000}"/>
    <cellStyle name="Normal 7 2" xfId="507" xr:uid="{00000000-0005-0000-0000-0000FC010000}"/>
    <cellStyle name="Normal 70" xfId="508" xr:uid="{00000000-0005-0000-0000-0000FD010000}"/>
    <cellStyle name="Normal 71" xfId="509" xr:uid="{00000000-0005-0000-0000-0000FE010000}"/>
    <cellStyle name="Normal 72" xfId="510" xr:uid="{00000000-0005-0000-0000-0000FF010000}"/>
    <cellStyle name="Normal 73" xfId="511" xr:uid="{00000000-0005-0000-0000-000000020000}"/>
    <cellStyle name="Normal 74" xfId="512" xr:uid="{00000000-0005-0000-0000-000001020000}"/>
    <cellStyle name="Normal 75" xfId="513" xr:uid="{00000000-0005-0000-0000-000002020000}"/>
    <cellStyle name="Normal 76" xfId="514" xr:uid="{00000000-0005-0000-0000-000003020000}"/>
    <cellStyle name="Normal 77" xfId="515" xr:uid="{00000000-0005-0000-0000-000004020000}"/>
    <cellStyle name="Normal 78" xfId="516" xr:uid="{00000000-0005-0000-0000-000005020000}"/>
    <cellStyle name="Normal 79" xfId="517" xr:uid="{00000000-0005-0000-0000-000006020000}"/>
    <cellStyle name="Normal 8" xfId="518" xr:uid="{00000000-0005-0000-0000-000007020000}"/>
    <cellStyle name="Normal 8 2" xfId="519" xr:uid="{00000000-0005-0000-0000-000008020000}"/>
    <cellStyle name="Normal 80" xfId="520" xr:uid="{00000000-0005-0000-0000-000009020000}"/>
    <cellStyle name="Normal 81" xfId="521" xr:uid="{00000000-0005-0000-0000-00000A020000}"/>
    <cellStyle name="Normal 82" xfId="522" xr:uid="{00000000-0005-0000-0000-00000B020000}"/>
    <cellStyle name="Normal 83" xfId="523" xr:uid="{00000000-0005-0000-0000-00000C020000}"/>
    <cellStyle name="Normal 84" xfId="524" xr:uid="{00000000-0005-0000-0000-00000D020000}"/>
    <cellStyle name="Normal 85" xfId="525" xr:uid="{00000000-0005-0000-0000-00000E020000}"/>
    <cellStyle name="Normal 86" xfId="526" xr:uid="{00000000-0005-0000-0000-00000F020000}"/>
    <cellStyle name="Normal 87" xfId="527" xr:uid="{00000000-0005-0000-0000-000010020000}"/>
    <cellStyle name="Normal 88" xfId="528" xr:uid="{00000000-0005-0000-0000-000011020000}"/>
    <cellStyle name="Normal 89" xfId="529" xr:uid="{00000000-0005-0000-0000-000012020000}"/>
    <cellStyle name="Normal 9" xfId="530" xr:uid="{00000000-0005-0000-0000-000013020000}"/>
    <cellStyle name="Normal 9 2" xfId="531" xr:uid="{00000000-0005-0000-0000-000014020000}"/>
    <cellStyle name="Normal 9 3" xfId="532" xr:uid="{00000000-0005-0000-0000-000015020000}"/>
    <cellStyle name="Normal 90" xfId="533" xr:uid="{00000000-0005-0000-0000-000016020000}"/>
    <cellStyle name="Normal 91" xfId="534" xr:uid="{00000000-0005-0000-0000-000017020000}"/>
    <cellStyle name="Normal 92" xfId="535" xr:uid="{00000000-0005-0000-0000-000018020000}"/>
    <cellStyle name="Normal 93" xfId="536" xr:uid="{00000000-0005-0000-0000-000019020000}"/>
    <cellStyle name="Normal 94" xfId="537" xr:uid="{00000000-0005-0000-0000-00001A020000}"/>
    <cellStyle name="Normal 95" xfId="538" xr:uid="{00000000-0005-0000-0000-00001B020000}"/>
    <cellStyle name="Normal 96" xfId="539" xr:uid="{00000000-0005-0000-0000-00001C020000}"/>
    <cellStyle name="Normal 97" xfId="540" xr:uid="{00000000-0005-0000-0000-00001D020000}"/>
    <cellStyle name="Normal 98" xfId="541" xr:uid="{00000000-0005-0000-0000-00001E020000}"/>
    <cellStyle name="Normal 99" xfId="542" xr:uid="{00000000-0005-0000-0000-00001F020000}"/>
    <cellStyle name="Note 2" xfId="543" xr:uid="{00000000-0005-0000-0000-000020020000}"/>
    <cellStyle name="Note 3" xfId="544" xr:uid="{00000000-0005-0000-0000-000021020000}"/>
    <cellStyle name="Percent" xfId="558" builtinId="5"/>
    <cellStyle name="Percent 2" xfId="545" xr:uid="{00000000-0005-0000-0000-000023020000}"/>
    <cellStyle name="Percent 2 2" xfId="546" xr:uid="{00000000-0005-0000-0000-000024020000}"/>
    <cellStyle name="Percent 2 3" xfId="547" xr:uid="{00000000-0005-0000-0000-000025020000}"/>
    <cellStyle name="Percent 2 4" xfId="548" xr:uid="{00000000-0005-0000-0000-000026020000}"/>
    <cellStyle name="Percent 2 5" xfId="549" xr:uid="{00000000-0005-0000-0000-000027020000}"/>
    <cellStyle name="Percent 2 5 2" xfId="550" xr:uid="{00000000-0005-0000-0000-000028020000}"/>
    <cellStyle name="Percent 3" xfId="551" xr:uid="{00000000-0005-0000-0000-000029020000}"/>
    <cellStyle name="Percent 3 2" xfId="552" xr:uid="{00000000-0005-0000-0000-00002A020000}"/>
    <cellStyle name="Percent 3 2 2" xfId="553" xr:uid="{00000000-0005-0000-0000-00002B020000}"/>
    <cellStyle name="Percent 4" xfId="554" xr:uid="{00000000-0005-0000-0000-00002C020000}"/>
    <cellStyle name="Percent 4 2" xfId="555" xr:uid="{00000000-0005-0000-0000-00002D020000}"/>
    <cellStyle name="Title 2" xfId="556" xr:uid="{00000000-0005-0000-0000-00002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F36"/>
  <sheetViews>
    <sheetView showGridLines="0" tabSelected="1" zoomScale="80" zoomScaleNormal="80" workbookViewId="0">
      <pane xSplit="3" ySplit="5" topLeftCell="AR6" activePane="bottomRight" state="frozen"/>
      <selection pane="topRight" activeCell="D1" sqref="D1"/>
      <selection pane="bottomLeft" activeCell="A6" sqref="A6"/>
      <selection pane="bottomRight" activeCell="BH11" sqref="BH11"/>
    </sheetView>
  </sheetViews>
  <sheetFormatPr defaultRowHeight="14.25"/>
  <cols>
    <col min="1" max="1" width="2.140625" style="28" customWidth="1"/>
    <col min="2" max="2" width="21" style="28" customWidth="1"/>
    <col min="3" max="3" width="15.140625" style="28" customWidth="1"/>
    <col min="4" max="4" width="14.140625" style="28" hidden="1" customWidth="1"/>
    <col min="5" max="7" width="13.140625" style="28" hidden="1" customWidth="1"/>
    <col min="8" max="8" width="16.42578125" style="39" hidden="1" customWidth="1"/>
    <col min="9" max="9" width="14.140625" style="28" hidden="1" customWidth="1"/>
    <col min="10" max="12" width="13.140625" style="28" hidden="1" customWidth="1"/>
    <col min="13" max="13" width="14.42578125" style="39" hidden="1" customWidth="1"/>
    <col min="14" max="14" width="14.140625" style="28" hidden="1" customWidth="1"/>
    <col min="15" max="17" width="13.140625" style="28" hidden="1" customWidth="1"/>
    <col min="18" max="18" width="14.42578125" style="39" hidden="1" customWidth="1"/>
    <col min="19" max="19" width="14.28515625" style="28" hidden="1" customWidth="1"/>
    <col min="20" max="22" width="13.140625" style="28" hidden="1" customWidth="1"/>
    <col min="23" max="23" width="14.42578125" style="39" hidden="1" customWidth="1"/>
    <col min="24" max="24" width="14.140625" style="28" hidden="1" customWidth="1"/>
    <col min="25" max="26" width="13.140625" style="28" hidden="1" customWidth="1"/>
    <col min="27" max="27" width="11" style="28" hidden="1" customWidth="1"/>
    <col min="28" max="28" width="14.42578125" style="39" hidden="1" customWidth="1"/>
    <col min="29" max="29" width="14.140625" style="28" hidden="1" customWidth="1"/>
    <col min="30" max="31" width="13.140625" style="28" hidden="1" customWidth="1"/>
    <col min="32" max="32" width="11" style="28" hidden="1" customWidth="1"/>
    <col min="33" max="33" width="14.42578125" style="39" hidden="1" customWidth="1"/>
    <col min="34" max="34" width="14.140625" style="28" hidden="1" customWidth="1"/>
    <col min="35" max="36" width="13.140625" style="28" hidden="1" customWidth="1"/>
    <col min="37" max="37" width="11" style="28" hidden="1" customWidth="1"/>
    <col min="38" max="38" width="14.42578125" style="39" hidden="1" customWidth="1"/>
    <col min="39" max="39" width="14.140625" style="28" hidden="1" customWidth="1"/>
    <col min="40" max="42" width="13.140625" style="28" hidden="1" customWidth="1"/>
    <col min="43" max="43" width="14.42578125" style="39" hidden="1" customWidth="1"/>
    <col min="44" max="44" width="14.140625" style="28" customWidth="1"/>
    <col min="45" max="47" width="13.140625" style="28" customWidth="1"/>
    <col min="48" max="48" width="14.42578125" style="39" customWidth="1"/>
    <col min="49" max="49" width="14.140625" style="28" customWidth="1"/>
    <col min="50" max="52" width="13.140625" style="28" customWidth="1"/>
    <col min="53" max="53" width="14.42578125" style="39" customWidth="1"/>
    <col min="54" max="54" width="14.140625" style="28" customWidth="1"/>
    <col min="55" max="57" width="13.140625" style="28" customWidth="1"/>
    <col min="58" max="58" width="14.42578125" style="39" customWidth="1"/>
    <col min="59" max="701" width="9.140625" style="28"/>
    <col min="702" max="702" width="0" style="28" hidden="1" customWidth="1"/>
    <col min="703" max="16384" width="9.140625" style="28"/>
  </cols>
  <sheetData>
    <row r="1" spans="2:58" s="172" customFormat="1" ht="15.75" thickBot="1">
      <c r="H1" s="173"/>
      <c r="M1" s="173"/>
      <c r="R1" s="173"/>
      <c r="W1" s="173"/>
      <c r="AB1" s="173"/>
      <c r="AG1" s="173"/>
      <c r="AL1" s="173"/>
      <c r="AQ1" s="173"/>
      <c r="AV1" s="173"/>
      <c r="BA1" s="173"/>
      <c r="BF1" s="173"/>
    </row>
    <row r="2" spans="2:58" s="172" customFormat="1" ht="23.25" customHeight="1">
      <c r="B2" s="174"/>
      <c r="C2" s="175"/>
      <c r="D2" s="400" t="s">
        <v>28</v>
      </c>
      <c r="E2" s="401"/>
      <c r="F2" s="401"/>
      <c r="G2" s="401"/>
      <c r="H2" s="402"/>
      <c r="I2" s="397" t="s">
        <v>31</v>
      </c>
      <c r="J2" s="398"/>
      <c r="K2" s="398"/>
      <c r="L2" s="398"/>
      <c r="M2" s="399"/>
      <c r="N2" s="394" t="s">
        <v>32</v>
      </c>
      <c r="O2" s="395"/>
      <c r="P2" s="395"/>
      <c r="Q2" s="395"/>
      <c r="R2" s="396"/>
      <c r="S2" s="391" t="s">
        <v>33</v>
      </c>
      <c r="T2" s="392"/>
      <c r="U2" s="392"/>
      <c r="V2" s="392"/>
      <c r="W2" s="393"/>
      <c r="X2" s="373" t="s">
        <v>30</v>
      </c>
      <c r="Y2" s="374"/>
      <c r="Z2" s="374"/>
      <c r="AA2" s="374"/>
      <c r="AB2" s="375"/>
      <c r="AC2" s="409" t="s">
        <v>29</v>
      </c>
      <c r="AD2" s="410"/>
      <c r="AE2" s="410"/>
      <c r="AF2" s="410"/>
      <c r="AG2" s="411"/>
      <c r="AH2" s="400" t="s">
        <v>34</v>
      </c>
      <c r="AI2" s="401"/>
      <c r="AJ2" s="401"/>
      <c r="AK2" s="401"/>
      <c r="AL2" s="402"/>
      <c r="AM2" s="397" t="s">
        <v>35</v>
      </c>
      <c r="AN2" s="398"/>
      <c r="AO2" s="398"/>
      <c r="AP2" s="398"/>
      <c r="AQ2" s="399"/>
      <c r="AR2" s="394" t="s">
        <v>37</v>
      </c>
      <c r="AS2" s="395"/>
      <c r="AT2" s="395"/>
      <c r="AU2" s="395"/>
      <c r="AV2" s="396"/>
      <c r="AW2" s="391" t="s">
        <v>38</v>
      </c>
      <c r="AX2" s="392"/>
      <c r="AY2" s="392"/>
      <c r="AZ2" s="392"/>
      <c r="BA2" s="393"/>
      <c r="BB2" s="373" t="s">
        <v>39</v>
      </c>
      <c r="BC2" s="374"/>
      <c r="BD2" s="374"/>
      <c r="BE2" s="374"/>
      <c r="BF2" s="375"/>
    </row>
    <row r="3" spans="2:58" ht="24" customHeight="1" thickBot="1">
      <c r="B3" s="54" t="s">
        <v>24</v>
      </c>
      <c r="D3" s="376" t="s">
        <v>1</v>
      </c>
      <c r="E3" s="379" t="s">
        <v>2</v>
      </c>
      <c r="F3" s="379" t="s">
        <v>12</v>
      </c>
      <c r="G3" s="382" t="s">
        <v>3</v>
      </c>
      <c r="H3" s="385" t="s">
        <v>9</v>
      </c>
      <c r="I3" s="376" t="s">
        <v>1</v>
      </c>
      <c r="J3" s="379" t="s">
        <v>2</v>
      </c>
      <c r="K3" s="379" t="s">
        <v>12</v>
      </c>
      <c r="L3" s="382" t="s">
        <v>3</v>
      </c>
      <c r="M3" s="385" t="s">
        <v>9</v>
      </c>
      <c r="N3" s="376" t="s">
        <v>1</v>
      </c>
      <c r="O3" s="379" t="s">
        <v>2</v>
      </c>
      <c r="P3" s="379" t="s">
        <v>12</v>
      </c>
      <c r="Q3" s="382" t="s">
        <v>3</v>
      </c>
      <c r="R3" s="385" t="s">
        <v>9</v>
      </c>
      <c r="S3" s="376" t="s">
        <v>1</v>
      </c>
      <c r="T3" s="379" t="s">
        <v>2</v>
      </c>
      <c r="U3" s="379" t="s">
        <v>12</v>
      </c>
      <c r="V3" s="382" t="s">
        <v>3</v>
      </c>
      <c r="W3" s="385" t="s">
        <v>9</v>
      </c>
      <c r="X3" s="376" t="s">
        <v>1</v>
      </c>
      <c r="Y3" s="379" t="s">
        <v>2</v>
      </c>
      <c r="Z3" s="379" t="s">
        <v>12</v>
      </c>
      <c r="AA3" s="382" t="s">
        <v>3</v>
      </c>
      <c r="AB3" s="385" t="s">
        <v>9</v>
      </c>
      <c r="AC3" s="376" t="s">
        <v>1</v>
      </c>
      <c r="AD3" s="379" t="s">
        <v>2</v>
      </c>
      <c r="AE3" s="379" t="s">
        <v>12</v>
      </c>
      <c r="AF3" s="382" t="s">
        <v>3</v>
      </c>
      <c r="AG3" s="385" t="s">
        <v>9</v>
      </c>
      <c r="AH3" s="376" t="s">
        <v>1</v>
      </c>
      <c r="AI3" s="379" t="s">
        <v>2</v>
      </c>
      <c r="AJ3" s="379" t="s">
        <v>12</v>
      </c>
      <c r="AK3" s="382" t="s">
        <v>3</v>
      </c>
      <c r="AL3" s="385" t="s">
        <v>9</v>
      </c>
      <c r="AM3" s="376" t="s">
        <v>1</v>
      </c>
      <c r="AN3" s="379" t="s">
        <v>2</v>
      </c>
      <c r="AO3" s="379" t="s">
        <v>12</v>
      </c>
      <c r="AP3" s="382" t="s">
        <v>3</v>
      </c>
      <c r="AQ3" s="385" t="s">
        <v>9</v>
      </c>
      <c r="AR3" s="376" t="s">
        <v>1</v>
      </c>
      <c r="AS3" s="379" t="s">
        <v>2</v>
      </c>
      <c r="AT3" s="379" t="s">
        <v>12</v>
      </c>
      <c r="AU3" s="382" t="s">
        <v>3</v>
      </c>
      <c r="AV3" s="385" t="s">
        <v>9</v>
      </c>
      <c r="AW3" s="376" t="s">
        <v>1</v>
      </c>
      <c r="AX3" s="379" t="s">
        <v>2</v>
      </c>
      <c r="AY3" s="379" t="s">
        <v>12</v>
      </c>
      <c r="AZ3" s="382" t="s">
        <v>3</v>
      </c>
      <c r="BA3" s="385" t="s">
        <v>9</v>
      </c>
      <c r="BB3" s="376" t="s">
        <v>1</v>
      </c>
      <c r="BC3" s="379" t="s">
        <v>2</v>
      </c>
      <c r="BD3" s="379" t="s">
        <v>12</v>
      </c>
      <c r="BE3" s="382" t="s">
        <v>3</v>
      </c>
      <c r="BF3" s="385" t="s">
        <v>9</v>
      </c>
    </row>
    <row r="4" spans="2:58" ht="24.75" customHeight="1" thickBot="1">
      <c r="B4" s="190" t="s">
        <v>115</v>
      </c>
      <c r="C4" s="7"/>
      <c r="D4" s="377"/>
      <c r="E4" s="380"/>
      <c r="F4" s="380"/>
      <c r="G4" s="383"/>
      <c r="H4" s="386"/>
      <c r="I4" s="377"/>
      <c r="J4" s="380"/>
      <c r="K4" s="380"/>
      <c r="L4" s="383"/>
      <c r="M4" s="386"/>
      <c r="N4" s="377"/>
      <c r="O4" s="380"/>
      <c r="P4" s="380"/>
      <c r="Q4" s="383"/>
      <c r="R4" s="386"/>
      <c r="S4" s="377"/>
      <c r="T4" s="380"/>
      <c r="U4" s="380"/>
      <c r="V4" s="383"/>
      <c r="W4" s="386"/>
      <c r="X4" s="377"/>
      <c r="Y4" s="380"/>
      <c r="Z4" s="380"/>
      <c r="AA4" s="383"/>
      <c r="AB4" s="386"/>
      <c r="AC4" s="377"/>
      <c r="AD4" s="380"/>
      <c r="AE4" s="380"/>
      <c r="AF4" s="383"/>
      <c r="AG4" s="386"/>
      <c r="AH4" s="377"/>
      <c r="AI4" s="380"/>
      <c r="AJ4" s="380"/>
      <c r="AK4" s="383"/>
      <c r="AL4" s="386"/>
      <c r="AM4" s="377"/>
      <c r="AN4" s="380"/>
      <c r="AO4" s="380"/>
      <c r="AP4" s="383"/>
      <c r="AQ4" s="386"/>
      <c r="AR4" s="377"/>
      <c r="AS4" s="380"/>
      <c r="AT4" s="380"/>
      <c r="AU4" s="383"/>
      <c r="AV4" s="386"/>
      <c r="AW4" s="377"/>
      <c r="AX4" s="380"/>
      <c r="AY4" s="380"/>
      <c r="AZ4" s="383"/>
      <c r="BA4" s="386"/>
      <c r="BB4" s="377"/>
      <c r="BC4" s="380"/>
      <c r="BD4" s="380"/>
      <c r="BE4" s="383"/>
      <c r="BF4" s="386"/>
    </row>
    <row r="5" spans="2:58" ht="18" customHeight="1">
      <c r="B5" s="8"/>
      <c r="C5" s="9"/>
      <c r="D5" s="378"/>
      <c r="E5" s="381"/>
      <c r="F5" s="381"/>
      <c r="G5" s="384"/>
      <c r="H5" s="387"/>
      <c r="I5" s="378"/>
      <c r="J5" s="381"/>
      <c r="K5" s="381"/>
      <c r="L5" s="384"/>
      <c r="M5" s="387"/>
      <c r="N5" s="378"/>
      <c r="O5" s="381"/>
      <c r="P5" s="381"/>
      <c r="Q5" s="384"/>
      <c r="R5" s="387"/>
      <c r="S5" s="378"/>
      <c r="T5" s="381"/>
      <c r="U5" s="381"/>
      <c r="V5" s="384"/>
      <c r="W5" s="387"/>
      <c r="X5" s="378"/>
      <c r="Y5" s="381"/>
      <c r="Z5" s="381"/>
      <c r="AA5" s="384"/>
      <c r="AB5" s="387"/>
      <c r="AC5" s="378"/>
      <c r="AD5" s="381"/>
      <c r="AE5" s="381"/>
      <c r="AF5" s="384"/>
      <c r="AG5" s="387"/>
      <c r="AH5" s="378"/>
      <c r="AI5" s="381"/>
      <c r="AJ5" s="381"/>
      <c r="AK5" s="384"/>
      <c r="AL5" s="387"/>
      <c r="AM5" s="378"/>
      <c r="AN5" s="381"/>
      <c r="AO5" s="381"/>
      <c r="AP5" s="384"/>
      <c r="AQ5" s="387"/>
      <c r="AR5" s="378"/>
      <c r="AS5" s="381"/>
      <c r="AT5" s="381"/>
      <c r="AU5" s="384"/>
      <c r="AV5" s="387"/>
      <c r="AW5" s="378"/>
      <c r="AX5" s="381"/>
      <c r="AY5" s="381"/>
      <c r="AZ5" s="384"/>
      <c r="BA5" s="387"/>
      <c r="BB5" s="378"/>
      <c r="BC5" s="381"/>
      <c r="BD5" s="381"/>
      <c r="BE5" s="384"/>
      <c r="BF5" s="387"/>
    </row>
    <row r="6" spans="2:58" ht="36.75" customHeight="1">
      <c r="B6" s="61" t="s">
        <v>25</v>
      </c>
      <c r="C6" s="10"/>
      <c r="D6" s="30"/>
      <c r="E6" s="5"/>
      <c r="F6" s="5"/>
      <c r="G6" s="5"/>
      <c r="H6" s="34"/>
      <c r="I6" s="30"/>
      <c r="J6" s="5"/>
      <c r="K6" s="5"/>
      <c r="L6" s="5"/>
      <c r="M6" s="34"/>
      <c r="N6" s="30"/>
      <c r="O6" s="5"/>
      <c r="P6" s="5"/>
      <c r="Q6" s="5"/>
      <c r="R6" s="34"/>
      <c r="S6" s="30"/>
      <c r="T6" s="5"/>
      <c r="U6" s="5"/>
      <c r="V6" s="5"/>
      <c r="W6" s="34"/>
      <c r="X6" s="30"/>
      <c r="Y6" s="5"/>
      <c r="Z6" s="5"/>
      <c r="AA6" s="5"/>
      <c r="AB6" s="34"/>
      <c r="AC6" s="30"/>
      <c r="AD6" s="5"/>
      <c r="AE6" s="5"/>
      <c r="AF6" s="5"/>
      <c r="AG6" s="34"/>
      <c r="AH6" s="30"/>
      <c r="AI6" s="5"/>
      <c r="AJ6" s="5"/>
      <c r="AK6" s="5"/>
      <c r="AL6" s="34"/>
      <c r="AM6" s="30"/>
      <c r="AN6" s="5"/>
      <c r="AO6" s="5"/>
      <c r="AP6" s="5"/>
      <c r="AQ6" s="34"/>
      <c r="AR6" s="30"/>
      <c r="AS6" s="5"/>
      <c r="AT6" s="5"/>
      <c r="AU6" s="5"/>
      <c r="AV6" s="34"/>
      <c r="AW6" s="30"/>
      <c r="AX6" s="5"/>
      <c r="AY6" s="5"/>
      <c r="AZ6" s="5"/>
      <c r="BA6" s="34"/>
      <c r="BB6" s="30"/>
      <c r="BC6" s="5"/>
      <c r="BD6" s="5"/>
      <c r="BE6" s="5"/>
      <c r="BF6" s="34"/>
    </row>
    <row r="7" spans="2:58" ht="18" customHeight="1">
      <c r="B7" s="403" t="s">
        <v>4</v>
      </c>
      <c r="C7" s="113" t="s">
        <v>5</v>
      </c>
      <c r="D7" s="176">
        <v>18054</v>
      </c>
      <c r="E7" s="177">
        <v>87809.5</v>
      </c>
      <c r="F7" s="177">
        <v>127161.25</v>
      </c>
      <c r="G7" s="3">
        <f>IF($B$4="quarter",SUM((E7/45),(F7/900)),IF($B$4="semester",SUM((E7/30),F7/900)))</f>
        <v>3068.2736111111108</v>
      </c>
      <c r="H7" s="183">
        <v>7095356</v>
      </c>
      <c r="I7" s="178">
        <v>17802</v>
      </c>
      <c r="J7" s="177">
        <v>84520.5</v>
      </c>
      <c r="K7" s="177">
        <v>122552.8</v>
      </c>
      <c r="L7" s="3">
        <f>IF($B$4="quarter",SUM((J7/45),(K7/900)),IF($B$4="semester",SUM((J7/30),K7/900)))</f>
        <v>2953.5197777777776</v>
      </c>
      <c r="M7" s="183">
        <v>6931200</v>
      </c>
      <c r="N7" s="178">
        <v>12958</v>
      </c>
      <c r="O7" s="177">
        <v>84083</v>
      </c>
      <c r="P7" s="177">
        <v>65441</v>
      </c>
      <c r="Q7" s="3">
        <f>IF($B$4="quarter",SUM((O7/45),(P7/900)),IF($B$4="semester",SUM((O7/30),P7/900)))</f>
        <v>2875.4788888888893</v>
      </c>
      <c r="R7" s="183">
        <v>7401220</v>
      </c>
      <c r="S7" s="178">
        <v>9070</v>
      </c>
      <c r="T7" s="177">
        <v>82392</v>
      </c>
      <c r="U7" s="177">
        <v>32831</v>
      </c>
      <c r="V7" s="3">
        <f>IF($B$4="quarter",SUM((T7/45),(U7/900)),IF($B$4="semester",SUM((T7/30),U7/900)))</f>
        <v>2782.8788888888889</v>
      </c>
      <c r="W7" s="183">
        <v>7226902</v>
      </c>
      <c r="X7" s="178">
        <v>8906</v>
      </c>
      <c r="Y7" s="178">
        <v>81193</v>
      </c>
      <c r="Z7" s="178">
        <v>30330</v>
      </c>
      <c r="AA7" s="3">
        <f>IF($B$4="quarter",SUM((Y7/45),(Z7/900)),IF($B$4="semester",SUM((Y7/30),Z7/900)))</f>
        <v>2740.1333333333332</v>
      </c>
      <c r="AB7" s="183">
        <v>7410978</v>
      </c>
      <c r="AC7" s="60">
        <v>8772</v>
      </c>
      <c r="AD7" s="2">
        <v>80486.5</v>
      </c>
      <c r="AE7" s="2">
        <v>32793</v>
      </c>
      <c r="AF7" s="3">
        <f>IF($B$4="quarter",SUM((AD7/45),(AE7/900)),IF($B$4="semester",SUM((AD7/30),AE7/900)))</f>
        <v>2719.3199999999997</v>
      </c>
      <c r="AG7" s="183">
        <v>7647023.2400000002</v>
      </c>
      <c r="AH7" s="60">
        <v>8687</v>
      </c>
      <c r="AI7" s="2">
        <v>78875.25</v>
      </c>
      <c r="AJ7" s="2">
        <v>32340.5</v>
      </c>
      <c r="AK7" s="3">
        <f>IF($B$4="quarter",SUM((AI7/45),(AJ7/900)),IF($B$4="semester",SUM((AI7/30),AJ7/900)))</f>
        <v>2665.1088888888889</v>
      </c>
      <c r="AL7" s="183">
        <v>7561497.1399999997</v>
      </c>
      <c r="AM7" s="60">
        <v>8302</v>
      </c>
      <c r="AN7" s="2">
        <v>80104</v>
      </c>
      <c r="AO7" s="2">
        <v>25344</v>
      </c>
      <c r="AP7" s="3">
        <f>IF($B$4="quarter",SUM((AN7/45),(AO7/900)),IF($B$4="semester",SUM((AN7/30),AO7/900)))</f>
        <v>2698.2933333333331</v>
      </c>
      <c r="AQ7" s="183">
        <v>7586281.0999999996</v>
      </c>
      <c r="AR7" s="60">
        <v>7884</v>
      </c>
      <c r="AS7" s="2">
        <v>76634.25</v>
      </c>
      <c r="AT7" s="2">
        <v>25473</v>
      </c>
      <c r="AU7" s="3">
        <f>IF($B$4="quarter",SUM((AS7/45),(AT7/900)),IF($B$4="semester",SUM((AS7/30),AT7/900)))</f>
        <v>2582.7783333333332</v>
      </c>
      <c r="AV7" s="183">
        <v>7637090.6600000001</v>
      </c>
      <c r="AW7" s="60">
        <v>8387</v>
      </c>
      <c r="AX7" s="2">
        <v>79836.25</v>
      </c>
      <c r="AY7" s="2">
        <v>36499.5</v>
      </c>
      <c r="AZ7" s="3">
        <f>IF($B$4="quarter",SUM((AX7/45),(AY7/900)),IF($B$4="semester",SUM((AX7/30),AY7/900)))</f>
        <v>2701.7633333333333</v>
      </c>
      <c r="BA7" s="183">
        <f>8056417.61+16758+13770.75+945</f>
        <v>8087891.3600000003</v>
      </c>
      <c r="BB7" s="29">
        <v>8695</v>
      </c>
      <c r="BC7" s="1">
        <v>81903.5</v>
      </c>
      <c r="BD7" s="1">
        <v>34362</v>
      </c>
      <c r="BE7" s="3">
        <f>IF($B$4="quarter",SUM((BC7/45),(BD7/900)),IF($B$4="semester",SUM((BC7/30),BD7/900)))</f>
        <v>2768.2966666666666</v>
      </c>
      <c r="BF7" s="191">
        <f>8340193.74+525+14295+11850+1026</f>
        <v>8367889.7400000002</v>
      </c>
    </row>
    <row r="8" spans="2:58" ht="18" customHeight="1">
      <c r="B8" s="404"/>
      <c r="C8" s="113" t="s">
        <v>6</v>
      </c>
      <c r="D8" s="176">
        <v>608</v>
      </c>
      <c r="E8" s="177">
        <v>7983</v>
      </c>
      <c r="F8" s="177">
        <v>0</v>
      </c>
      <c r="G8" s="3">
        <f>IF($B$4="quarter",SUM((E8/45),(F8/900)),IF($B$4="semester",SUM((E8/30),F8/900)))</f>
        <v>266.10000000000002</v>
      </c>
      <c r="H8" s="183">
        <v>760064</v>
      </c>
      <c r="I8" s="178">
        <v>560</v>
      </c>
      <c r="J8" s="177">
        <v>7493.5</v>
      </c>
      <c r="K8" s="177">
        <v>0</v>
      </c>
      <c r="L8" s="3">
        <f>IF($B$4="quarter",SUM((J8/45),(K8/900)),IF($B$4="semester",SUM((J8/30),K8/900)))</f>
        <v>249.78333333333333</v>
      </c>
      <c r="M8" s="183">
        <v>822858</v>
      </c>
      <c r="N8" s="178">
        <v>515</v>
      </c>
      <c r="O8" s="177">
        <v>7387</v>
      </c>
      <c r="P8" s="177">
        <v>0</v>
      </c>
      <c r="Q8" s="3">
        <f>IF($B$4="quarter",SUM((O8/45),(P8/900)),IF($B$4="semester",SUM((O8/30),P8/900)))</f>
        <v>246.23333333333332</v>
      </c>
      <c r="R8" s="183">
        <v>648468</v>
      </c>
      <c r="S8" s="178">
        <v>501</v>
      </c>
      <c r="T8" s="177">
        <v>7409.5</v>
      </c>
      <c r="U8" s="177">
        <v>0</v>
      </c>
      <c r="V8" s="3">
        <f>IF($B$4="quarter",SUM((T8/45),(U8/900)),IF($B$4="semester",SUM((T8/30),U8/900)))</f>
        <v>246.98333333333332</v>
      </c>
      <c r="W8" s="183">
        <v>670133</v>
      </c>
      <c r="X8" s="178">
        <v>414</v>
      </c>
      <c r="Y8" s="178">
        <v>6854</v>
      </c>
      <c r="Z8" s="178">
        <v>0</v>
      </c>
      <c r="AA8" s="3">
        <f>IF($B$4="quarter",SUM((Y8/45),(Z8/900)),IF($B$4="semester",SUM((Y8/30),Z8/900)))</f>
        <v>228.46666666666667</v>
      </c>
      <c r="AB8" s="183">
        <v>649121</v>
      </c>
      <c r="AC8" s="60">
        <v>481</v>
      </c>
      <c r="AD8" s="2">
        <v>7717</v>
      </c>
      <c r="AE8" s="2">
        <v>0</v>
      </c>
      <c r="AF8" s="3">
        <f>IF($B$4="quarter",SUM((AD8/45),(AE8/900)),IF($B$4="semester",SUM((AD8/30),AE8/900)))</f>
        <v>257.23333333333335</v>
      </c>
      <c r="AG8" s="183">
        <v>858525.25</v>
      </c>
      <c r="AH8" s="60">
        <v>439</v>
      </c>
      <c r="AI8" s="2">
        <v>7572</v>
      </c>
      <c r="AJ8" s="2">
        <v>0</v>
      </c>
      <c r="AK8" s="3">
        <f>IF($B$4="quarter",SUM((AI8/45),(AJ8/900)),IF($B$4="semester",SUM((AI8/30),AJ8/900)))</f>
        <v>252.4</v>
      </c>
      <c r="AL8" s="183">
        <v>874173.5</v>
      </c>
      <c r="AM8" s="60">
        <v>463</v>
      </c>
      <c r="AN8" s="2">
        <v>7811.5</v>
      </c>
      <c r="AO8" s="2">
        <v>0</v>
      </c>
      <c r="AP8" s="3">
        <f>IF($B$4="quarter",SUM((AN8/45),(AO8/900)),IF($B$4="semester",SUM((AN8/30),AO8/900)))</f>
        <v>260.38333333333333</v>
      </c>
      <c r="AQ8" s="183">
        <v>929260.56</v>
      </c>
      <c r="AR8" s="60">
        <v>472</v>
      </c>
      <c r="AS8" s="2">
        <v>7444</v>
      </c>
      <c r="AT8" s="2">
        <v>0</v>
      </c>
      <c r="AU8" s="3">
        <f>IF($B$4="quarter",SUM((AS8/45),(AT8/900)),IF($B$4="semester",SUM((AS8/30),AT8/900)))</f>
        <v>248.13333333333333</v>
      </c>
      <c r="AV8" s="183">
        <v>929311.42</v>
      </c>
      <c r="AW8" s="60">
        <v>548</v>
      </c>
      <c r="AX8" s="2">
        <v>7050.5</v>
      </c>
      <c r="AY8" s="2">
        <v>0</v>
      </c>
      <c r="AZ8" s="3">
        <f>IF($B$4="quarter",SUM((AX8/45),(AY8/900)),IF($B$4="semester",SUM((AX8/30),AY8/900)))</f>
        <v>235.01666666666668</v>
      </c>
      <c r="BA8" s="183">
        <f>947653.16+1800.75+848+73.5+1029+1060+514.5+159</f>
        <v>953137.91</v>
      </c>
      <c r="BB8" s="29">
        <v>639</v>
      </c>
      <c r="BC8" s="1">
        <v>7059.5</v>
      </c>
      <c r="BD8" s="1">
        <v>3340</v>
      </c>
      <c r="BE8" s="3">
        <f>IF($B$4="quarter",SUM((BC8/45),(BD8/900)),IF($B$4="semester",SUM((BC8/30),BD8/900)))</f>
        <v>239.02777777777777</v>
      </c>
      <c r="BF8" s="191">
        <f>1008975.88+755+679.5+654</f>
        <v>1011064.38</v>
      </c>
    </row>
    <row r="9" spans="2:58" ht="18" customHeight="1">
      <c r="B9" s="405"/>
      <c r="C9" s="33" t="s">
        <v>36</v>
      </c>
      <c r="D9" s="31">
        <f t="shared" ref="D9:AF9" si="0">SUM(D7:D8)</f>
        <v>18662</v>
      </c>
      <c r="E9" s="3">
        <f t="shared" si="0"/>
        <v>95792.5</v>
      </c>
      <c r="F9" s="3">
        <f t="shared" si="0"/>
        <v>127161.25</v>
      </c>
      <c r="G9" s="76">
        <f t="shared" si="0"/>
        <v>3334.3736111111107</v>
      </c>
      <c r="H9" s="37">
        <f>SUM(H7:H8)</f>
        <v>7855420</v>
      </c>
      <c r="I9" s="31">
        <f t="shared" si="0"/>
        <v>18362</v>
      </c>
      <c r="J9" s="3">
        <f t="shared" si="0"/>
        <v>92014</v>
      </c>
      <c r="K9" s="3">
        <f t="shared" si="0"/>
        <v>122552.8</v>
      </c>
      <c r="L9" s="3">
        <f t="shared" si="0"/>
        <v>3203.3031111111109</v>
      </c>
      <c r="M9" s="37">
        <f>SUM(M7:M8)</f>
        <v>7754058</v>
      </c>
      <c r="N9" s="31">
        <f t="shared" si="0"/>
        <v>13473</v>
      </c>
      <c r="O9" s="3">
        <f t="shared" si="0"/>
        <v>91470</v>
      </c>
      <c r="P9" s="3">
        <f t="shared" si="0"/>
        <v>65441</v>
      </c>
      <c r="Q9" s="3">
        <f t="shared" si="0"/>
        <v>3121.7122222222224</v>
      </c>
      <c r="R9" s="37">
        <f>SUM(R7:R8)</f>
        <v>8049688</v>
      </c>
      <c r="S9" s="31">
        <f t="shared" si="0"/>
        <v>9571</v>
      </c>
      <c r="T9" s="3">
        <f t="shared" si="0"/>
        <v>89801.5</v>
      </c>
      <c r="U9" s="3">
        <f t="shared" si="0"/>
        <v>32831</v>
      </c>
      <c r="V9" s="3">
        <f t="shared" si="0"/>
        <v>3029.862222222222</v>
      </c>
      <c r="W9" s="37">
        <f>SUM(W7:W8)</f>
        <v>7897035</v>
      </c>
      <c r="X9" s="31">
        <f t="shared" si="0"/>
        <v>9320</v>
      </c>
      <c r="Y9" s="3">
        <f t="shared" si="0"/>
        <v>88047</v>
      </c>
      <c r="Z9" s="3">
        <f t="shared" si="0"/>
        <v>30330</v>
      </c>
      <c r="AA9" s="3">
        <f t="shared" si="0"/>
        <v>2968.6</v>
      </c>
      <c r="AB9" s="37">
        <f>SUM(AB7:AB8)</f>
        <v>8060099</v>
      </c>
      <c r="AC9" s="31">
        <f t="shared" si="0"/>
        <v>9253</v>
      </c>
      <c r="AD9" s="3">
        <f t="shared" si="0"/>
        <v>88203.5</v>
      </c>
      <c r="AE9" s="3">
        <f t="shared" si="0"/>
        <v>32793</v>
      </c>
      <c r="AF9" s="3">
        <f t="shared" si="0"/>
        <v>2976.5533333333333</v>
      </c>
      <c r="AG9" s="37">
        <f>SUM(AG7:AG8)</f>
        <v>8505548.4900000002</v>
      </c>
      <c r="AH9" s="31">
        <f t="shared" ref="AH9:AP9" si="1">SUM(AH7:AH8)</f>
        <v>9126</v>
      </c>
      <c r="AI9" s="3">
        <f t="shared" si="1"/>
        <v>86447.25</v>
      </c>
      <c r="AJ9" s="3">
        <f t="shared" si="1"/>
        <v>32340.5</v>
      </c>
      <c r="AK9" s="3">
        <f t="shared" si="1"/>
        <v>2917.508888888889</v>
      </c>
      <c r="AL9" s="37">
        <f>SUM(AL7:AL8)</f>
        <v>8435670.6400000006</v>
      </c>
      <c r="AM9" s="31">
        <f t="shared" si="1"/>
        <v>8765</v>
      </c>
      <c r="AN9" s="3">
        <f t="shared" si="1"/>
        <v>87915.5</v>
      </c>
      <c r="AO9" s="3">
        <f t="shared" si="1"/>
        <v>25344</v>
      </c>
      <c r="AP9" s="3">
        <f t="shared" si="1"/>
        <v>2958.6766666666663</v>
      </c>
      <c r="AQ9" s="37">
        <f>SUM(AQ7:AQ8)</f>
        <v>8515541.6600000001</v>
      </c>
      <c r="AR9" s="31">
        <f t="shared" ref="AR9:BE9" si="2">SUM(AR7:AR8)</f>
        <v>8356</v>
      </c>
      <c r="AS9" s="3">
        <f t="shared" si="2"/>
        <v>84078.25</v>
      </c>
      <c r="AT9" s="3">
        <f t="shared" si="2"/>
        <v>25473</v>
      </c>
      <c r="AU9" s="3">
        <f t="shared" si="2"/>
        <v>2830.9116666666664</v>
      </c>
      <c r="AV9" s="37">
        <f>SUM(AV7:AV8)</f>
        <v>8566402.0800000001</v>
      </c>
      <c r="AW9" s="31">
        <f t="shared" si="2"/>
        <v>8935</v>
      </c>
      <c r="AX9" s="3">
        <f t="shared" si="2"/>
        <v>86886.75</v>
      </c>
      <c r="AY9" s="3">
        <f t="shared" si="2"/>
        <v>36499.5</v>
      </c>
      <c r="AZ9" s="3">
        <f t="shared" si="2"/>
        <v>2936.78</v>
      </c>
      <c r="BA9" s="37">
        <f>SUM(BA7:BA8)</f>
        <v>9041029.2699999996</v>
      </c>
      <c r="BB9" s="31">
        <f t="shared" si="2"/>
        <v>9334</v>
      </c>
      <c r="BC9" s="3">
        <f t="shared" si="2"/>
        <v>88963</v>
      </c>
      <c r="BD9" s="3">
        <f t="shared" si="2"/>
        <v>37702</v>
      </c>
      <c r="BE9" s="3">
        <f t="shared" si="2"/>
        <v>3007.3244444444445</v>
      </c>
      <c r="BF9" s="37">
        <f>SUM(BF7:BF8)</f>
        <v>9378954.120000001</v>
      </c>
    </row>
    <row r="10" spans="2:58" ht="24.75" customHeight="1">
      <c r="B10" s="13" t="s">
        <v>10</v>
      </c>
      <c r="D10" s="30"/>
      <c r="E10" s="5"/>
      <c r="F10" s="5"/>
      <c r="G10" s="5"/>
      <c r="I10" s="4"/>
      <c r="J10" s="5"/>
      <c r="K10" s="5"/>
      <c r="L10" s="5"/>
      <c r="M10" s="35"/>
      <c r="N10" s="30"/>
      <c r="O10" s="5"/>
      <c r="P10" s="5"/>
      <c r="Q10" s="5"/>
      <c r="R10" s="35"/>
      <c r="S10" s="30"/>
      <c r="T10" s="5"/>
      <c r="U10" s="5"/>
      <c r="V10" s="5"/>
      <c r="W10" s="35"/>
      <c r="X10" s="30"/>
      <c r="Y10" s="5"/>
      <c r="Z10" s="5"/>
      <c r="AA10" s="5"/>
      <c r="AB10" s="35"/>
      <c r="AC10" s="30"/>
      <c r="AD10" s="5"/>
      <c r="AE10" s="5"/>
      <c r="AF10" s="186"/>
      <c r="AG10" s="184"/>
      <c r="AH10" s="185"/>
      <c r="AI10" s="186"/>
      <c r="AJ10" s="186"/>
      <c r="AK10" s="186"/>
      <c r="AL10" s="184"/>
      <c r="AM10" s="185"/>
      <c r="AN10" s="186"/>
      <c r="AO10" s="186"/>
      <c r="AP10" s="186"/>
      <c r="AQ10" s="184"/>
      <c r="AR10" s="30"/>
      <c r="AS10" s="5"/>
      <c r="AT10" s="5"/>
      <c r="AU10" s="5"/>
      <c r="AV10" s="35"/>
      <c r="AW10" s="30"/>
      <c r="AX10" s="5"/>
      <c r="AY10" s="5"/>
      <c r="AZ10" s="5"/>
      <c r="BA10" s="35"/>
      <c r="BB10" s="30"/>
      <c r="BC10" s="5"/>
      <c r="BD10" s="5"/>
      <c r="BE10" s="5"/>
      <c r="BF10" s="35"/>
    </row>
    <row r="11" spans="2:58" ht="18" customHeight="1">
      <c r="B11" s="41" t="s">
        <v>117</v>
      </c>
      <c r="D11" s="30"/>
      <c r="E11" s="5"/>
      <c r="F11" s="5"/>
      <c r="G11" s="5"/>
      <c r="H11" s="180">
        <v>116367</v>
      </c>
      <c r="I11" s="4"/>
      <c r="J11" s="5"/>
      <c r="K11" s="5"/>
      <c r="L11" s="5"/>
      <c r="M11" s="179">
        <v>58851</v>
      </c>
      <c r="N11" s="30"/>
      <c r="O11" s="5"/>
      <c r="P11" s="5"/>
      <c r="Q11" s="5"/>
      <c r="R11" s="179">
        <v>30096</v>
      </c>
      <c r="S11" s="30"/>
      <c r="T11" s="5"/>
      <c r="U11" s="5"/>
      <c r="V11" s="5"/>
      <c r="W11" s="179">
        <v>307920</v>
      </c>
      <c r="X11" s="30"/>
      <c r="Y11" s="5"/>
      <c r="Z11" s="5"/>
      <c r="AA11" s="5"/>
      <c r="AB11" s="179">
        <v>271205</v>
      </c>
      <c r="AC11" s="30"/>
      <c r="AD11" s="5"/>
      <c r="AE11" s="5"/>
      <c r="AF11" s="5"/>
      <c r="AG11" s="179">
        <v>213251.43</v>
      </c>
      <c r="AH11" s="30"/>
      <c r="AI11" s="5"/>
      <c r="AJ11" s="5"/>
      <c r="AK11" s="5"/>
      <c r="AL11" s="179">
        <v>129122.25</v>
      </c>
      <c r="AM11" s="30"/>
      <c r="AN11" s="5"/>
      <c r="AO11" s="5"/>
      <c r="AP11" s="5"/>
      <c r="AQ11" s="179">
        <v>137742.34</v>
      </c>
      <c r="AR11" s="30"/>
      <c r="AS11" s="5"/>
      <c r="AT11" s="5"/>
      <c r="AU11" s="5"/>
      <c r="AV11" s="179">
        <v>181122.21</v>
      </c>
      <c r="AW11" s="30"/>
      <c r="AX11" s="5"/>
      <c r="AY11" s="5"/>
      <c r="AZ11" s="5"/>
      <c r="BA11" s="179">
        <f>328593.42+36958.5</f>
        <v>365551.92</v>
      </c>
      <c r="BB11" s="30"/>
      <c r="BC11" s="5"/>
      <c r="BD11" s="5"/>
      <c r="BE11" s="5"/>
      <c r="BF11" s="36">
        <v>29784.5</v>
      </c>
    </row>
    <row r="12" spans="2:58" ht="18" customHeight="1">
      <c r="B12" s="41" t="s">
        <v>118</v>
      </c>
      <c r="D12" s="30"/>
      <c r="E12" s="5"/>
      <c r="F12" s="5"/>
      <c r="G12" s="5"/>
      <c r="H12" s="180">
        <v>313870</v>
      </c>
      <c r="I12" s="4"/>
      <c r="J12" s="5"/>
      <c r="K12" s="5"/>
      <c r="L12" s="5"/>
      <c r="M12" s="179">
        <v>363845</v>
      </c>
      <c r="N12" s="30"/>
      <c r="O12" s="5"/>
      <c r="P12" s="5"/>
      <c r="Q12" s="5"/>
      <c r="R12" s="179">
        <v>400928</v>
      </c>
      <c r="S12" s="30"/>
      <c r="T12" s="4"/>
      <c r="U12" s="4"/>
      <c r="V12" s="4"/>
      <c r="W12" s="179">
        <v>487937</v>
      </c>
      <c r="X12" s="30"/>
      <c r="Y12" s="4"/>
      <c r="Z12" s="4"/>
      <c r="AA12" s="4"/>
      <c r="AB12" s="179">
        <v>602562</v>
      </c>
      <c r="AC12" s="30"/>
      <c r="AD12" s="4"/>
      <c r="AE12" s="4"/>
      <c r="AF12" s="4"/>
      <c r="AG12" s="179">
        <v>623483</v>
      </c>
      <c r="AH12" s="30"/>
      <c r="AI12" s="4"/>
      <c r="AJ12" s="4"/>
      <c r="AK12" s="4"/>
      <c r="AL12" s="179">
        <v>678202.88</v>
      </c>
      <c r="AM12" s="30"/>
      <c r="AN12" s="4"/>
      <c r="AO12" s="4"/>
      <c r="AP12" s="4"/>
      <c r="AQ12" s="179">
        <v>707000.18</v>
      </c>
      <c r="AR12" s="30"/>
      <c r="AS12" s="4"/>
      <c r="AT12" s="4"/>
      <c r="AU12" s="4"/>
      <c r="AV12" s="179">
        <v>1175852.8</v>
      </c>
      <c r="AW12" s="30"/>
      <c r="AX12" s="4"/>
      <c r="AY12" s="4"/>
      <c r="AZ12" s="4"/>
      <c r="BA12" s="179">
        <v>890759.3</v>
      </c>
      <c r="BB12" s="30"/>
      <c r="BC12" s="4"/>
      <c r="BD12" s="4"/>
      <c r="BE12" s="4"/>
      <c r="BF12" s="36">
        <v>769489.88</v>
      </c>
    </row>
    <row r="13" spans="2:58" ht="18" customHeight="1">
      <c r="B13" s="41" t="s">
        <v>11</v>
      </c>
      <c r="D13" s="30"/>
      <c r="E13" s="5"/>
      <c r="F13" s="5"/>
      <c r="G13" s="5"/>
      <c r="H13" s="37">
        <f>H9-H11-H12</f>
        <v>7425183</v>
      </c>
      <c r="I13" s="4"/>
      <c r="J13" s="5"/>
      <c r="K13" s="5"/>
      <c r="L13" s="5"/>
      <c r="M13" s="37">
        <f>M9-M11-M12</f>
        <v>7331362</v>
      </c>
      <c r="N13" s="30"/>
      <c r="O13" s="5"/>
      <c r="P13" s="5"/>
      <c r="Q13" s="5"/>
      <c r="R13" s="37">
        <f>R9-R11-R12</f>
        <v>7618664</v>
      </c>
      <c r="S13" s="30"/>
      <c r="T13" s="5"/>
      <c r="U13" s="5"/>
      <c r="V13" s="5"/>
      <c r="W13" s="37">
        <f>W9-W11-W12</f>
        <v>7101178</v>
      </c>
      <c r="X13" s="30"/>
      <c r="Y13" s="5"/>
      <c r="Z13" s="5"/>
      <c r="AA13" s="5"/>
      <c r="AB13" s="37">
        <f>AB9-AB11-AB12</f>
        <v>7186332</v>
      </c>
      <c r="AC13" s="30"/>
      <c r="AD13" s="5"/>
      <c r="AE13" s="5"/>
      <c r="AF13" s="5"/>
      <c r="AG13" s="37">
        <f>AG9-AG11-AG12</f>
        <v>7668814.0600000005</v>
      </c>
      <c r="AH13" s="30"/>
      <c r="AI13" s="5"/>
      <c r="AJ13" s="5"/>
      <c r="AK13" s="5"/>
      <c r="AL13" s="37">
        <f>AL9-AL11-AL12</f>
        <v>7628345.5100000007</v>
      </c>
      <c r="AM13" s="30"/>
      <c r="AN13" s="5"/>
      <c r="AO13" s="5"/>
      <c r="AP13" s="5"/>
      <c r="AQ13" s="37">
        <f>AQ9-AQ11-AQ12</f>
        <v>7670799.1400000006</v>
      </c>
      <c r="AR13" s="30"/>
      <c r="AS13" s="5"/>
      <c r="AT13" s="5"/>
      <c r="AU13" s="5"/>
      <c r="AV13" s="37">
        <f>AV9-AV11-AV12</f>
        <v>7209427.0700000003</v>
      </c>
      <c r="AW13" s="30"/>
      <c r="AX13" s="5"/>
      <c r="AY13" s="5"/>
      <c r="AZ13" s="5"/>
      <c r="BA13" s="37">
        <f>BA9-BA11-BA12</f>
        <v>7784718.0499999998</v>
      </c>
      <c r="BB13" s="30"/>
      <c r="BC13" s="5"/>
      <c r="BD13" s="5"/>
      <c r="BE13" s="5"/>
      <c r="BF13" s="37">
        <f>BF9-BF11-BF12</f>
        <v>8579679.7400000002</v>
      </c>
    </row>
    <row r="14" spans="2:58" ht="15">
      <c r="B14" s="41"/>
      <c r="D14" s="30"/>
      <c r="E14" s="5"/>
      <c r="F14" s="5"/>
      <c r="G14" s="5"/>
      <c r="I14" s="4"/>
      <c r="J14" s="5"/>
      <c r="K14" s="5"/>
      <c r="L14" s="5"/>
      <c r="M14" s="35"/>
      <c r="N14" s="30"/>
      <c r="O14" s="5"/>
      <c r="P14" s="5"/>
      <c r="Q14" s="5"/>
      <c r="R14" s="35"/>
      <c r="S14" s="30"/>
      <c r="T14" s="5"/>
      <c r="U14" s="5"/>
      <c r="V14" s="5"/>
      <c r="W14" s="35"/>
      <c r="X14" s="30"/>
      <c r="Y14" s="5"/>
      <c r="Z14" s="5"/>
      <c r="AA14" s="5"/>
      <c r="AB14" s="35"/>
      <c r="AC14" s="30"/>
      <c r="AD14" s="5"/>
      <c r="AE14" s="5"/>
      <c r="AF14" s="5"/>
      <c r="AG14" s="35"/>
      <c r="AH14" s="30"/>
      <c r="AI14" s="5"/>
      <c r="AJ14" s="5"/>
      <c r="AK14" s="5"/>
      <c r="AL14" s="35"/>
      <c r="AM14" s="30"/>
      <c r="AN14" s="5"/>
      <c r="AO14" s="5"/>
      <c r="AP14" s="5"/>
      <c r="AQ14" s="35"/>
      <c r="AR14" s="30"/>
      <c r="AS14" s="5"/>
      <c r="AT14" s="5"/>
      <c r="AU14" s="5"/>
      <c r="AV14" s="35"/>
      <c r="AW14" s="30"/>
      <c r="AX14" s="5"/>
      <c r="AY14" s="5"/>
      <c r="AZ14" s="5"/>
      <c r="BA14" s="35"/>
      <c r="BB14" s="30"/>
      <c r="BC14" s="5"/>
      <c r="BD14" s="5"/>
      <c r="BE14" s="5"/>
      <c r="BF14" s="35"/>
    </row>
    <row r="15" spans="2:58" ht="51" customHeight="1">
      <c r="B15" s="415" t="s">
        <v>27</v>
      </c>
      <c r="C15" s="415"/>
      <c r="D15" s="30"/>
      <c r="I15" s="4"/>
      <c r="M15" s="35"/>
      <c r="N15" s="30"/>
      <c r="R15" s="35"/>
      <c r="S15" s="30"/>
      <c r="W15" s="35"/>
      <c r="X15" s="30"/>
      <c r="AB15" s="35"/>
      <c r="AC15" s="30"/>
      <c r="AG15" s="35"/>
      <c r="AH15" s="30"/>
      <c r="AL15" s="35"/>
      <c r="AM15" s="30"/>
      <c r="AQ15" s="35"/>
      <c r="AR15" s="30"/>
      <c r="AV15" s="35"/>
      <c r="AW15" s="30"/>
      <c r="BA15" s="35"/>
      <c r="BB15" s="30"/>
      <c r="BF15" s="35"/>
    </row>
    <row r="16" spans="2:58" ht="18" customHeight="1">
      <c r="B16" s="413" t="s">
        <v>7</v>
      </c>
      <c r="C16" s="113" t="s">
        <v>5</v>
      </c>
      <c r="D16" s="176">
        <v>464</v>
      </c>
      <c r="E16" s="177">
        <v>1922</v>
      </c>
      <c r="F16" s="177">
        <v>0</v>
      </c>
      <c r="G16" s="3">
        <f>IF($B$4="quarter",SUM((E16/45),(F16/900)),IF($B$4="semester",SUM((E16/30),F16/900)))</f>
        <v>64.066666666666663</v>
      </c>
      <c r="H16" s="40"/>
      <c r="I16" s="178">
        <v>429</v>
      </c>
      <c r="J16" s="177">
        <v>1765</v>
      </c>
      <c r="K16" s="177">
        <v>0</v>
      </c>
      <c r="L16" s="3">
        <f>IF($B$4="quarter",SUM((J16/45),(K16/900)),IF($B$4="semester",SUM((J16/30),K16/900)))</f>
        <v>58.833333333333336</v>
      </c>
      <c r="M16" s="38"/>
      <c r="N16" s="178">
        <v>444</v>
      </c>
      <c r="O16" s="177">
        <v>1767</v>
      </c>
      <c r="P16" s="177">
        <v>0</v>
      </c>
      <c r="Q16" s="3">
        <f>IF($B$4="quarter",SUM((O16/45),(P16/900)),IF($B$4="semester",SUM((O16/30),P16/900)))</f>
        <v>58.9</v>
      </c>
      <c r="R16" s="38"/>
      <c r="S16" s="178">
        <v>439</v>
      </c>
      <c r="T16" s="177">
        <v>1773</v>
      </c>
      <c r="U16" s="177">
        <v>0</v>
      </c>
      <c r="V16" s="3">
        <f>IF($B$4="quarter",SUM((T16/45),(U16/900)),IF($B$4="semester",SUM((T16/30),U16/900)))</f>
        <v>59.1</v>
      </c>
      <c r="W16" s="38"/>
      <c r="X16" s="178">
        <v>410</v>
      </c>
      <c r="Y16" s="178">
        <v>1706</v>
      </c>
      <c r="Z16" s="178">
        <v>0</v>
      </c>
      <c r="AA16" s="3">
        <f>IF($B$4="quarter",SUM((Y16/45),(Z16/900)),IF($B$4="semester",SUM((Y16/30),Z16/900)))</f>
        <v>56.866666666666667</v>
      </c>
      <c r="AB16" s="38"/>
      <c r="AC16" s="60">
        <v>469</v>
      </c>
      <c r="AD16" s="2">
        <v>1766</v>
      </c>
      <c r="AE16" s="205">
        <v>0</v>
      </c>
      <c r="AF16" s="3">
        <f>IF($B$4="quarter",SUM((AD16/45),(AE16/900)),IF($B$4="semester",SUM((AD16/30),AE16/900)))</f>
        <v>58.866666666666667</v>
      </c>
      <c r="AG16" s="38"/>
      <c r="AH16" s="60">
        <v>444</v>
      </c>
      <c r="AI16" s="2">
        <v>1754</v>
      </c>
      <c r="AJ16" s="205">
        <v>0</v>
      </c>
      <c r="AK16" s="3">
        <f>IF($B$4="quarter",SUM((AI16/45),(AJ16/900)),IF($B$4="semester",SUM((AI16/30),AJ16/900)))</f>
        <v>58.466666666666669</v>
      </c>
      <c r="AL16" s="38"/>
      <c r="AM16" s="60">
        <v>383</v>
      </c>
      <c r="AN16" s="2">
        <v>1384</v>
      </c>
      <c r="AO16" s="205">
        <v>0</v>
      </c>
      <c r="AP16" s="3">
        <f>IF($B$4="quarter",SUM((AN16/45),(AO16/900)),IF($B$4="semester",SUM((AN16/30),AO16/900)))</f>
        <v>46.133333333333333</v>
      </c>
      <c r="AQ16" s="38"/>
      <c r="AR16" s="60">
        <v>334</v>
      </c>
      <c r="AS16" s="2">
        <v>1236</v>
      </c>
      <c r="AT16" s="205">
        <v>0</v>
      </c>
      <c r="AU16" s="3">
        <f>IF($B$4="quarter",SUM((AS16/45),(AT16/900)),IF($B$4="semester",SUM((AS16/30),AT16/900)))</f>
        <v>41.2</v>
      </c>
      <c r="AV16" s="38"/>
      <c r="AW16" s="60">
        <v>355</v>
      </c>
      <c r="AX16" s="2">
        <v>1260</v>
      </c>
      <c r="AY16" s="205">
        <v>0</v>
      </c>
      <c r="AZ16" s="3">
        <f>IF($B$4="quarter",SUM((AX16/45),(AY16/900)),IF($B$4="semester",SUM((AX16/30),AY16/900)))</f>
        <v>42</v>
      </c>
      <c r="BA16" s="38"/>
      <c r="BB16" s="29">
        <v>361</v>
      </c>
      <c r="BC16" s="1">
        <v>1028</v>
      </c>
      <c r="BD16" s="205">
        <v>0</v>
      </c>
      <c r="BE16" s="3">
        <f>IF($B$4="quarter",SUM((BC16/45),(BD16/900)),IF($B$4="semester",SUM((BC16/30),BD16/900)))</f>
        <v>34.266666666666666</v>
      </c>
      <c r="BF16" s="38"/>
    </row>
    <row r="17" spans="2:58" ht="18" customHeight="1">
      <c r="B17" s="414"/>
      <c r="C17" s="113" t="s">
        <v>6</v>
      </c>
      <c r="D17" s="181">
        <v>85</v>
      </c>
      <c r="E17" s="2">
        <v>441</v>
      </c>
      <c r="F17" s="2">
        <v>0</v>
      </c>
      <c r="G17" s="3">
        <f>IF($B$4="quarter",SUM((E17/45),(F17/900)),IF($B$4="semester",SUM((E17/30),F17/900)))</f>
        <v>14.7</v>
      </c>
      <c r="H17" s="40"/>
      <c r="I17" s="178">
        <v>77</v>
      </c>
      <c r="J17" s="177">
        <v>417</v>
      </c>
      <c r="K17" s="177">
        <v>0</v>
      </c>
      <c r="L17" s="3">
        <f>IF($B$4="quarter",SUM((J17/45),(K17/900)),IF($B$4="semester",SUM((J17/30),K17/900)))</f>
        <v>13.9</v>
      </c>
      <c r="M17" s="38"/>
      <c r="N17" s="178">
        <v>85</v>
      </c>
      <c r="O17" s="177">
        <v>451</v>
      </c>
      <c r="P17" s="177">
        <v>0</v>
      </c>
      <c r="Q17" s="3">
        <f>IF($B$4="quarter",SUM((O17/45),(P17/900)),IF($B$4="semester",SUM((O17/30),P17/900)))</f>
        <v>15.033333333333333</v>
      </c>
      <c r="R17" s="38"/>
      <c r="S17" s="178">
        <v>80</v>
      </c>
      <c r="T17" s="177">
        <v>364</v>
      </c>
      <c r="U17" s="177">
        <v>0</v>
      </c>
      <c r="V17" s="3">
        <f>IF($B$4="quarter",SUM((T17/45),(U17/900)),IF($B$4="semester",SUM((T17/30),U17/900)))</f>
        <v>12.133333333333333</v>
      </c>
      <c r="W17" s="38"/>
      <c r="X17" s="178">
        <v>64</v>
      </c>
      <c r="Y17" s="178">
        <v>321</v>
      </c>
      <c r="Z17" s="178">
        <v>0</v>
      </c>
      <c r="AA17" s="3">
        <f>IF($B$4="quarter",SUM((Y17/45),(Z17/900)),IF($B$4="semester",SUM((Y17/30),Z17/900)))</f>
        <v>10.7</v>
      </c>
      <c r="AB17" s="38"/>
      <c r="AC17" s="60">
        <v>95</v>
      </c>
      <c r="AD17" s="2">
        <v>498</v>
      </c>
      <c r="AE17" s="205">
        <v>0</v>
      </c>
      <c r="AF17" s="3">
        <f>IF($B$4="quarter",SUM((AD17/45),(AE17/900)),IF($B$4="semester",SUM((AD17/30),AE17/900)))</f>
        <v>16.600000000000001</v>
      </c>
      <c r="AG17" s="38"/>
      <c r="AH17" s="60">
        <v>92</v>
      </c>
      <c r="AI17" s="2">
        <v>413</v>
      </c>
      <c r="AJ17" s="205">
        <v>0</v>
      </c>
      <c r="AK17" s="3">
        <f>IF($B$4="quarter",SUM((AI17/45),(AJ17/900)),IF($B$4="semester",SUM((AI17/30),AJ17/900)))</f>
        <v>13.766666666666667</v>
      </c>
      <c r="AL17" s="38"/>
      <c r="AM17" s="60">
        <v>75</v>
      </c>
      <c r="AN17" s="2">
        <v>270</v>
      </c>
      <c r="AO17" s="205">
        <v>0</v>
      </c>
      <c r="AP17" s="3">
        <f>IF($B$4="quarter",SUM((AN17/45),(AO17/900)),IF($B$4="semester",SUM((AN17/30),AO17/900)))</f>
        <v>9</v>
      </c>
      <c r="AQ17" s="38"/>
      <c r="AR17" s="60">
        <v>59</v>
      </c>
      <c r="AS17" s="2">
        <v>191</v>
      </c>
      <c r="AT17" s="205">
        <v>0</v>
      </c>
      <c r="AU17" s="3">
        <f>IF($B$4="quarter",SUM((AS17/45),(AT17/900)),IF($B$4="semester",SUM((AS17/30),AT17/900)))</f>
        <v>6.3666666666666663</v>
      </c>
      <c r="AV17" s="38"/>
      <c r="AW17" s="60">
        <v>68</v>
      </c>
      <c r="AX17" s="2">
        <v>275</v>
      </c>
      <c r="AY17" s="205">
        <v>0</v>
      </c>
      <c r="AZ17" s="3">
        <f>IF($B$4="quarter",SUM((AX17/45),(AY17/900)),IF($B$4="semester",SUM((AX17/30),AY17/900)))</f>
        <v>9.1666666666666661</v>
      </c>
      <c r="BA17" s="38"/>
      <c r="BB17" s="29">
        <v>73</v>
      </c>
      <c r="BC17" s="1">
        <v>223</v>
      </c>
      <c r="BD17" s="205">
        <v>0</v>
      </c>
      <c r="BE17" s="3">
        <f>IF($B$4="quarter",SUM((BC17/45),(BD17/900)),IF($B$4="semester",SUM((BC17/30),BD17/900)))</f>
        <v>7.4333333333333336</v>
      </c>
      <c r="BF17" s="38"/>
    </row>
    <row r="18" spans="2:58" ht="18" customHeight="1">
      <c r="B18" s="414"/>
      <c r="C18" s="114" t="s">
        <v>36</v>
      </c>
      <c r="D18" s="67">
        <f>SUM(D16:D17)</f>
        <v>549</v>
      </c>
      <c r="E18" s="3">
        <f>SUM(E16:E17)</f>
        <v>2363</v>
      </c>
      <c r="F18" s="3">
        <f>SUM(F16:F17)</f>
        <v>0</v>
      </c>
      <c r="G18" s="3">
        <f>SUM(G16:G17)</f>
        <v>78.766666666666666</v>
      </c>
      <c r="H18" s="40"/>
      <c r="I18" s="31">
        <f>SUM(I16:I17)</f>
        <v>506</v>
      </c>
      <c r="J18" s="3">
        <f>SUM(J16:J17)</f>
        <v>2182</v>
      </c>
      <c r="K18" s="3">
        <f>SUM(K16:K17)</f>
        <v>0</v>
      </c>
      <c r="L18" s="3">
        <f>SUM(L16:L17)</f>
        <v>72.733333333333334</v>
      </c>
      <c r="M18" s="38"/>
      <c r="N18" s="31">
        <f>SUM(N16:N17)</f>
        <v>529</v>
      </c>
      <c r="O18" s="3">
        <f>SUM(O16:O17)</f>
        <v>2218</v>
      </c>
      <c r="P18" s="3">
        <f>SUM(P16:P17)</f>
        <v>0</v>
      </c>
      <c r="Q18" s="3">
        <f>SUM(Q16:Q17)</f>
        <v>73.933333333333337</v>
      </c>
      <c r="R18" s="38"/>
      <c r="S18" s="31">
        <f>SUM(S16:S17)</f>
        <v>519</v>
      </c>
      <c r="T18" s="3">
        <f>SUM(T16:T17)</f>
        <v>2137</v>
      </c>
      <c r="U18" s="3">
        <f>SUM(U16:U17)</f>
        <v>0</v>
      </c>
      <c r="V18" s="3">
        <f>SUM(V16:V17)</f>
        <v>71.233333333333334</v>
      </c>
      <c r="W18" s="38"/>
      <c r="X18" s="31">
        <f>SUM(X16:X17)</f>
        <v>474</v>
      </c>
      <c r="Y18" s="3">
        <f>SUM(Y16:Y17)</f>
        <v>2027</v>
      </c>
      <c r="Z18" s="3">
        <f>SUM(Z16:Z17)</f>
        <v>0</v>
      </c>
      <c r="AA18" s="3">
        <f>SUM(AA16:AA17)</f>
        <v>67.566666666666663</v>
      </c>
      <c r="AB18" s="38"/>
      <c r="AC18" s="31">
        <f>SUM(AC16:AC17)</f>
        <v>564</v>
      </c>
      <c r="AD18" s="3">
        <f>SUM(AD16:AD17)</f>
        <v>2264</v>
      </c>
      <c r="AE18" s="205">
        <f>SUM(AE16:AE17)</f>
        <v>0</v>
      </c>
      <c r="AF18" s="3">
        <f>SUM(AF16:AF17)</f>
        <v>75.466666666666669</v>
      </c>
      <c r="AG18" s="38"/>
      <c r="AH18" s="31">
        <f>SUM(AH16:AH17)</f>
        <v>536</v>
      </c>
      <c r="AI18" s="3">
        <f>SUM(AI16:AI17)</f>
        <v>2167</v>
      </c>
      <c r="AJ18" s="205">
        <f>SUM(AJ16:AJ17)</f>
        <v>0</v>
      </c>
      <c r="AK18" s="3">
        <f>SUM(AK16:AK17)</f>
        <v>72.233333333333334</v>
      </c>
      <c r="AL18" s="38"/>
      <c r="AM18" s="31">
        <f>SUM(AM16:AM17)</f>
        <v>458</v>
      </c>
      <c r="AN18" s="3">
        <f>SUM(AN16:AN17)</f>
        <v>1654</v>
      </c>
      <c r="AO18" s="205">
        <f>SUM(AO16:AO17)</f>
        <v>0</v>
      </c>
      <c r="AP18" s="3">
        <f>SUM(AP16:AP17)</f>
        <v>55.133333333333333</v>
      </c>
      <c r="AQ18" s="38"/>
      <c r="AR18" s="31">
        <f>SUM(AR16:AR17)</f>
        <v>393</v>
      </c>
      <c r="AS18" s="3">
        <f>SUM(AS16:AS17)</f>
        <v>1427</v>
      </c>
      <c r="AT18" s="205">
        <f>SUM(AT16:AT17)</f>
        <v>0</v>
      </c>
      <c r="AU18" s="3">
        <f>SUM(AU16:AU17)</f>
        <v>47.56666666666667</v>
      </c>
      <c r="AV18" s="38"/>
      <c r="AW18" s="31">
        <f>SUM(AW16:AW17)</f>
        <v>423</v>
      </c>
      <c r="AX18" s="3">
        <f>SUM(AX16:AX17)</f>
        <v>1535</v>
      </c>
      <c r="AY18" s="205">
        <f>SUM(AY16:AY17)</f>
        <v>0</v>
      </c>
      <c r="AZ18" s="3">
        <f>SUM(AZ16:AZ17)</f>
        <v>51.166666666666664</v>
      </c>
      <c r="BA18" s="38"/>
      <c r="BB18" s="31">
        <f>SUM(BB16:BB17)</f>
        <v>434</v>
      </c>
      <c r="BC18" s="3">
        <f>SUM(BC16:BC17)</f>
        <v>1251</v>
      </c>
      <c r="BD18" s="205">
        <f>SUM(BD16:BD17)</f>
        <v>0</v>
      </c>
      <c r="BE18" s="3">
        <f>SUM(BE16:BE17)</f>
        <v>41.7</v>
      </c>
      <c r="BF18" s="38"/>
    </row>
    <row r="19" spans="2:58">
      <c r="B19" s="68"/>
      <c r="C19" s="115"/>
      <c r="D19" s="112"/>
      <c r="E19" s="68"/>
      <c r="F19" s="68"/>
      <c r="G19" s="68"/>
      <c r="H19" s="69"/>
      <c r="I19" s="63"/>
      <c r="J19" s="68"/>
      <c r="K19" s="68"/>
      <c r="L19" s="68"/>
      <c r="M19" s="70"/>
      <c r="N19" s="63"/>
      <c r="O19" s="68"/>
      <c r="P19" s="68"/>
      <c r="Q19" s="68"/>
      <c r="R19" s="70"/>
      <c r="S19" s="63"/>
      <c r="T19" s="68"/>
      <c r="U19" s="68"/>
      <c r="V19" s="68"/>
      <c r="W19" s="70"/>
      <c r="X19" s="63"/>
      <c r="Y19" s="68"/>
      <c r="Z19" s="68"/>
      <c r="AA19" s="68"/>
      <c r="AB19" s="70"/>
      <c r="AC19" s="63"/>
      <c r="AD19" s="68"/>
      <c r="AE19" s="68"/>
      <c r="AF19" s="68"/>
      <c r="AG19" s="70"/>
      <c r="AH19" s="63"/>
      <c r="AI19" s="68"/>
      <c r="AJ19" s="68"/>
      <c r="AK19" s="68"/>
      <c r="AL19" s="70"/>
      <c r="AM19" s="63"/>
      <c r="AN19" s="68"/>
      <c r="AO19" s="68"/>
      <c r="AP19" s="68"/>
      <c r="AQ19" s="70"/>
      <c r="AR19" s="63"/>
      <c r="AS19" s="68"/>
      <c r="AT19" s="68"/>
      <c r="AU19" s="68"/>
      <c r="AV19" s="70"/>
      <c r="AW19" s="63"/>
      <c r="AX19" s="68"/>
      <c r="AY19" s="68"/>
      <c r="AZ19" s="68"/>
      <c r="BA19" s="70"/>
      <c r="BB19" s="63"/>
      <c r="BC19" s="68"/>
      <c r="BD19" s="68"/>
      <c r="BE19" s="68"/>
      <c r="BF19" s="70"/>
    </row>
    <row r="20" spans="2:58" ht="18" customHeight="1">
      <c r="B20" s="412" t="s">
        <v>8</v>
      </c>
      <c r="C20" s="113" t="s">
        <v>5</v>
      </c>
      <c r="D20" s="181">
        <v>747</v>
      </c>
      <c r="E20" s="2">
        <v>4412</v>
      </c>
      <c r="F20" s="2">
        <v>0</v>
      </c>
      <c r="G20" s="3">
        <f>IF($B$4="quarter",SUM((E20/45),(F20/900)),IF($B$4="semester",SUM((E20/30),F20/900)))</f>
        <v>147.06666666666666</v>
      </c>
      <c r="H20" s="40"/>
      <c r="I20" s="178">
        <v>1033</v>
      </c>
      <c r="J20" s="177">
        <v>6584</v>
      </c>
      <c r="K20" s="177">
        <v>0</v>
      </c>
      <c r="L20" s="3">
        <f>IF($B$4="quarter",SUM((J20/45),(K20/900)),IF($B$4="semester",SUM((J20/30),K20/900)))</f>
        <v>219.46666666666667</v>
      </c>
      <c r="M20" s="38"/>
      <c r="N20" s="178">
        <v>1274</v>
      </c>
      <c r="O20" s="177">
        <v>7854</v>
      </c>
      <c r="P20" s="177">
        <v>0</v>
      </c>
      <c r="Q20" s="3">
        <f>IF($B$4="quarter",SUM((O20/45),(P20/900)),IF($B$4="semester",SUM((O20/30),P20/900)))</f>
        <v>261.8</v>
      </c>
      <c r="R20" s="38"/>
      <c r="S20" s="178">
        <v>1242</v>
      </c>
      <c r="T20" s="177">
        <v>7859.5</v>
      </c>
      <c r="U20" s="177">
        <v>0</v>
      </c>
      <c r="V20" s="3">
        <f>IF($B$4="quarter",SUM((T20/45),(U20/900)),IF($B$4="semester",SUM((T20/30),U20/900)))</f>
        <v>261.98333333333335</v>
      </c>
      <c r="W20" s="38"/>
      <c r="X20" s="178">
        <v>1291</v>
      </c>
      <c r="Y20" s="178">
        <v>7990.5</v>
      </c>
      <c r="Z20" s="178">
        <v>0</v>
      </c>
      <c r="AA20" s="3">
        <f>IF($B$4="quarter",SUM((Y20/45),(Z20/900)),IF($B$4="semester",SUM((Y20/30),Z20/900)))</f>
        <v>266.35000000000002</v>
      </c>
      <c r="AB20" s="38"/>
      <c r="AC20" s="60">
        <v>1258</v>
      </c>
      <c r="AD20" s="2">
        <v>7670</v>
      </c>
      <c r="AE20" s="205">
        <v>0</v>
      </c>
      <c r="AF20" s="3">
        <f>IF($B$4="quarter",SUM((AD20/45),(AE20/900)),IF($B$4="semester",SUM((AD20/30),AE20/900)))</f>
        <v>255.66666666666666</v>
      </c>
      <c r="AG20" s="38"/>
      <c r="AH20" s="60">
        <v>1358</v>
      </c>
      <c r="AI20" s="2">
        <v>8746</v>
      </c>
      <c r="AJ20" s="205">
        <v>0</v>
      </c>
      <c r="AK20" s="3">
        <f>IF($B$4="quarter",SUM((AI20/45),(AJ20/900)),IF($B$4="semester",SUM((AI20/30),AJ20/900)))</f>
        <v>291.53333333333336</v>
      </c>
      <c r="AL20" s="38"/>
      <c r="AM20" s="60">
        <v>1725</v>
      </c>
      <c r="AN20" s="2">
        <v>11737</v>
      </c>
      <c r="AO20" s="205">
        <v>0</v>
      </c>
      <c r="AP20" s="3">
        <f>IF($B$4="quarter",SUM((AN20/45),(AO20/900)),IF($B$4="semester",SUM((AN20/30),AO20/900)))</f>
        <v>391.23333333333335</v>
      </c>
      <c r="AQ20" s="38"/>
      <c r="AR20" s="60">
        <v>1636</v>
      </c>
      <c r="AS20" s="2">
        <v>11777.5</v>
      </c>
      <c r="AT20" s="205">
        <v>0</v>
      </c>
      <c r="AU20" s="3">
        <f>IF($B$4="quarter",SUM((AS20/45),(AT20/900)),IF($B$4="semester",SUM((AS20/30),AT20/900)))</f>
        <v>392.58333333333331</v>
      </c>
      <c r="AV20" s="38"/>
      <c r="AW20" s="60">
        <v>1841</v>
      </c>
      <c r="AX20" s="2">
        <v>13055</v>
      </c>
      <c r="AY20" s="205">
        <v>0</v>
      </c>
      <c r="AZ20" s="3">
        <f>IF($B$4="quarter",SUM((AX20/45),(AY20/900)),IF($B$4="semester",SUM((AX20/30),AY20/900)))</f>
        <v>435.16666666666669</v>
      </c>
      <c r="BA20" s="38"/>
      <c r="BB20" s="29">
        <v>2691</v>
      </c>
      <c r="BC20" s="1">
        <v>16382.5</v>
      </c>
      <c r="BD20" s="205">
        <v>0</v>
      </c>
      <c r="BE20" s="3">
        <f>IF($B$4="quarter",SUM((BC20/45),(BD20/900)),IF($B$4="semester",SUM((BC20/30),BD20/900)))</f>
        <v>546.08333333333337</v>
      </c>
      <c r="BF20" s="38"/>
    </row>
    <row r="21" spans="2:58" ht="18" customHeight="1">
      <c r="B21" s="412"/>
      <c r="C21" s="113" t="s">
        <v>6</v>
      </c>
      <c r="D21" s="181">
        <v>0</v>
      </c>
      <c r="E21" s="2">
        <v>0</v>
      </c>
      <c r="F21" s="2">
        <v>0</v>
      </c>
      <c r="G21" s="3">
        <f>IF($B$4="quarter",SUM((E21/45),(F21/900)),IF($B$4="semester",SUM((E21/30),F21/900)))</f>
        <v>0</v>
      </c>
      <c r="H21" s="40"/>
      <c r="I21" s="178">
        <v>0</v>
      </c>
      <c r="J21" s="177">
        <v>0</v>
      </c>
      <c r="K21" s="177">
        <v>0</v>
      </c>
      <c r="L21" s="3">
        <f>IF($B$4="quarter",SUM((J21/45),(K21/900)),IF($B$4="semester",SUM((J21/30),K21/900)))</f>
        <v>0</v>
      </c>
      <c r="M21" s="38"/>
      <c r="N21" s="178">
        <v>4</v>
      </c>
      <c r="O21" s="177">
        <v>27</v>
      </c>
      <c r="P21" s="177">
        <v>0</v>
      </c>
      <c r="Q21" s="3">
        <f>IF($B$4="quarter",SUM((O21/45),(P21/900)),IF($B$4="semester",SUM((O21/30),P21/900)))</f>
        <v>0.9</v>
      </c>
      <c r="R21" s="38"/>
      <c r="S21" s="178">
        <v>1</v>
      </c>
      <c r="T21" s="177">
        <v>4</v>
      </c>
      <c r="U21" s="177">
        <v>0</v>
      </c>
      <c r="V21" s="3">
        <f>IF($B$4="quarter",SUM((T21/45),(U21/900)),IF($B$4="semester",SUM((T21/30),U21/900)))</f>
        <v>0.13333333333333333</v>
      </c>
      <c r="W21" s="38"/>
      <c r="X21" s="178">
        <v>3</v>
      </c>
      <c r="Y21" s="178">
        <v>10</v>
      </c>
      <c r="Z21" s="178">
        <v>0</v>
      </c>
      <c r="AA21" s="3">
        <f>IF($B$4="quarter",SUM((Y21/45),(Z21/900)),IF($B$4="semester",SUM((Y21/30),Z21/900)))</f>
        <v>0.33333333333333331</v>
      </c>
      <c r="AB21" s="38"/>
      <c r="AC21" s="60">
        <v>2</v>
      </c>
      <c r="AD21" s="2">
        <v>14</v>
      </c>
      <c r="AE21" s="205">
        <v>0</v>
      </c>
      <c r="AF21" s="3">
        <f>IF($B$4="quarter",SUM((AD21/45),(AE21/900)),IF($B$4="semester",SUM((AD21/30),AE21/900)))</f>
        <v>0.46666666666666667</v>
      </c>
      <c r="AG21" s="38"/>
      <c r="AH21" s="60">
        <v>1</v>
      </c>
      <c r="AI21" s="2">
        <v>6</v>
      </c>
      <c r="AJ21" s="205">
        <v>0</v>
      </c>
      <c r="AK21" s="3">
        <f>IF($B$4="quarter",SUM((AI21/45),(AJ21/900)),IF($B$4="semester",SUM((AI21/30),AJ21/900)))</f>
        <v>0.2</v>
      </c>
      <c r="AL21" s="38"/>
      <c r="AM21" s="60">
        <v>2</v>
      </c>
      <c r="AN21" s="2">
        <v>6</v>
      </c>
      <c r="AO21" s="205">
        <v>0</v>
      </c>
      <c r="AP21" s="3">
        <f>IF($B$4="quarter",SUM((AN21/45),(AO21/900)),IF($B$4="semester",SUM((AN21/30),AO21/900)))</f>
        <v>0.2</v>
      </c>
      <c r="AQ21" s="38"/>
      <c r="AR21" s="60">
        <v>5</v>
      </c>
      <c r="AS21" s="2">
        <v>31</v>
      </c>
      <c r="AT21" s="205">
        <v>0</v>
      </c>
      <c r="AU21" s="3">
        <f>IF($B$4="quarter",SUM((AS21/45),(AT21/900)),IF($B$4="semester",SUM((AS21/30),AT21/900)))</f>
        <v>1.0333333333333334</v>
      </c>
      <c r="AV21" s="38"/>
      <c r="AW21" s="60">
        <v>13</v>
      </c>
      <c r="AX21" s="2">
        <v>50</v>
      </c>
      <c r="AY21" s="205">
        <v>0</v>
      </c>
      <c r="AZ21" s="3">
        <f>IF($B$4="quarter",SUM((AX21/45),(AY21/900)),IF($B$4="semester",SUM((AX21/30),AY21/900)))</f>
        <v>1.6666666666666667</v>
      </c>
      <c r="BA21" s="38"/>
      <c r="BB21" s="29">
        <v>6</v>
      </c>
      <c r="BC21" s="1">
        <v>27</v>
      </c>
      <c r="BD21" s="205">
        <v>0</v>
      </c>
      <c r="BE21" s="3">
        <f>IF($B$4="quarter",SUM((BC21/45),(BD21/900)),IF($B$4="semester",SUM((BC21/30),BD21/900)))</f>
        <v>0.9</v>
      </c>
      <c r="BF21" s="38"/>
    </row>
    <row r="22" spans="2:58" ht="18" customHeight="1">
      <c r="B22" s="412"/>
      <c r="C22" s="114" t="s">
        <v>36</v>
      </c>
      <c r="D22" s="67">
        <f>SUM(D20:D21)</f>
        <v>747</v>
      </c>
      <c r="E22" s="3">
        <f>SUM(E20:E21)</f>
        <v>4412</v>
      </c>
      <c r="F22" s="3">
        <f>SUM(F20:F21)</f>
        <v>0</v>
      </c>
      <c r="G22" s="3">
        <f>SUM(G20:G21)</f>
        <v>147.06666666666666</v>
      </c>
      <c r="H22" s="40"/>
      <c r="I22" s="31">
        <f>SUM(I20:I21)</f>
        <v>1033</v>
      </c>
      <c r="J22" s="3">
        <f>SUM(J20:J21)</f>
        <v>6584</v>
      </c>
      <c r="K22" s="3">
        <f>SUM(K20:K21)</f>
        <v>0</v>
      </c>
      <c r="L22" s="3">
        <f>SUM(L20:L21)</f>
        <v>219.46666666666667</v>
      </c>
      <c r="M22" s="38"/>
      <c r="N22" s="31">
        <f>SUM(N20:N21)</f>
        <v>1278</v>
      </c>
      <c r="O22" s="3">
        <f>SUM(O20:O21)</f>
        <v>7881</v>
      </c>
      <c r="P22" s="3">
        <f>SUM(P20:P21)</f>
        <v>0</v>
      </c>
      <c r="Q22" s="3">
        <f>SUM(Q20:Q21)</f>
        <v>262.7</v>
      </c>
      <c r="R22" s="38"/>
      <c r="S22" s="31">
        <f>SUM(S20:S21)</f>
        <v>1243</v>
      </c>
      <c r="T22" s="3">
        <f>SUM(T20:T21)</f>
        <v>7863.5</v>
      </c>
      <c r="U22" s="3">
        <f>SUM(U20:U21)</f>
        <v>0</v>
      </c>
      <c r="V22" s="3">
        <f>SUM(V20:V21)</f>
        <v>262.11666666666667</v>
      </c>
      <c r="W22" s="38"/>
      <c r="X22" s="31">
        <f>SUM(X20:X21)</f>
        <v>1294</v>
      </c>
      <c r="Y22" s="3">
        <f>SUM(Y20:Y21)</f>
        <v>8000.5</v>
      </c>
      <c r="Z22" s="3">
        <f>SUM(Z20:Z21)</f>
        <v>0</v>
      </c>
      <c r="AA22" s="3">
        <f>SUM(AA20:AA21)</f>
        <v>266.68333333333334</v>
      </c>
      <c r="AB22" s="38"/>
      <c r="AC22" s="31">
        <f>SUM(AC20:AC21)</f>
        <v>1260</v>
      </c>
      <c r="AD22" s="3">
        <f>SUM(AD20:AD21)</f>
        <v>7684</v>
      </c>
      <c r="AE22" s="205">
        <f>SUM(AE20:AE21)</f>
        <v>0</v>
      </c>
      <c r="AF22" s="3">
        <f>SUM(AF20:AF21)</f>
        <v>256.13333333333333</v>
      </c>
      <c r="AG22" s="38"/>
      <c r="AH22" s="31">
        <f>SUM(AH20:AH21)</f>
        <v>1359</v>
      </c>
      <c r="AI22" s="3">
        <f>SUM(AI20:AI21)</f>
        <v>8752</v>
      </c>
      <c r="AJ22" s="205">
        <f>SUM(AJ20:AJ21)</f>
        <v>0</v>
      </c>
      <c r="AK22" s="3">
        <f>SUM(AK20:AK21)</f>
        <v>291.73333333333335</v>
      </c>
      <c r="AL22" s="38"/>
      <c r="AM22" s="31">
        <f>SUM(AM20:AM21)</f>
        <v>1727</v>
      </c>
      <c r="AN22" s="3">
        <f>SUM(AN20:AN21)</f>
        <v>11743</v>
      </c>
      <c r="AO22" s="205">
        <f>SUM(AO20:AO21)</f>
        <v>0</v>
      </c>
      <c r="AP22" s="3">
        <f>SUM(AP20:AP21)</f>
        <v>391.43333333333334</v>
      </c>
      <c r="AQ22" s="38"/>
      <c r="AR22" s="31">
        <f>SUM(AR20:AR21)</f>
        <v>1641</v>
      </c>
      <c r="AS22" s="3">
        <f>SUM(AS20:AS21)</f>
        <v>11808.5</v>
      </c>
      <c r="AT22" s="205">
        <f>SUM(AT20:AT21)</f>
        <v>0</v>
      </c>
      <c r="AU22" s="3">
        <f>SUM(AU20:AU21)</f>
        <v>393.61666666666667</v>
      </c>
      <c r="AV22" s="38"/>
      <c r="AW22" s="31">
        <f>SUM(AW20:AW21)</f>
        <v>1854</v>
      </c>
      <c r="AX22" s="3">
        <f>SUM(AX20:AX21)</f>
        <v>13105</v>
      </c>
      <c r="AY22" s="205">
        <f>SUM(AY20:AY21)</f>
        <v>0</v>
      </c>
      <c r="AZ22" s="3">
        <f>SUM(AZ20:AZ21)</f>
        <v>436.83333333333337</v>
      </c>
      <c r="BA22" s="38"/>
      <c r="BB22" s="31">
        <f>SUM(BB20:BB21)</f>
        <v>2697</v>
      </c>
      <c r="BC22" s="3">
        <f>SUM(BC20:BC21)</f>
        <v>16409.5</v>
      </c>
      <c r="BD22" s="205">
        <f>SUM(BD20:BD21)</f>
        <v>0</v>
      </c>
      <c r="BE22" s="3">
        <f>SUM(BE20:BE21)</f>
        <v>546.98333333333335</v>
      </c>
      <c r="BF22" s="38"/>
    </row>
    <row r="23" spans="2:58">
      <c r="B23" s="11"/>
      <c r="C23" s="116"/>
      <c r="D23" s="4"/>
      <c r="E23" s="5"/>
      <c r="F23" s="5"/>
      <c r="G23" s="5"/>
      <c r="I23" s="30"/>
      <c r="J23" s="5"/>
      <c r="K23" s="5"/>
      <c r="L23" s="5"/>
      <c r="M23" s="35"/>
      <c r="N23" s="30"/>
      <c r="O23" s="5"/>
      <c r="P23" s="5"/>
      <c r="Q23" s="5"/>
      <c r="R23" s="35"/>
      <c r="S23" s="30"/>
      <c r="T23" s="5"/>
      <c r="U23" s="5"/>
      <c r="V23" s="5"/>
      <c r="W23" s="35"/>
      <c r="X23" s="30"/>
      <c r="Y23" s="5"/>
      <c r="Z23" s="5"/>
      <c r="AA23" s="5"/>
      <c r="AB23" s="35"/>
      <c r="AC23" s="30"/>
      <c r="AD23" s="5"/>
      <c r="AE23" s="5"/>
      <c r="AF23" s="5"/>
      <c r="AG23" s="35"/>
      <c r="AH23" s="30"/>
      <c r="AI23" s="5"/>
      <c r="AJ23" s="5"/>
      <c r="AK23" s="5"/>
      <c r="AL23" s="35"/>
      <c r="AM23" s="30"/>
      <c r="AN23" s="5"/>
      <c r="AO23" s="5"/>
      <c r="AP23" s="5"/>
      <c r="AQ23" s="35"/>
      <c r="AR23" s="30"/>
      <c r="AS23" s="5"/>
      <c r="AT23" s="5"/>
      <c r="AU23" s="5"/>
      <c r="AV23" s="35"/>
      <c r="AW23" s="30"/>
      <c r="AX23" s="5"/>
      <c r="AY23" s="5"/>
      <c r="AZ23" s="5"/>
      <c r="BA23" s="35"/>
      <c r="BB23" s="30"/>
      <c r="BC23" s="5"/>
      <c r="BD23" s="5"/>
      <c r="BE23" s="5"/>
      <c r="BF23" s="35"/>
    </row>
    <row r="24" spans="2:58" ht="11.25" customHeight="1">
      <c r="B24" s="71"/>
      <c r="C24" s="71"/>
      <c r="D24" s="72"/>
      <c r="E24" s="71"/>
      <c r="F24" s="71"/>
      <c r="G24" s="71"/>
      <c r="H24" s="73"/>
      <c r="I24" s="72"/>
      <c r="J24" s="71"/>
      <c r="K24" s="71"/>
      <c r="L24" s="71"/>
      <c r="M24" s="73"/>
      <c r="N24" s="72"/>
      <c r="O24" s="71"/>
      <c r="P24" s="71"/>
      <c r="Q24" s="71"/>
      <c r="R24" s="73"/>
      <c r="S24" s="72"/>
      <c r="T24" s="71"/>
      <c r="U24" s="71"/>
      <c r="V24" s="71"/>
      <c r="W24" s="73"/>
      <c r="X24" s="72"/>
      <c r="Y24" s="71"/>
      <c r="Z24" s="71"/>
      <c r="AA24" s="71"/>
      <c r="AB24" s="73"/>
      <c r="AC24" s="72"/>
      <c r="AD24" s="71"/>
      <c r="AE24" s="71"/>
      <c r="AF24" s="71"/>
      <c r="AG24" s="73"/>
      <c r="AH24" s="72"/>
      <c r="AI24" s="71"/>
      <c r="AJ24" s="71"/>
      <c r="AK24" s="71"/>
      <c r="AL24" s="73"/>
      <c r="AM24" s="72"/>
      <c r="AN24" s="71"/>
      <c r="AO24" s="71"/>
      <c r="AP24" s="71"/>
      <c r="AQ24" s="73"/>
      <c r="AR24" s="72"/>
      <c r="AS24" s="71"/>
      <c r="AT24" s="71"/>
      <c r="AU24" s="71"/>
      <c r="AV24" s="73"/>
      <c r="AW24" s="72"/>
      <c r="AX24" s="71"/>
      <c r="AY24" s="71"/>
      <c r="AZ24" s="71"/>
      <c r="BA24" s="73"/>
      <c r="BB24" s="72"/>
      <c r="BC24" s="71"/>
      <c r="BD24" s="71"/>
      <c r="BE24" s="71"/>
      <c r="BF24" s="73"/>
    </row>
    <row r="25" spans="2:58">
      <c r="B25" s="7"/>
      <c r="C25" s="8"/>
      <c r="D25" s="5"/>
      <c r="E25" s="5"/>
      <c r="F25" s="5"/>
      <c r="G25" s="5"/>
      <c r="I25" s="5"/>
      <c r="J25" s="5"/>
      <c r="K25" s="5"/>
      <c r="L25" s="5"/>
      <c r="N25" s="5"/>
      <c r="O25" s="5"/>
      <c r="P25" s="5"/>
      <c r="Q25" s="5"/>
      <c r="S25" s="6"/>
      <c r="T25" s="6"/>
      <c r="U25" s="6"/>
      <c r="V25" s="5"/>
      <c r="X25" s="6"/>
      <c r="Y25" s="6"/>
      <c r="Z25" s="6"/>
      <c r="AA25" s="5"/>
      <c r="AC25" s="6"/>
      <c r="AD25" s="6"/>
      <c r="AE25" s="6"/>
      <c r="AF25" s="5"/>
      <c r="AH25" s="6"/>
      <c r="AI25" s="6"/>
      <c r="AJ25" s="6"/>
      <c r="AK25" s="5"/>
      <c r="AM25" s="6"/>
      <c r="AN25" s="6"/>
      <c r="AO25" s="6"/>
      <c r="AP25" s="5"/>
      <c r="AR25" s="6"/>
      <c r="AS25" s="6"/>
      <c r="AT25" s="6"/>
      <c r="AU25" s="5"/>
      <c r="AW25" s="6"/>
      <c r="AX25" s="6"/>
      <c r="AY25" s="6"/>
      <c r="AZ25" s="5"/>
      <c r="BB25" s="6"/>
      <c r="BC25" s="6"/>
      <c r="BD25" s="6"/>
      <c r="BE25" s="5"/>
    </row>
    <row r="26" spans="2:58" ht="36.75" customHeight="1">
      <c r="B26" s="61" t="s">
        <v>26</v>
      </c>
      <c r="C26" s="62"/>
      <c r="D26" s="63"/>
      <c r="E26" s="64"/>
      <c r="F26" s="64"/>
      <c r="G26" s="64"/>
      <c r="H26" s="65"/>
      <c r="I26" s="63"/>
      <c r="J26" s="64"/>
      <c r="K26" s="64"/>
      <c r="L26" s="64"/>
      <c r="M26" s="65"/>
      <c r="N26" s="63"/>
      <c r="O26" s="64"/>
      <c r="P26" s="64"/>
      <c r="Q26" s="64"/>
      <c r="R26" s="65"/>
      <c r="S26" s="63"/>
      <c r="T26" s="64"/>
      <c r="U26" s="64"/>
      <c r="V26" s="64"/>
      <c r="W26" s="65"/>
      <c r="X26" s="63"/>
      <c r="Y26" s="64"/>
      <c r="Z26" s="64"/>
      <c r="AA26" s="64"/>
      <c r="AB26" s="65"/>
      <c r="AC26" s="63"/>
      <c r="AD26" s="64"/>
      <c r="AE26" s="64"/>
      <c r="AF26" s="64"/>
      <c r="AG26" s="65"/>
      <c r="AH26" s="63"/>
      <c r="AI26" s="64"/>
      <c r="AJ26" s="64"/>
      <c r="AK26" s="64"/>
      <c r="AL26" s="66"/>
      <c r="AM26" s="63"/>
      <c r="AN26" s="64"/>
      <c r="AO26" s="64"/>
      <c r="AP26" s="64"/>
      <c r="AQ26" s="66"/>
      <c r="AR26" s="63"/>
      <c r="AS26" s="64"/>
      <c r="AT26" s="64"/>
      <c r="AU26" s="64"/>
      <c r="AV26" s="66"/>
      <c r="AW26" s="63"/>
      <c r="AX26" s="64"/>
      <c r="AY26" s="64"/>
      <c r="AZ26" s="64"/>
      <c r="BA26" s="66"/>
      <c r="BB26" s="63"/>
      <c r="BC26" s="64"/>
      <c r="BD26" s="64"/>
      <c r="BE26" s="64"/>
      <c r="BF26" s="66"/>
    </row>
    <row r="27" spans="2:58" ht="18" customHeight="1">
      <c r="B27" s="403" t="s">
        <v>4</v>
      </c>
      <c r="C27" s="113" t="s">
        <v>5</v>
      </c>
      <c r="D27" s="60">
        <v>2145</v>
      </c>
      <c r="E27" s="2">
        <v>0</v>
      </c>
      <c r="F27" s="177">
        <v>12243.5</v>
      </c>
      <c r="G27" s="3">
        <f>IF($B$4="quarter",SUM((E27/45),(F27/900)),IF($B$4="semester",SUM((E27/30),F27/900)))</f>
        <v>13.603888888888889</v>
      </c>
      <c r="H27" s="40"/>
      <c r="I27" s="178">
        <v>1692</v>
      </c>
      <c r="J27" s="177">
        <v>0</v>
      </c>
      <c r="K27" s="177">
        <v>17308.5</v>
      </c>
      <c r="L27" s="3">
        <f>IF($B$4="quarter",SUM((J27/45),(K27/900)),IF($B$4="semester",SUM((J27/30),K27/900)))</f>
        <v>19.231666666666666</v>
      </c>
      <c r="M27" s="40"/>
      <c r="N27" s="178">
        <v>3098</v>
      </c>
      <c r="O27" s="177">
        <v>0</v>
      </c>
      <c r="P27" s="177">
        <v>30661</v>
      </c>
      <c r="Q27" s="3">
        <f>IF($B$4="quarter",SUM((O27/45),(P27/900)),IF($B$4="semester",SUM((O27/30),P27/900)))</f>
        <v>34.067777777777778</v>
      </c>
      <c r="R27" s="40"/>
      <c r="S27" s="178">
        <v>2536</v>
      </c>
      <c r="T27" s="177">
        <v>0</v>
      </c>
      <c r="U27" s="177">
        <v>19898</v>
      </c>
      <c r="V27" s="3">
        <f>IF($B$4="quarter",SUM((T27/45),(U27/900)),IF($B$4="semester",SUM((T27/30),U27/900)))</f>
        <v>22.108888888888888</v>
      </c>
      <c r="W27" s="40"/>
      <c r="X27" s="178">
        <v>2750</v>
      </c>
      <c r="Y27" s="178">
        <v>0</v>
      </c>
      <c r="Z27" s="178">
        <v>21387.5</v>
      </c>
      <c r="AA27" s="3">
        <f>IF($B$4="quarter",SUM((Y27/45),(Z27/900)),IF($B$4="semester",SUM((Y27/30),Z27/900)))</f>
        <v>23.763888888888889</v>
      </c>
      <c r="AB27" s="40"/>
      <c r="AC27" s="60">
        <v>2444</v>
      </c>
      <c r="AD27" s="2">
        <v>0</v>
      </c>
      <c r="AE27" s="2">
        <v>21622</v>
      </c>
      <c r="AF27" s="3">
        <f>IF($B$4="quarter",SUM((AD27/45),(AE27/900)),IF($B$4="semester",SUM((AD27/30),AE27/900)))</f>
        <v>24.024444444444445</v>
      </c>
      <c r="AG27" s="40"/>
      <c r="AH27" s="60">
        <v>2916</v>
      </c>
      <c r="AI27" s="2">
        <v>0</v>
      </c>
      <c r="AJ27" s="2">
        <v>24486.5</v>
      </c>
      <c r="AK27" s="3">
        <f>IF($B$4="quarter",SUM((AI27/45),(AJ27/900)),IF($B$4="semester",SUM((AI27/30),AJ27/900)))</f>
        <v>27.207222222222221</v>
      </c>
      <c r="AL27" s="40"/>
      <c r="AM27" s="60">
        <v>1890</v>
      </c>
      <c r="AN27" s="2">
        <v>0</v>
      </c>
      <c r="AO27" s="2">
        <v>16646</v>
      </c>
      <c r="AP27" s="3">
        <f>IF($B$4="quarter",SUM((AN27/45),(AO27/900)),IF($B$4="semester",SUM((AN27/30),AO27/900)))</f>
        <v>18.495555555555555</v>
      </c>
      <c r="AQ27" s="40"/>
      <c r="AR27" s="60">
        <v>3057</v>
      </c>
      <c r="AS27" s="2">
        <v>0</v>
      </c>
      <c r="AT27" s="2">
        <v>27751</v>
      </c>
      <c r="AU27" s="3">
        <f>IF($B$4="quarter",SUM((AS27/45),(AT27/900)),IF($B$4="semester",SUM((AS27/30),AT27/900)))</f>
        <v>30.834444444444443</v>
      </c>
      <c r="AV27" s="40"/>
      <c r="AW27" s="60">
        <v>2996</v>
      </c>
      <c r="AX27" s="2">
        <v>0</v>
      </c>
      <c r="AY27" s="2">
        <v>27878</v>
      </c>
      <c r="AZ27" s="3">
        <f>IF($B$4="quarter",SUM((AX27/45),(AY27/900)),IF($B$4="semester",SUM((AX27/30),AY27/900)))</f>
        <v>30.975555555555555</v>
      </c>
      <c r="BA27" s="40"/>
      <c r="BB27" s="29">
        <v>2741</v>
      </c>
      <c r="BC27" s="1">
        <v>0</v>
      </c>
      <c r="BD27" s="1">
        <v>29439.5</v>
      </c>
      <c r="BE27" s="3">
        <f>IF($B$4="quarter",SUM((BC27/45),(BD27/900)),IF($B$4="semester",SUM((BC27/30),BD27/900)))</f>
        <v>32.710555555555558</v>
      </c>
      <c r="BF27" s="40"/>
    </row>
    <row r="28" spans="2:58" ht="18" customHeight="1">
      <c r="B28" s="404"/>
      <c r="C28" s="32" t="s">
        <v>6</v>
      </c>
      <c r="D28" s="60">
        <v>0</v>
      </c>
      <c r="E28" s="2">
        <v>0</v>
      </c>
      <c r="F28" s="2">
        <v>0</v>
      </c>
      <c r="G28" s="3">
        <f>IF($B$4="quarter",SUM((E28/45),(F28/900)),IF($B$4="semester",SUM((E28/30),F28/900)))</f>
        <v>0</v>
      </c>
      <c r="H28" s="40"/>
      <c r="I28" s="178">
        <v>0</v>
      </c>
      <c r="J28" s="177">
        <v>0</v>
      </c>
      <c r="K28" s="177">
        <v>0</v>
      </c>
      <c r="L28" s="3">
        <f>IF($B$4="quarter",SUM((J28/45),(K28/900)),IF($B$4="semester",SUM((J28/30),K28/900)))</f>
        <v>0</v>
      </c>
      <c r="M28" s="40"/>
      <c r="N28" s="178">
        <v>0</v>
      </c>
      <c r="O28" s="177">
        <v>0</v>
      </c>
      <c r="P28" s="177">
        <v>0</v>
      </c>
      <c r="Q28" s="3">
        <f>IF($B$4="quarter",SUM((O28/45),(P28/900)),IF($B$4="semester",SUM((O28/30),P28/900)))</f>
        <v>0</v>
      </c>
      <c r="R28" s="40"/>
      <c r="S28" s="178">
        <v>0</v>
      </c>
      <c r="T28" s="177">
        <v>0</v>
      </c>
      <c r="U28" s="177">
        <v>0</v>
      </c>
      <c r="V28" s="3">
        <f>IF($B$4="quarter",SUM((T28/45),(U28/900)),IF($B$4="semester",SUM((T28/30),U28/900)))</f>
        <v>0</v>
      </c>
      <c r="W28" s="40"/>
      <c r="X28" s="178">
        <v>0</v>
      </c>
      <c r="Y28" s="178">
        <v>0</v>
      </c>
      <c r="Z28" s="178">
        <v>0</v>
      </c>
      <c r="AA28" s="3">
        <f>IF($B$4="quarter",SUM((Y28/45),(Z28/900)),IF($B$4="semester",SUM((Y28/30),Z28/900)))</f>
        <v>0</v>
      </c>
      <c r="AB28" s="40"/>
      <c r="AC28" s="60">
        <v>0</v>
      </c>
      <c r="AD28" s="2">
        <v>0</v>
      </c>
      <c r="AE28" s="2">
        <v>0</v>
      </c>
      <c r="AF28" s="3">
        <f>IF($B$4="quarter",SUM((AD28/45),(AE28/900)),IF($B$4="semester",SUM((AD28/30),AE28/900)))</f>
        <v>0</v>
      </c>
      <c r="AG28" s="40"/>
      <c r="AH28" s="60">
        <v>0</v>
      </c>
      <c r="AI28" s="2">
        <v>0</v>
      </c>
      <c r="AJ28" s="2">
        <v>0</v>
      </c>
      <c r="AK28" s="3">
        <f>IF($B$4="quarter",SUM((AI28/45),(AJ28/900)),IF($B$4="semester",SUM((AI28/30),AJ28/900)))</f>
        <v>0</v>
      </c>
      <c r="AL28" s="40"/>
      <c r="AM28" s="60">
        <v>0</v>
      </c>
      <c r="AN28" s="2">
        <v>0</v>
      </c>
      <c r="AO28" s="2">
        <v>0</v>
      </c>
      <c r="AP28" s="3">
        <f>IF($B$4="quarter",SUM((AN28/45),(AO28/900)),IF($B$4="semester",SUM((AN28/30),AO28/900)))</f>
        <v>0</v>
      </c>
      <c r="AQ28" s="40"/>
      <c r="AR28" s="60">
        <v>0</v>
      </c>
      <c r="AS28" s="2">
        <v>0</v>
      </c>
      <c r="AT28" s="2">
        <v>0</v>
      </c>
      <c r="AU28" s="3">
        <f>IF($B$4="quarter",SUM((AS28/45),(AT28/900)),IF($B$4="semester",SUM((AS28/30),AT28/900)))</f>
        <v>0</v>
      </c>
      <c r="AV28" s="40"/>
      <c r="AW28" s="60">
        <v>0</v>
      </c>
      <c r="AX28" s="2">
        <v>0</v>
      </c>
      <c r="AY28" s="2">
        <v>0</v>
      </c>
      <c r="AZ28" s="3">
        <f>IF($B$4="quarter",SUM((AX28/45),(AY28/900)),IF($B$4="semester",SUM((AX28/30),AY28/900)))</f>
        <v>0</v>
      </c>
      <c r="BA28" s="40"/>
      <c r="BB28" s="29">
        <v>13</v>
      </c>
      <c r="BC28" s="1">
        <v>0</v>
      </c>
      <c r="BD28" s="1">
        <v>352</v>
      </c>
      <c r="BE28" s="3">
        <f>IF($B$4="quarter",SUM((BC28/45),(BD28/900)),IF($B$4="semester",SUM((BC28/30),BD28/900)))</f>
        <v>0.39111111111111113</v>
      </c>
      <c r="BF28" s="40"/>
    </row>
    <row r="29" spans="2:58" ht="18" customHeight="1">
      <c r="B29" s="405"/>
      <c r="C29" s="33" t="s">
        <v>36</v>
      </c>
      <c r="D29" s="31">
        <f t="shared" ref="D29:AF29" si="3">SUM(D27:D28)</f>
        <v>2145</v>
      </c>
      <c r="E29" s="3">
        <f t="shared" si="3"/>
        <v>0</v>
      </c>
      <c r="F29" s="3">
        <f t="shared" si="3"/>
        <v>12243.5</v>
      </c>
      <c r="G29" s="3">
        <f t="shared" si="3"/>
        <v>13.603888888888889</v>
      </c>
      <c r="H29" s="40"/>
      <c r="I29" s="31">
        <f t="shared" si="3"/>
        <v>1692</v>
      </c>
      <c r="J29" s="3">
        <f t="shared" si="3"/>
        <v>0</v>
      </c>
      <c r="K29" s="3">
        <f t="shared" si="3"/>
        <v>17308.5</v>
      </c>
      <c r="L29" s="3">
        <f t="shared" si="3"/>
        <v>19.231666666666666</v>
      </c>
      <c r="M29" s="40"/>
      <c r="N29" s="31">
        <f t="shared" si="3"/>
        <v>3098</v>
      </c>
      <c r="O29" s="3">
        <f t="shared" si="3"/>
        <v>0</v>
      </c>
      <c r="P29" s="3">
        <f t="shared" si="3"/>
        <v>30661</v>
      </c>
      <c r="Q29" s="3">
        <f t="shared" si="3"/>
        <v>34.067777777777778</v>
      </c>
      <c r="R29" s="40"/>
      <c r="S29" s="31">
        <f t="shared" si="3"/>
        <v>2536</v>
      </c>
      <c r="T29" s="3">
        <f t="shared" si="3"/>
        <v>0</v>
      </c>
      <c r="U29" s="3">
        <f t="shared" si="3"/>
        <v>19898</v>
      </c>
      <c r="V29" s="3">
        <f t="shared" si="3"/>
        <v>22.108888888888888</v>
      </c>
      <c r="W29" s="40"/>
      <c r="X29" s="31">
        <f t="shared" si="3"/>
        <v>2750</v>
      </c>
      <c r="Y29" s="3">
        <f t="shared" si="3"/>
        <v>0</v>
      </c>
      <c r="Z29" s="3">
        <f t="shared" si="3"/>
        <v>21387.5</v>
      </c>
      <c r="AA29" s="3">
        <f t="shared" si="3"/>
        <v>23.763888888888889</v>
      </c>
      <c r="AB29" s="40"/>
      <c r="AC29" s="31">
        <f t="shared" si="3"/>
        <v>2444</v>
      </c>
      <c r="AD29" s="3">
        <f t="shared" si="3"/>
        <v>0</v>
      </c>
      <c r="AE29" s="3">
        <f t="shared" si="3"/>
        <v>21622</v>
      </c>
      <c r="AF29" s="76">
        <f t="shared" si="3"/>
        <v>24.024444444444445</v>
      </c>
      <c r="AG29" s="40"/>
      <c r="AH29" s="31">
        <f t="shared" ref="AH29:AP29" si="4">SUM(AH27:AH28)</f>
        <v>2916</v>
      </c>
      <c r="AI29" s="3">
        <f t="shared" si="4"/>
        <v>0</v>
      </c>
      <c r="AJ29" s="3">
        <f t="shared" si="4"/>
        <v>24486.5</v>
      </c>
      <c r="AK29" s="3">
        <f t="shared" si="4"/>
        <v>27.207222222222221</v>
      </c>
      <c r="AL29" s="40"/>
      <c r="AM29" s="31">
        <f t="shared" si="4"/>
        <v>1890</v>
      </c>
      <c r="AN29" s="3">
        <f t="shared" si="4"/>
        <v>0</v>
      </c>
      <c r="AO29" s="3">
        <f t="shared" si="4"/>
        <v>16646</v>
      </c>
      <c r="AP29" s="3">
        <f t="shared" si="4"/>
        <v>18.495555555555555</v>
      </c>
      <c r="AQ29" s="40"/>
      <c r="AR29" s="31">
        <f t="shared" ref="AR29:BE29" si="5">SUM(AR27:AR28)</f>
        <v>3057</v>
      </c>
      <c r="AS29" s="3">
        <f t="shared" si="5"/>
        <v>0</v>
      </c>
      <c r="AT29" s="3">
        <f t="shared" si="5"/>
        <v>27751</v>
      </c>
      <c r="AU29" s="3">
        <f t="shared" si="5"/>
        <v>30.834444444444443</v>
      </c>
      <c r="AV29" s="40"/>
      <c r="AW29" s="31">
        <f t="shared" si="5"/>
        <v>2996</v>
      </c>
      <c r="AX29" s="3">
        <f t="shared" si="5"/>
        <v>0</v>
      </c>
      <c r="AY29" s="3">
        <f t="shared" si="5"/>
        <v>27878</v>
      </c>
      <c r="AZ29" s="3">
        <f t="shared" si="5"/>
        <v>30.975555555555555</v>
      </c>
      <c r="BA29" s="40"/>
      <c r="BB29" s="31">
        <f t="shared" si="5"/>
        <v>2754</v>
      </c>
      <c r="BC29" s="3">
        <f t="shared" si="5"/>
        <v>0</v>
      </c>
      <c r="BD29" s="3">
        <f t="shared" si="5"/>
        <v>29791.5</v>
      </c>
      <c r="BE29" s="3">
        <f t="shared" si="5"/>
        <v>33.101666666666667</v>
      </c>
      <c r="BF29" s="40"/>
    </row>
    <row r="30" spans="2:58" ht="15">
      <c r="AM30" s="74"/>
      <c r="AR30" s="74"/>
      <c r="AW30" s="74"/>
      <c r="BB30" s="74"/>
    </row>
    <row r="31" spans="2:58" s="74" customFormat="1" ht="15">
      <c r="D31" s="74" t="str">
        <f>D2&amp;" COMMENTS"</f>
        <v>2012-13 COMMENTS</v>
      </c>
      <c r="H31" s="75"/>
      <c r="I31" s="74" t="str">
        <f>I2&amp;" COMMENTS"</f>
        <v>2013-14 COMMENTS</v>
      </c>
      <c r="M31" s="75"/>
      <c r="N31" s="74" t="str">
        <f>N2&amp;" COMMENTS"</f>
        <v>2014-15 COMMENTS</v>
      </c>
      <c r="R31" s="75"/>
      <c r="S31" s="74" t="str">
        <f>S2&amp;" COMMENTS"</f>
        <v>2015-16 COMMENTS</v>
      </c>
      <c r="W31" s="75"/>
      <c r="X31" s="74" t="str">
        <f>X2&amp;" COMMENTS"</f>
        <v>2016-17 COMMENTS</v>
      </c>
      <c r="AB31" s="75"/>
      <c r="AC31" s="74" t="str">
        <f>AC2&amp;" COMMENTS"</f>
        <v>2017-18 COMMENTS</v>
      </c>
      <c r="AG31" s="75"/>
      <c r="AH31" s="74" t="str">
        <f>AH2&amp;" COMMENTS"</f>
        <v>2018-19 COMMENTS</v>
      </c>
      <c r="AL31" s="75"/>
      <c r="AM31" s="74" t="str">
        <f>AM2&amp;" COMMENTS"</f>
        <v>2019-20 COMMENTS</v>
      </c>
      <c r="AQ31" s="75"/>
      <c r="AR31" s="74" t="str">
        <f>AR2&amp;" COMMENTS"</f>
        <v>2020-21 COMMENTS</v>
      </c>
      <c r="AV31" s="75"/>
      <c r="AW31" s="74" t="str">
        <f>AW2&amp;" COMMENTS"</f>
        <v>2021-22 COMMENTS</v>
      </c>
      <c r="BA31" s="75"/>
      <c r="BB31" s="74" t="str">
        <f>BB2&amp;" COMMENTS"</f>
        <v>2022-23 COMMENTS</v>
      </c>
      <c r="BF31" s="75"/>
    </row>
    <row r="32" spans="2:58" ht="262.5" customHeight="1">
      <c r="D32" s="406"/>
      <c r="E32" s="407"/>
      <c r="F32" s="407"/>
      <c r="G32" s="407"/>
      <c r="H32" s="408"/>
      <c r="I32" s="388"/>
      <c r="J32" s="389"/>
      <c r="K32" s="389"/>
      <c r="L32" s="389"/>
      <c r="M32" s="390"/>
      <c r="N32" s="388" t="s">
        <v>114</v>
      </c>
      <c r="O32" s="389"/>
      <c r="P32" s="389"/>
      <c r="Q32" s="389"/>
      <c r="R32" s="390"/>
      <c r="S32" s="388" t="s">
        <v>120</v>
      </c>
      <c r="T32" s="389"/>
      <c r="U32" s="389"/>
      <c r="V32" s="389"/>
      <c r="W32" s="390"/>
      <c r="X32" s="388" t="s">
        <v>119</v>
      </c>
      <c r="Y32" s="389"/>
      <c r="Z32" s="389"/>
      <c r="AA32" s="389"/>
      <c r="AB32" s="390"/>
      <c r="AC32" s="388" t="s">
        <v>119</v>
      </c>
      <c r="AD32" s="389"/>
      <c r="AE32" s="389"/>
      <c r="AF32" s="389"/>
      <c r="AG32" s="390"/>
      <c r="AH32" s="388" t="s">
        <v>119</v>
      </c>
      <c r="AI32" s="389"/>
      <c r="AJ32" s="389"/>
      <c r="AK32" s="389"/>
      <c r="AL32" s="390"/>
      <c r="AM32" s="388" t="s">
        <v>119</v>
      </c>
      <c r="AN32" s="389"/>
      <c r="AO32" s="389"/>
      <c r="AP32" s="389"/>
      <c r="AQ32" s="390"/>
      <c r="AR32" s="388" t="s">
        <v>128</v>
      </c>
      <c r="AS32" s="389"/>
      <c r="AT32" s="389"/>
      <c r="AU32" s="389"/>
      <c r="AV32" s="390"/>
      <c r="AW32" s="388" t="s">
        <v>252</v>
      </c>
      <c r="AX32" s="389"/>
      <c r="AY32" s="389"/>
      <c r="AZ32" s="389"/>
      <c r="BA32" s="390"/>
      <c r="BB32" s="370" t="s">
        <v>258</v>
      </c>
      <c r="BC32" s="371"/>
      <c r="BD32" s="371"/>
      <c r="BE32" s="371"/>
      <c r="BF32" s="372"/>
    </row>
    <row r="36" spans="16:16">
      <c r="P36" s="129"/>
    </row>
  </sheetData>
  <sheetProtection formatColumns="0"/>
  <mergeCells count="82">
    <mergeCell ref="W3:W5"/>
    <mergeCell ref="B20:B22"/>
    <mergeCell ref="F3:F5"/>
    <mergeCell ref="K3:K5"/>
    <mergeCell ref="P3:P5"/>
    <mergeCell ref="U3:U5"/>
    <mergeCell ref="B7:B9"/>
    <mergeCell ref="B16:B18"/>
    <mergeCell ref="B15:C15"/>
    <mergeCell ref="J3:J5"/>
    <mergeCell ref="L3:L5"/>
    <mergeCell ref="N3:N5"/>
    <mergeCell ref="O3:O5"/>
    <mergeCell ref="Q3:Q5"/>
    <mergeCell ref="N2:R2"/>
    <mergeCell ref="I2:M2"/>
    <mergeCell ref="D2:H2"/>
    <mergeCell ref="D3:D5"/>
    <mergeCell ref="E3:E5"/>
    <mergeCell ref="G3:G5"/>
    <mergeCell ref="I3:I5"/>
    <mergeCell ref="H3:H5"/>
    <mergeCell ref="R3:R5"/>
    <mergeCell ref="M3:M5"/>
    <mergeCell ref="AD3:AD5"/>
    <mergeCell ref="AE3:AE5"/>
    <mergeCell ref="AF3:AF5"/>
    <mergeCell ref="AG3:AG5"/>
    <mergeCell ref="S2:W2"/>
    <mergeCell ref="S3:S5"/>
    <mergeCell ref="T3:T5"/>
    <mergeCell ref="V3:V5"/>
    <mergeCell ref="X2:AB2"/>
    <mergeCell ref="X3:X5"/>
    <mergeCell ref="Y3:Y5"/>
    <mergeCell ref="AA3:AA5"/>
    <mergeCell ref="AB3:AB5"/>
    <mergeCell ref="Z3:Z5"/>
    <mergeCell ref="AC2:AG2"/>
    <mergeCell ref="AC3:AC5"/>
    <mergeCell ref="S32:W32"/>
    <mergeCell ref="X32:AB32"/>
    <mergeCell ref="AC32:AG32"/>
    <mergeCell ref="B27:B29"/>
    <mergeCell ref="D32:H32"/>
    <mergeCell ref="I32:M32"/>
    <mergeCell ref="N32:R32"/>
    <mergeCell ref="AH32:AL32"/>
    <mergeCell ref="AM2:AQ2"/>
    <mergeCell ref="AM3:AM5"/>
    <mergeCell ref="AN3:AN5"/>
    <mergeCell ref="AO3:AO5"/>
    <mergeCell ref="AP3:AP5"/>
    <mergeCell ref="AQ3:AQ5"/>
    <mergeCell ref="AM32:AQ32"/>
    <mergeCell ref="AH2:AL2"/>
    <mergeCell ref="AH3:AH5"/>
    <mergeCell ref="AI3:AI5"/>
    <mergeCell ref="AJ3:AJ5"/>
    <mergeCell ref="AK3:AK5"/>
    <mergeCell ref="AL3:AL5"/>
    <mergeCell ref="AR32:AV32"/>
    <mergeCell ref="AW2:BA2"/>
    <mergeCell ref="AW3:AW5"/>
    <mergeCell ref="AX3:AX5"/>
    <mergeCell ref="AY3:AY5"/>
    <mergeCell ref="AZ3:AZ5"/>
    <mergeCell ref="BA3:BA5"/>
    <mergeCell ref="AW32:BA32"/>
    <mergeCell ref="AR2:AV2"/>
    <mergeCell ref="AR3:AR5"/>
    <mergeCell ref="AS3:AS5"/>
    <mergeCell ref="AT3:AT5"/>
    <mergeCell ref="AU3:AU5"/>
    <mergeCell ref="AV3:AV5"/>
    <mergeCell ref="BB32:BF32"/>
    <mergeCell ref="BB2:BF2"/>
    <mergeCell ref="BB3:BB5"/>
    <mergeCell ref="BC3:BC5"/>
    <mergeCell ref="BD3:BD5"/>
    <mergeCell ref="BE3:BE5"/>
    <mergeCell ref="BF3:BF5"/>
  </mergeCells>
  <dataValidations count="2">
    <dataValidation type="list" allowBlank="1" showInputMessage="1" showErrorMessage="1" sqref="B4" xr:uid="{00000000-0002-0000-0000-000000000000}">
      <formula1>"Semester,Quarter"</formula1>
    </dataValidation>
    <dataValidation type="decimal" operator="greaterThanOrEqual" allowBlank="1" showInputMessage="1" showErrorMessage="1" errorTitle="Data Type Error" error="Value must be a number greater than or equal to 0." sqref="N7:P8 I7:K8 S27:U28 D7:F8 F27 S16:U17 I27:K28 N27:P28 D16:F16 X7:Z8 I16:K17 N16:P17 N20:O20 S20:T20 S7:U8 X27:Z28 X16:Z17 X20:Z21" xr:uid="{00000000-0002-0000-0000-000001000000}">
      <formula1>0</formula1>
    </dataValidation>
  </dataValidations>
  <pageMargins left="0.75" right="0" top="0.75" bottom="0.3" header="0.3" footer="0.25"/>
  <pageSetup paperSize="5" scale="60" orientation="landscape" r:id="rId1"/>
  <headerFooter>
    <oddHeader>&amp;C&amp;"-,Bold"&amp;22Northeast Community College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M41"/>
  <sheetViews>
    <sheetView showGridLines="0" workbookViewId="0">
      <pane xSplit="2" ySplit="3" topLeftCell="C4" activePane="bottomRight" state="frozen"/>
      <selection pane="topRight" activeCell="C1" sqref="C1"/>
      <selection pane="bottomLeft" activeCell="A4" sqref="A4"/>
      <selection pane="bottomRight" activeCell="AM20" sqref="AM20"/>
    </sheetView>
  </sheetViews>
  <sheetFormatPr defaultColWidth="21.28515625" defaultRowHeight="15"/>
  <cols>
    <col min="1" max="1" width="1.5703125" style="12" customWidth="1"/>
    <col min="2" max="2" width="35.28515625" style="12" customWidth="1"/>
    <col min="3" max="3" width="18.85546875" style="12" customWidth="1"/>
    <col min="4" max="4" width="18.5703125" style="20" bestFit="1" customWidth="1"/>
    <col min="5" max="5" width="14.28515625" style="12" hidden="1" customWidth="1"/>
    <col min="6" max="6" width="10.28515625" style="20" hidden="1" customWidth="1"/>
    <col min="7" max="7" width="14.28515625" style="12" hidden="1" customWidth="1"/>
    <col min="8" max="8" width="10.28515625" style="20" hidden="1" customWidth="1"/>
    <col min="9" max="9" width="14.42578125" style="12" hidden="1" customWidth="1"/>
    <col min="10" max="10" width="10.28515625" style="20" hidden="1" customWidth="1"/>
    <col min="11" max="11" width="14.42578125" style="12" hidden="1" customWidth="1"/>
    <col min="12" max="12" width="10.28515625" style="12" hidden="1" customWidth="1"/>
    <col min="13" max="13" width="14.42578125" style="12" hidden="1" customWidth="1"/>
    <col min="14" max="14" width="10.28515625" style="20" hidden="1" customWidth="1"/>
    <col min="15" max="15" width="14.42578125" style="12" hidden="1" customWidth="1"/>
    <col min="16" max="16" width="10.28515625" style="20" hidden="1" customWidth="1"/>
    <col min="17" max="17" width="14.42578125" style="12" hidden="1" customWidth="1"/>
    <col min="18" max="18" width="10.28515625" style="20" hidden="1" customWidth="1"/>
    <col min="19" max="19" width="14.42578125" style="12" customWidth="1"/>
    <col min="20" max="20" width="10.28515625" style="20" customWidth="1"/>
    <col min="21" max="21" width="14.42578125" style="12" customWidth="1"/>
    <col min="22" max="22" width="10.28515625" style="20" customWidth="1"/>
    <col min="23" max="23" width="14.42578125" style="12" customWidth="1"/>
    <col min="24" max="24" width="10.28515625" style="20" customWidth="1"/>
    <col min="25" max="25" width="14.42578125" style="12" customWidth="1"/>
    <col min="26" max="26" width="10.28515625" style="20" customWidth="1"/>
    <col min="27" max="27" width="1.7109375" style="12" customWidth="1"/>
    <col min="28" max="33" width="16" style="12" hidden="1" customWidth="1"/>
    <col min="34" max="37" width="16" style="12" customWidth="1"/>
    <col min="38" max="38" width="1.5703125" style="12" customWidth="1"/>
    <col min="39" max="16384" width="21.28515625" style="12"/>
  </cols>
  <sheetData>
    <row r="1" spans="2:39" s="148" customFormat="1" ht="15.75" customHeight="1" thickBot="1">
      <c r="C1" s="149"/>
      <c r="D1" s="150"/>
      <c r="E1" s="424" t="s">
        <v>13</v>
      </c>
      <c r="F1" s="425"/>
      <c r="G1" s="425"/>
      <c r="H1" s="425"/>
      <c r="I1" s="425"/>
      <c r="J1" s="425"/>
      <c r="K1" s="425"/>
      <c r="L1" s="425"/>
      <c r="M1" s="425"/>
      <c r="N1" s="425"/>
      <c r="O1" s="425"/>
      <c r="P1" s="425"/>
      <c r="Q1" s="425"/>
      <c r="R1" s="425"/>
      <c r="S1" s="425"/>
      <c r="T1" s="425"/>
      <c r="U1" s="425"/>
      <c r="V1" s="425"/>
      <c r="W1" s="425"/>
      <c r="X1" s="426"/>
      <c r="Y1" s="216"/>
      <c r="Z1" s="216"/>
      <c r="AA1" s="55"/>
      <c r="AB1" s="424" t="s">
        <v>14</v>
      </c>
      <c r="AC1" s="425"/>
      <c r="AD1" s="425"/>
      <c r="AE1" s="425"/>
      <c r="AF1" s="425"/>
      <c r="AG1" s="425"/>
      <c r="AH1" s="425"/>
      <c r="AI1" s="425"/>
      <c r="AJ1" s="425"/>
      <c r="AK1" s="426"/>
      <c r="AL1" s="151"/>
    </row>
    <row r="2" spans="2:39" s="148" customFormat="1" ht="15.75" thickBot="1">
      <c r="D2" s="152"/>
      <c r="E2" s="427" t="s">
        <v>31</v>
      </c>
      <c r="F2" s="428"/>
      <c r="G2" s="429" t="s">
        <v>32</v>
      </c>
      <c r="H2" s="430"/>
      <c r="I2" s="431" t="s">
        <v>33</v>
      </c>
      <c r="J2" s="432"/>
      <c r="K2" s="433" t="s">
        <v>30</v>
      </c>
      <c r="L2" s="434"/>
      <c r="M2" s="435" t="s">
        <v>29</v>
      </c>
      <c r="N2" s="436"/>
      <c r="O2" s="437" t="s">
        <v>34</v>
      </c>
      <c r="P2" s="438"/>
      <c r="Q2" s="427" t="s">
        <v>35</v>
      </c>
      <c r="R2" s="428"/>
      <c r="S2" s="429" t="s">
        <v>37</v>
      </c>
      <c r="T2" s="430"/>
      <c r="U2" s="431" t="s">
        <v>38</v>
      </c>
      <c r="V2" s="432"/>
      <c r="W2" s="433" t="s">
        <v>39</v>
      </c>
      <c r="X2" s="434"/>
      <c r="Y2" s="439" t="s">
        <v>251</v>
      </c>
      <c r="Z2" s="440"/>
      <c r="AA2" s="153"/>
      <c r="AB2" s="154"/>
      <c r="AC2" s="154"/>
      <c r="AD2" s="155"/>
      <c r="AE2" s="155"/>
      <c r="AF2" s="155"/>
      <c r="AG2" s="155"/>
      <c r="AH2" s="155"/>
      <c r="AI2" s="155"/>
      <c r="AJ2" s="155"/>
      <c r="AK2" s="156"/>
      <c r="AL2" s="157"/>
      <c r="AM2" s="158"/>
    </row>
    <row r="3" spans="2:39" s="159" customFormat="1" ht="15.75" thickBot="1">
      <c r="B3" s="160" t="s">
        <v>15</v>
      </c>
      <c r="C3" s="161" t="s">
        <v>16</v>
      </c>
      <c r="D3" s="162" t="s">
        <v>17</v>
      </c>
      <c r="E3" s="163" t="s">
        <v>18</v>
      </c>
      <c r="F3" s="161" t="s">
        <v>19</v>
      </c>
      <c r="G3" s="161" t="s">
        <v>18</v>
      </c>
      <c r="H3" s="161" t="s">
        <v>19</v>
      </c>
      <c r="I3" s="161" t="s">
        <v>18</v>
      </c>
      <c r="J3" s="161" t="s">
        <v>19</v>
      </c>
      <c r="K3" s="161" t="s">
        <v>18</v>
      </c>
      <c r="L3" s="161" t="s">
        <v>19</v>
      </c>
      <c r="M3" s="161" t="s">
        <v>18</v>
      </c>
      <c r="N3" s="161" t="s">
        <v>19</v>
      </c>
      <c r="O3" s="161" t="s">
        <v>18</v>
      </c>
      <c r="P3" s="161" t="s">
        <v>19</v>
      </c>
      <c r="Q3" s="161" t="s">
        <v>18</v>
      </c>
      <c r="R3" s="161" t="s">
        <v>19</v>
      </c>
      <c r="S3" s="161" t="s">
        <v>18</v>
      </c>
      <c r="T3" s="161" t="s">
        <v>19</v>
      </c>
      <c r="U3" s="161" t="s">
        <v>18</v>
      </c>
      <c r="V3" s="161" t="s">
        <v>19</v>
      </c>
      <c r="W3" s="161" t="s">
        <v>18</v>
      </c>
      <c r="X3" s="162" t="s">
        <v>19</v>
      </c>
      <c r="Y3" s="161" t="s">
        <v>18</v>
      </c>
      <c r="Z3" s="162" t="s">
        <v>19</v>
      </c>
      <c r="AA3" s="164"/>
      <c r="AB3" s="165" t="s">
        <v>31</v>
      </c>
      <c r="AC3" s="166" t="s">
        <v>32</v>
      </c>
      <c r="AD3" s="167" t="s">
        <v>33</v>
      </c>
      <c r="AE3" s="168" t="s">
        <v>30</v>
      </c>
      <c r="AF3" s="169" t="s">
        <v>29</v>
      </c>
      <c r="AG3" s="170" t="s">
        <v>34</v>
      </c>
      <c r="AH3" s="165" t="s">
        <v>35</v>
      </c>
      <c r="AI3" s="166" t="s">
        <v>37</v>
      </c>
      <c r="AJ3" s="167" t="s">
        <v>38</v>
      </c>
      <c r="AK3" s="168" t="s">
        <v>39</v>
      </c>
      <c r="AL3" s="171"/>
      <c r="AM3" s="171"/>
    </row>
    <row r="4" spans="2:39" customFormat="1" ht="19.5" customHeight="1">
      <c r="B4" s="44" t="s">
        <v>20</v>
      </c>
      <c r="C4" s="13"/>
      <c r="D4" s="21"/>
      <c r="E4" s="45"/>
      <c r="F4" s="193"/>
      <c r="G4" s="83"/>
      <c r="H4" s="195"/>
      <c r="I4" s="45"/>
      <c r="J4" s="193"/>
      <c r="K4" s="83"/>
      <c r="L4" s="47"/>
      <c r="M4" s="46"/>
      <c r="N4" s="195"/>
      <c r="O4" s="46"/>
      <c r="P4" s="195"/>
      <c r="Q4" s="46"/>
      <c r="R4" s="195"/>
      <c r="S4" s="46"/>
      <c r="T4" s="195"/>
      <c r="U4" s="46"/>
      <c r="V4" s="195"/>
      <c r="W4" s="46"/>
      <c r="X4" s="195"/>
      <c r="Y4" s="46"/>
      <c r="Z4" s="195"/>
      <c r="AA4" s="13"/>
      <c r="AB4" s="45"/>
      <c r="AC4" s="46"/>
      <c r="AD4" s="57"/>
      <c r="AE4" s="48"/>
      <c r="AF4" s="48"/>
      <c r="AG4" s="48"/>
      <c r="AH4" s="48"/>
      <c r="AI4" s="48"/>
      <c r="AJ4" s="48"/>
      <c r="AK4" s="48"/>
    </row>
    <row r="5" spans="2:39" customFormat="1">
      <c r="B5" s="77" t="s">
        <v>70</v>
      </c>
      <c r="C5" s="77" t="s">
        <v>122</v>
      </c>
      <c r="D5" s="77"/>
      <c r="E5" s="192">
        <v>8.5</v>
      </c>
      <c r="F5" s="78" t="s">
        <v>40</v>
      </c>
      <c r="G5" s="192">
        <v>8.5</v>
      </c>
      <c r="H5" s="78" t="s">
        <v>40</v>
      </c>
      <c r="I5" s="192">
        <v>8.5</v>
      </c>
      <c r="J5" s="78" t="s">
        <v>40</v>
      </c>
      <c r="K5" s="192">
        <v>8.5</v>
      </c>
      <c r="L5" s="77" t="s">
        <v>40</v>
      </c>
      <c r="M5" s="192">
        <v>8.5</v>
      </c>
      <c r="N5" s="78" t="s">
        <v>40</v>
      </c>
      <c r="O5" s="200">
        <v>9</v>
      </c>
      <c r="P5" s="78" t="s">
        <v>40</v>
      </c>
      <c r="Q5" s="200">
        <v>12</v>
      </c>
      <c r="R5" s="78" t="s">
        <v>40</v>
      </c>
      <c r="S5" s="200">
        <v>9</v>
      </c>
      <c r="T5" s="78" t="s">
        <v>40</v>
      </c>
      <c r="U5" s="200">
        <v>9</v>
      </c>
      <c r="V5" s="78" t="s">
        <v>40</v>
      </c>
      <c r="W5" s="199">
        <v>9</v>
      </c>
      <c r="X5" s="25" t="s">
        <v>40</v>
      </c>
      <c r="Y5" s="199">
        <v>9</v>
      </c>
      <c r="Z5" s="25" t="s">
        <v>40</v>
      </c>
      <c r="AA5" s="79"/>
      <c r="AB5" s="132">
        <v>747511.72</v>
      </c>
      <c r="AC5" s="132">
        <v>761392.54</v>
      </c>
      <c r="AD5" s="132">
        <v>703541.93</v>
      </c>
      <c r="AE5" s="132">
        <v>689244.98</v>
      </c>
      <c r="AF5" s="132">
        <v>654845.88</v>
      </c>
      <c r="AG5" s="132">
        <v>661023.87</v>
      </c>
      <c r="AH5" s="132">
        <v>855970.5</v>
      </c>
      <c r="AI5" s="132">
        <v>621979.5</v>
      </c>
      <c r="AJ5" s="131">
        <v>625698</v>
      </c>
      <c r="AK5" s="131">
        <v>617081.62</v>
      </c>
    </row>
    <row r="6" spans="2:39" customFormat="1">
      <c r="B6" s="77" t="s">
        <v>87</v>
      </c>
      <c r="C6" s="77" t="s">
        <v>21</v>
      </c>
      <c r="D6" s="77"/>
      <c r="E6" s="192">
        <v>4</v>
      </c>
      <c r="F6" s="78" t="s">
        <v>40</v>
      </c>
      <c r="G6" s="192">
        <v>4</v>
      </c>
      <c r="H6" s="78" t="s">
        <v>40</v>
      </c>
      <c r="I6" s="192">
        <v>5</v>
      </c>
      <c r="J6" s="78" t="s">
        <v>40</v>
      </c>
      <c r="K6" s="192">
        <v>5</v>
      </c>
      <c r="L6" s="77" t="s">
        <v>40</v>
      </c>
      <c r="M6" s="192">
        <v>5</v>
      </c>
      <c r="N6" s="78" t="s">
        <v>40</v>
      </c>
      <c r="O6" s="200">
        <v>5</v>
      </c>
      <c r="P6" s="78" t="s">
        <v>40</v>
      </c>
      <c r="Q6" s="200">
        <v>5</v>
      </c>
      <c r="R6" s="78" t="s">
        <v>40</v>
      </c>
      <c r="S6" s="200">
        <v>5</v>
      </c>
      <c r="T6" s="78" t="s">
        <v>40</v>
      </c>
      <c r="U6" s="200">
        <v>5</v>
      </c>
      <c r="V6" s="78" t="s">
        <v>40</v>
      </c>
      <c r="W6" s="199">
        <v>5</v>
      </c>
      <c r="X6" s="25" t="s">
        <v>40</v>
      </c>
      <c r="Y6" s="199">
        <v>5</v>
      </c>
      <c r="Z6" s="25" t="s">
        <v>40</v>
      </c>
      <c r="AA6" s="79"/>
      <c r="AB6" s="132">
        <v>320216.42</v>
      </c>
      <c r="AC6" s="132">
        <v>299745.42</v>
      </c>
      <c r="AD6" s="132">
        <v>403636.86</v>
      </c>
      <c r="AE6" s="132">
        <v>393731.34</v>
      </c>
      <c r="AF6" s="132">
        <v>392333.06</v>
      </c>
      <c r="AG6" s="132">
        <v>362657.98</v>
      </c>
      <c r="AH6" s="132">
        <v>350744.45</v>
      </c>
      <c r="AI6" s="132">
        <v>327199.11</v>
      </c>
      <c r="AJ6" s="131">
        <v>329174.14</v>
      </c>
      <c r="AK6" s="131">
        <v>335176.53000000003</v>
      </c>
    </row>
    <row r="7" spans="2:39" customFormat="1">
      <c r="B7" s="77" t="s">
        <v>88</v>
      </c>
      <c r="C7" s="77" t="s">
        <v>22</v>
      </c>
      <c r="D7" s="77"/>
      <c r="E7" s="192">
        <v>6</v>
      </c>
      <c r="F7" s="78" t="s">
        <v>40</v>
      </c>
      <c r="G7" s="192">
        <v>6</v>
      </c>
      <c r="H7" s="78" t="s">
        <v>40</v>
      </c>
      <c r="I7" s="192">
        <v>6</v>
      </c>
      <c r="J7" s="78" t="s">
        <v>40</v>
      </c>
      <c r="K7" s="192">
        <v>6</v>
      </c>
      <c r="L7" s="77" t="s">
        <v>40</v>
      </c>
      <c r="M7" s="192">
        <v>6</v>
      </c>
      <c r="N7" s="78" t="s">
        <v>40</v>
      </c>
      <c r="O7" s="200">
        <v>6</v>
      </c>
      <c r="P7" s="78" t="s">
        <v>40</v>
      </c>
      <c r="Q7" s="200">
        <v>6</v>
      </c>
      <c r="R7" s="78" t="s">
        <v>40</v>
      </c>
      <c r="S7" s="200">
        <v>6</v>
      </c>
      <c r="T7" s="78" t="s">
        <v>40</v>
      </c>
      <c r="U7" s="200">
        <v>6</v>
      </c>
      <c r="V7" s="78" t="s">
        <v>40</v>
      </c>
      <c r="W7" s="199">
        <v>6</v>
      </c>
      <c r="X7" s="25" t="s">
        <v>40</v>
      </c>
      <c r="Y7" s="199">
        <v>6</v>
      </c>
      <c r="Z7" s="25" t="s">
        <v>40</v>
      </c>
      <c r="AA7" s="79"/>
      <c r="AB7" s="132">
        <v>517681</v>
      </c>
      <c r="AC7" s="132">
        <v>528945</v>
      </c>
      <c r="AD7" s="132">
        <v>489201.35</v>
      </c>
      <c r="AE7" s="132">
        <v>485459.65</v>
      </c>
      <c r="AF7" s="132">
        <v>496473.37</v>
      </c>
      <c r="AG7" s="132">
        <v>457627.02</v>
      </c>
      <c r="AH7" s="132">
        <v>438694.2</v>
      </c>
      <c r="AI7" s="132">
        <v>413567</v>
      </c>
      <c r="AJ7" s="131">
        <v>427433.19</v>
      </c>
      <c r="AK7" s="131">
        <v>435492</v>
      </c>
    </row>
    <row r="8" spans="2:39" s="118" customFormat="1">
      <c r="B8" s="24"/>
      <c r="C8" s="24"/>
      <c r="D8" s="25"/>
      <c r="E8" s="199"/>
      <c r="F8" s="25"/>
      <c r="G8" s="199"/>
      <c r="H8" s="25"/>
      <c r="I8" s="199"/>
      <c r="J8" s="25"/>
      <c r="K8" s="199"/>
      <c r="L8" s="24"/>
      <c r="M8" s="199"/>
      <c r="N8" s="25"/>
      <c r="O8" s="199"/>
      <c r="P8" s="25"/>
      <c r="Q8" s="199"/>
      <c r="R8" s="25"/>
      <c r="S8" s="200"/>
      <c r="T8" s="78"/>
      <c r="U8" s="200"/>
      <c r="V8" s="78"/>
      <c r="W8" s="200"/>
      <c r="X8" s="78"/>
      <c r="Y8" s="199"/>
      <c r="Z8" s="25"/>
      <c r="AA8" s="56"/>
      <c r="AB8" s="131"/>
      <c r="AC8" s="131"/>
      <c r="AD8" s="131"/>
      <c r="AE8" s="131"/>
      <c r="AF8" s="131"/>
      <c r="AG8" s="131"/>
      <c r="AH8" s="132"/>
      <c r="AI8" s="132"/>
      <c r="AJ8" s="132"/>
      <c r="AK8" s="131"/>
    </row>
    <row r="9" spans="2:39" s="118" customFormat="1">
      <c r="B9" s="43"/>
      <c r="C9" s="24"/>
      <c r="D9" s="25"/>
      <c r="E9" s="199"/>
      <c r="F9" s="25"/>
      <c r="G9" s="199"/>
      <c r="H9" s="25"/>
      <c r="I9" s="199"/>
      <c r="J9" s="25"/>
      <c r="K9" s="199"/>
      <c r="L9" s="24"/>
      <c r="M9" s="199"/>
      <c r="N9" s="25"/>
      <c r="O9" s="199"/>
      <c r="P9" s="25"/>
      <c r="Q9" s="199"/>
      <c r="R9" s="25"/>
      <c r="S9" s="200"/>
      <c r="T9" s="78"/>
      <c r="U9" s="200"/>
      <c r="V9" s="78"/>
      <c r="W9" s="200"/>
      <c r="X9" s="78"/>
      <c r="Y9" s="199"/>
      <c r="Z9" s="25"/>
      <c r="AA9" s="56"/>
      <c r="AB9" s="131"/>
      <c r="AC9" s="131"/>
      <c r="AD9" s="131"/>
      <c r="AE9" s="131"/>
      <c r="AF9" s="131"/>
      <c r="AG9" s="131"/>
      <c r="AH9" s="132"/>
      <c r="AI9" s="132"/>
      <c r="AJ9" s="132"/>
      <c r="AK9" s="131"/>
    </row>
    <row r="10" spans="2:39" s="118" customFormat="1">
      <c r="B10" s="43"/>
      <c r="C10" s="24"/>
      <c r="D10" s="25"/>
      <c r="E10" s="199"/>
      <c r="F10" s="25"/>
      <c r="G10" s="199"/>
      <c r="H10" s="25"/>
      <c r="I10" s="199"/>
      <c r="J10" s="25"/>
      <c r="K10" s="199"/>
      <c r="L10" s="24"/>
      <c r="M10" s="199"/>
      <c r="N10" s="25"/>
      <c r="O10" s="199"/>
      <c r="P10" s="25"/>
      <c r="Q10" s="199"/>
      <c r="R10" s="25"/>
      <c r="S10" s="200"/>
      <c r="T10" s="78"/>
      <c r="U10" s="200"/>
      <c r="V10" s="78"/>
      <c r="W10" s="200"/>
      <c r="X10" s="78"/>
      <c r="Y10" s="199"/>
      <c r="Z10" s="25"/>
      <c r="AA10" s="56"/>
      <c r="AB10" s="131"/>
      <c r="AC10" s="131"/>
      <c r="AD10" s="131"/>
      <c r="AE10" s="131"/>
      <c r="AF10" s="131"/>
      <c r="AG10" s="131"/>
      <c r="AH10" s="132"/>
      <c r="AI10" s="132"/>
      <c r="AJ10" s="132"/>
      <c r="AK10" s="131"/>
    </row>
    <row r="11" spans="2:39" s="118" customFormat="1">
      <c r="B11" s="43"/>
      <c r="C11" s="24"/>
      <c r="D11" s="25"/>
      <c r="E11" s="199"/>
      <c r="F11" s="25"/>
      <c r="G11" s="199"/>
      <c r="H11" s="25"/>
      <c r="I11" s="199"/>
      <c r="J11" s="25"/>
      <c r="K11" s="199"/>
      <c r="L11" s="24"/>
      <c r="M11" s="199"/>
      <c r="N11" s="25"/>
      <c r="O11" s="199"/>
      <c r="P11" s="25"/>
      <c r="Q11" s="199"/>
      <c r="R11" s="25"/>
      <c r="S11" s="200"/>
      <c r="T11" s="78"/>
      <c r="U11" s="200"/>
      <c r="V11" s="78"/>
      <c r="W11" s="200"/>
      <c r="X11" s="78"/>
      <c r="Y11" s="199"/>
      <c r="Z11" s="25"/>
      <c r="AA11" s="56"/>
      <c r="AB11" s="131"/>
      <c r="AC11" s="131"/>
      <c r="AD11" s="131"/>
      <c r="AE11" s="131"/>
      <c r="AF11" s="131"/>
      <c r="AG11" s="131"/>
      <c r="AH11" s="132"/>
      <c r="AI11" s="132"/>
      <c r="AJ11" s="132"/>
      <c r="AK11" s="131"/>
    </row>
    <row r="12" spans="2:39" s="118" customFormat="1">
      <c r="B12" s="43"/>
      <c r="C12" s="24"/>
      <c r="D12" s="25"/>
      <c r="E12" s="199"/>
      <c r="F12" s="25"/>
      <c r="G12" s="199"/>
      <c r="H12" s="25"/>
      <c r="I12" s="199"/>
      <c r="J12" s="25"/>
      <c r="K12" s="199"/>
      <c r="L12" s="24"/>
      <c r="M12" s="199"/>
      <c r="N12" s="25"/>
      <c r="O12" s="199"/>
      <c r="P12" s="25"/>
      <c r="Q12" s="199"/>
      <c r="R12" s="25"/>
      <c r="S12" s="200"/>
      <c r="T12" s="78"/>
      <c r="U12" s="200"/>
      <c r="V12" s="78"/>
      <c r="W12" s="200"/>
      <c r="X12" s="78"/>
      <c r="Y12" s="199"/>
      <c r="Z12" s="25"/>
      <c r="AA12" s="56"/>
      <c r="AB12" s="131"/>
      <c r="AC12" s="131"/>
      <c r="AD12" s="131"/>
      <c r="AE12" s="131"/>
      <c r="AF12" s="131"/>
      <c r="AG12" s="131"/>
      <c r="AH12" s="132"/>
      <c r="AI12" s="132"/>
      <c r="AJ12" s="132"/>
      <c r="AK12" s="131"/>
    </row>
    <row r="13" spans="2:39" s="118" customFormat="1">
      <c r="B13" s="43"/>
      <c r="C13" s="24"/>
      <c r="D13" s="25"/>
      <c r="E13" s="199"/>
      <c r="F13" s="25"/>
      <c r="G13" s="199"/>
      <c r="H13" s="25"/>
      <c r="I13" s="199"/>
      <c r="J13" s="25"/>
      <c r="K13" s="199"/>
      <c r="L13" s="24"/>
      <c r="M13" s="199"/>
      <c r="N13" s="25"/>
      <c r="O13" s="199"/>
      <c r="P13" s="25"/>
      <c r="Q13" s="199"/>
      <c r="R13" s="25"/>
      <c r="S13" s="200"/>
      <c r="T13" s="78"/>
      <c r="U13" s="200"/>
      <c r="V13" s="78"/>
      <c r="W13" s="200"/>
      <c r="X13" s="78"/>
      <c r="Y13" s="199"/>
      <c r="Z13" s="25"/>
      <c r="AA13" s="56"/>
      <c r="AB13" s="131"/>
      <c r="AC13" s="131"/>
      <c r="AD13" s="131"/>
      <c r="AE13" s="131"/>
      <c r="AF13" s="131"/>
      <c r="AG13" s="131"/>
      <c r="AH13" s="132"/>
      <c r="AI13" s="132"/>
      <c r="AJ13" s="132"/>
      <c r="AK13" s="131"/>
    </row>
    <row r="14" spans="2:39" s="118" customFormat="1">
      <c r="B14" s="43"/>
      <c r="C14" s="24"/>
      <c r="D14" s="25"/>
      <c r="E14" s="199"/>
      <c r="F14" s="25"/>
      <c r="G14" s="199"/>
      <c r="H14" s="25"/>
      <c r="I14" s="199"/>
      <c r="J14" s="25"/>
      <c r="K14" s="199"/>
      <c r="L14" s="24"/>
      <c r="M14" s="199"/>
      <c r="N14" s="25"/>
      <c r="O14" s="199"/>
      <c r="P14" s="25"/>
      <c r="Q14" s="199"/>
      <c r="R14" s="25"/>
      <c r="S14" s="200"/>
      <c r="T14" s="78"/>
      <c r="U14" s="200"/>
      <c r="V14" s="78"/>
      <c r="W14" s="200"/>
      <c r="X14" s="78"/>
      <c r="Y14" s="199"/>
      <c r="Z14" s="25"/>
      <c r="AA14" s="56"/>
      <c r="AB14" s="131"/>
      <c r="AC14" s="131"/>
      <c r="AD14" s="131"/>
      <c r="AE14" s="131"/>
      <c r="AF14" s="131"/>
      <c r="AG14" s="131"/>
      <c r="AH14" s="132"/>
      <c r="AI14" s="132"/>
      <c r="AJ14" s="132"/>
      <c r="AK14" s="131"/>
    </row>
    <row r="15" spans="2:39" s="118" customFormat="1">
      <c r="B15" s="43"/>
      <c r="C15" s="24"/>
      <c r="D15" s="25"/>
      <c r="E15" s="199"/>
      <c r="F15" s="25"/>
      <c r="G15" s="199"/>
      <c r="H15" s="25"/>
      <c r="I15" s="199"/>
      <c r="J15" s="25"/>
      <c r="K15" s="199"/>
      <c r="L15" s="24"/>
      <c r="M15" s="199"/>
      <c r="N15" s="25"/>
      <c r="O15" s="199"/>
      <c r="P15" s="25"/>
      <c r="Q15" s="199"/>
      <c r="R15" s="25"/>
      <c r="S15" s="200"/>
      <c r="T15" s="78"/>
      <c r="U15" s="200"/>
      <c r="V15" s="78"/>
      <c r="W15" s="200"/>
      <c r="X15" s="78"/>
      <c r="Y15" s="199"/>
      <c r="Z15" s="25"/>
      <c r="AA15" s="56"/>
      <c r="AB15" s="131"/>
      <c r="AC15" s="131"/>
      <c r="AD15" s="131"/>
      <c r="AE15" s="131"/>
      <c r="AF15" s="131"/>
      <c r="AG15" s="131"/>
      <c r="AH15" s="132"/>
      <c r="AI15" s="132"/>
      <c r="AJ15" s="132"/>
      <c r="AK15" s="131"/>
    </row>
    <row r="16" spans="2:39" s="118" customFormat="1">
      <c r="B16" s="43"/>
      <c r="C16" s="24"/>
      <c r="D16" s="25"/>
      <c r="E16" s="199"/>
      <c r="F16" s="25"/>
      <c r="G16" s="199"/>
      <c r="H16" s="25"/>
      <c r="I16" s="199"/>
      <c r="J16" s="25"/>
      <c r="K16" s="199"/>
      <c r="L16" s="24"/>
      <c r="M16" s="199"/>
      <c r="N16" s="25"/>
      <c r="O16" s="199"/>
      <c r="P16" s="25"/>
      <c r="Q16" s="199"/>
      <c r="R16" s="25"/>
      <c r="S16" s="200"/>
      <c r="T16" s="78"/>
      <c r="U16" s="200"/>
      <c r="V16" s="78"/>
      <c r="W16" s="200"/>
      <c r="X16" s="78"/>
      <c r="Y16" s="199"/>
      <c r="Z16" s="25"/>
      <c r="AA16" s="56"/>
      <c r="AB16" s="131"/>
      <c r="AC16" s="131"/>
      <c r="AD16" s="131"/>
      <c r="AE16" s="131"/>
      <c r="AF16" s="131"/>
      <c r="AG16" s="131"/>
      <c r="AH16" s="132"/>
      <c r="AI16" s="132"/>
      <c r="AJ16" s="132"/>
      <c r="AK16" s="131"/>
    </row>
    <row r="17" spans="2:38" customFormat="1">
      <c r="B17" s="117" t="s">
        <v>69</v>
      </c>
      <c r="C17" s="77"/>
      <c r="D17" s="78"/>
      <c r="E17" s="200"/>
      <c r="F17" s="78"/>
      <c r="G17" s="200"/>
      <c r="H17" s="78"/>
      <c r="I17" s="200"/>
      <c r="J17" s="78"/>
      <c r="K17" s="200"/>
      <c r="L17" s="77"/>
      <c r="M17" s="200"/>
      <c r="N17" s="78"/>
      <c r="O17" s="200"/>
      <c r="P17" s="78"/>
      <c r="Q17" s="200"/>
      <c r="R17" s="78"/>
      <c r="S17" s="200"/>
      <c r="T17" s="78"/>
      <c r="U17" s="200"/>
      <c r="V17" s="78"/>
      <c r="W17" s="200"/>
      <c r="X17" s="78"/>
      <c r="Y17" s="200"/>
      <c r="Z17" s="78"/>
      <c r="AA17" s="79"/>
      <c r="AB17" s="132"/>
      <c r="AC17" s="132"/>
      <c r="AD17" s="132"/>
      <c r="AE17" s="132"/>
      <c r="AF17" s="132"/>
      <c r="AG17" s="132"/>
      <c r="AH17" s="132"/>
      <c r="AI17" s="132"/>
      <c r="AJ17" s="132"/>
      <c r="AK17" s="132"/>
    </row>
    <row r="18" spans="2:38" customFormat="1">
      <c r="B18" s="13"/>
      <c r="C18" s="13"/>
      <c r="D18" s="21"/>
      <c r="E18" s="49"/>
      <c r="F18" s="21"/>
      <c r="G18" s="49"/>
      <c r="H18" s="21"/>
      <c r="I18" s="49"/>
      <c r="J18" s="21"/>
      <c r="K18" s="49"/>
      <c r="L18" s="13"/>
      <c r="M18" s="52"/>
      <c r="N18" s="21"/>
      <c r="O18" s="52"/>
      <c r="P18" s="21"/>
      <c r="Q18" s="52"/>
      <c r="R18" s="21"/>
      <c r="S18" s="52"/>
      <c r="T18" s="21"/>
      <c r="U18" s="52"/>
      <c r="V18" s="21"/>
      <c r="W18" s="52"/>
      <c r="X18" s="21"/>
      <c r="Y18" s="52"/>
      <c r="Z18" s="21"/>
      <c r="AA18" s="13"/>
      <c r="AB18" s="133"/>
      <c r="AC18" s="133"/>
      <c r="AD18" s="133"/>
      <c r="AE18" s="133"/>
      <c r="AF18" s="133"/>
      <c r="AG18" s="133"/>
      <c r="AH18" s="133"/>
      <c r="AI18" s="133"/>
      <c r="AJ18" s="133"/>
      <c r="AK18" s="133"/>
    </row>
    <row r="19" spans="2:38" s="16" customFormat="1" ht="17.25" customHeight="1">
      <c r="B19" s="14" t="s">
        <v>126</v>
      </c>
      <c r="C19" s="15"/>
      <c r="D19" s="22"/>
      <c r="E19" s="59"/>
      <c r="F19" s="194"/>
      <c r="G19" s="59"/>
      <c r="H19" s="194"/>
      <c r="I19" s="59"/>
      <c r="J19" s="194"/>
      <c r="K19" s="59"/>
      <c r="L19" s="59"/>
      <c r="M19" s="59"/>
      <c r="N19" s="196"/>
      <c r="O19" s="59"/>
      <c r="P19" s="197"/>
      <c r="Q19" s="59"/>
      <c r="R19" s="197"/>
      <c r="S19" s="59"/>
      <c r="T19" s="197"/>
      <c r="U19" s="59"/>
      <c r="V19" s="197"/>
      <c r="W19" s="59"/>
      <c r="X19" s="198"/>
      <c r="Y19" s="59"/>
      <c r="Z19" s="198"/>
      <c r="AB19" s="134">
        <f>SUM(AB$4:AB18)</f>
        <v>1585409.14</v>
      </c>
      <c r="AC19" s="134">
        <f>SUM(AC$4:AC18)</f>
        <v>1590082.96</v>
      </c>
      <c r="AD19" s="134">
        <f>SUM(AD$4:AD18)</f>
        <v>1596380.1400000001</v>
      </c>
      <c r="AE19" s="134">
        <f>SUM(AE$4:AE18)</f>
        <v>1568435.9700000002</v>
      </c>
      <c r="AF19" s="134">
        <f>SUM(AF$4:AF18)</f>
        <v>1543652.31</v>
      </c>
      <c r="AG19" s="134">
        <f>SUM(AG$4:AG18)</f>
        <v>1481308.87</v>
      </c>
      <c r="AH19" s="134">
        <f>SUM(AH$4:AH18)</f>
        <v>1645409.15</v>
      </c>
      <c r="AI19" s="134">
        <f>SUM(AI$4:AI18)</f>
        <v>1362745.6099999999</v>
      </c>
      <c r="AJ19" s="134">
        <f>SUM(AJ$4:AJ18)</f>
        <v>1382305.33</v>
      </c>
      <c r="AK19" s="134">
        <f>SUM(AK$4:AK18)</f>
        <v>1387750.15</v>
      </c>
    </row>
    <row r="20" spans="2:38" s="16" customFormat="1" ht="17.25" customHeight="1">
      <c r="B20" s="187"/>
      <c r="C20" s="15"/>
      <c r="D20" s="22"/>
      <c r="E20" s="59"/>
      <c r="F20" s="194"/>
      <c r="G20" s="59"/>
      <c r="H20" s="194"/>
      <c r="I20" s="59"/>
      <c r="J20" s="194"/>
      <c r="K20" s="59"/>
      <c r="L20" s="59"/>
      <c r="M20" s="59"/>
      <c r="N20" s="196"/>
      <c r="O20" s="59"/>
      <c r="P20" s="197"/>
      <c r="Q20" s="59"/>
      <c r="R20" s="197"/>
      <c r="S20" s="59"/>
      <c r="T20" s="197"/>
      <c r="U20" s="59"/>
      <c r="V20" s="197"/>
      <c r="W20" s="59"/>
      <c r="X20" s="198"/>
      <c r="Y20" s="59"/>
      <c r="Z20" s="198"/>
      <c r="AB20" s="133"/>
      <c r="AC20" s="133"/>
      <c r="AD20" s="133"/>
      <c r="AE20" s="133"/>
      <c r="AF20" s="133"/>
      <c r="AG20" s="133"/>
      <c r="AH20" s="133"/>
      <c r="AI20" s="133"/>
      <c r="AJ20" s="133"/>
      <c r="AK20" s="133"/>
      <c r="AL20" s="133"/>
    </row>
    <row r="21" spans="2:38" s="16" customFormat="1" ht="15.75" customHeight="1">
      <c r="B21" s="188" t="s">
        <v>123</v>
      </c>
      <c r="C21" s="15"/>
      <c r="D21" s="22"/>
      <c r="E21" s="189"/>
      <c r="F21" s="194"/>
      <c r="G21" s="189"/>
      <c r="H21" s="194"/>
      <c r="I21" s="189"/>
      <c r="J21" s="194"/>
      <c r="K21" s="189"/>
      <c r="L21" s="189"/>
      <c r="M21" s="189"/>
      <c r="N21" s="196"/>
      <c r="O21" s="189"/>
      <c r="P21" s="197"/>
      <c r="Q21" s="189"/>
      <c r="R21" s="197"/>
      <c r="S21" s="189"/>
      <c r="T21" s="197"/>
      <c r="U21" s="189"/>
      <c r="V21" s="197"/>
      <c r="W21" s="189"/>
      <c r="X21" s="198"/>
      <c r="Y21" s="189"/>
      <c r="Z21" s="198"/>
      <c r="AB21" s="132">
        <v>1461784</v>
      </c>
      <c r="AC21" s="132">
        <v>1464661</v>
      </c>
      <c r="AD21" s="132">
        <v>1466249</v>
      </c>
      <c r="AE21" s="132">
        <v>1447727</v>
      </c>
      <c r="AF21" s="132">
        <v>1410250</v>
      </c>
      <c r="AG21" s="132">
        <v>1353158</v>
      </c>
      <c r="AH21" s="132">
        <v>1500602</v>
      </c>
      <c r="AI21" s="132">
        <v>1214464.6100000001</v>
      </c>
      <c r="AJ21" s="131">
        <v>1244530.33</v>
      </c>
      <c r="AK21" s="131">
        <v>1246470.1499999999</v>
      </c>
    </row>
    <row r="22" spans="2:38" s="16" customFormat="1" ht="17.25" customHeight="1">
      <c r="B22" s="206" t="s">
        <v>124</v>
      </c>
      <c r="C22" s="15"/>
      <c r="D22" s="22"/>
      <c r="E22" s="189"/>
      <c r="F22" s="194"/>
      <c r="G22" s="189"/>
      <c r="H22" s="194"/>
      <c r="I22" s="189"/>
      <c r="J22" s="194"/>
      <c r="K22" s="189"/>
      <c r="L22" s="189"/>
      <c r="M22" s="189"/>
      <c r="N22" s="196"/>
      <c r="O22" s="189"/>
      <c r="P22" s="197"/>
      <c r="Q22" s="189"/>
      <c r="R22" s="197"/>
      <c r="S22" s="189"/>
      <c r="T22" s="197"/>
      <c r="U22" s="189"/>
      <c r="V22" s="197"/>
      <c r="W22" s="189"/>
      <c r="X22" s="198"/>
      <c r="Y22" s="189"/>
      <c r="Z22" s="198"/>
      <c r="AB22" s="132">
        <v>123625</v>
      </c>
      <c r="AC22" s="132">
        <v>125422</v>
      </c>
      <c r="AD22" s="132">
        <v>130131</v>
      </c>
      <c r="AE22" s="132">
        <v>120709</v>
      </c>
      <c r="AF22" s="132">
        <v>133402</v>
      </c>
      <c r="AG22" s="132">
        <v>128151</v>
      </c>
      <c r="AH22" s="132">
        <v>144807</v>
      </c>
      <c r="AI22" s="132">
        <v>148281</v>
      </c>
      <c r="AJ22" s="131">
        <v>137775</v>
      </c>
      <c r="AK22" s="131">
        <v>141280</v>
      </c>
    </row>
    <row r="23" spans="2:38" s="16" customFormat="1" ht="17.25" customHeight="1">
      <c r="B23" s="188" t="s">
        <v>125</v>
      </c>
      <c r="C23" s="15"/>
      <c r="D23" s="22"/>
      <c r="E23" s="189"/>
      <c r="F23" s="194"/>
      <c r="G23" s="189"/>
      <c r="H23" s="194"/>
      <c r="I23" s="189"/>
      <c r="J23" s="194"/>
      <c r="K23" s="189"/>
      <c r="L23" s="189"/>
      <c r="M23" s="189"/>
      <c r="N23" s="196"/>
      <c r="O23" s="189"/>
      <c r="P23" s="197"/>
      <c r="Q23" s="189"/>
      <c r="R23" s="197"/>
      <c r="S23" s="189"/>
      <c r="T23" s="197"/>
      <c r="U23" s="189"/>
      <c r="V23" s="197"/>
      <c r="W23" s="189"/>
      <c r="X23" s="198"/>
      <c r="Y23" s="189"/>
      <c r="Z23" s="198"/>
      <c r="AB23" s="134">
        <f>SUM(AB21:AB22)</f>
        <v>1585409</v>
      </c>
      <c r="AC23" s="134">
        <f t="shared" ref="AC23:AK23" si="0">SUM(AC21:AC22)</f>
        <v>1590083</v>
      </c>
      <c r="AD23" s="134">
        <f t="shared" si="0"/>
        <v>1596380</v>
      </c>
      <c r="AE23" s="134">
        <f t="shared" si="0"/>
        <v>1568436</v>
      </c>
      <c r="AF23" s="134">
        <f t="shared" si="0"/>
        <v>1543652</v>
      </c>
      <c r="AG23" s="134">
        <f t="shared" si="0"/>
        <v>1481309</v>
      </c>
      <c r="AH23" s="134">
        <f t="shared" si="0"/>
        <v>1645409</v>
      </c>
      <c r="AI23" s="134">
        <f t="shared" si="0"/>
        <v>1362745.61</v>
      </c>
      <c r="AJ23" s="134">
        <f t="shared" si="0"/>
        <v>1382305.33</v>
      </c>
      <c r="AK23" s="134">
        <f t="shared" si="0"/>
        <v>1387750.15</v>
      </c>
    </row>
    <row r="24" spans="2:38" ht="13.5" customHeight="1" thickBot="1">
      <c r="B24" s="17" t="s">
        <v>0</v>
      </c>
      <c r="C24" s="17"/>
      <c r="D24" s="23" t="s">
        <v>0</v>
      </c>
      <c r="E24" s="50" t="s">
        <v>0</v>
      </c>
      <c r="F24" s="23" t="s">
        <v>0</v>
      </c>
      <c r="G24" s="50" t="s">
        <v>0</v>
      </c>
      <c r="H24" s="23" t="s">
        <v>0</v>
      </c>
      <c r="I24" s="50" t="s">
        <v>0</v>
      </c>
      <c r="J24" s="23" t="s">
        <v>0</v>
      </c>
      <c r="K24" s="50" t="s">
        <v>0</v>
      </c>
      <c r="L24" s="18" t="s">
        <v>0</v>
      </c>
      <c r="M24" s="50"/>
      <c r="N24" s="23"/>
      <c r="O24" s="50"/>
      <c r="P24" s="23"/>
      <c r="Q24" s="50"/>
      <c r="R24" s="23"/>
      <c r="S24" s="50"/>
      <c r="T24" s="23"/>
      <c r="U24" s="50"/>
      <c r="V24" s="23"/>
      <c r="W24" s="50"/>
      <c r="X24" s="23"/>
      <c r="Y24" s="50"/>
      <c r="Z24" s="23"/>
      <c r="AA24" s="18"/>
      <c r="AB24" s="135" t="s">
        <v>0</v>
      </c>
      <c r="AC24" s="135" t="s">
        <v>0</v>
      </c>
      <c r="AD24" s="135" t="s">
        <v>0</v>
      </c>
      <c r="AE24" s="135" t="s">
        <v>0</v>
      </c>
      <c r="AF24" s="135" t="s">
        <v>0</v>
      </c>
      <c r="AG24" s="135" t="s">
        <v>0</v>
      </c>
      <c r="AH24" s="135" t="s">
        <v>0</v>
      </c>
      <c r="AI24" s="135" t="s">
        <v>0</v>
      </c>
      <c r="AJ24" s="135" t="s">
        <v>0</v>
      </c>
      <c r="AK24" s="135" t="s">
        <v>0</v>
      </c>
    </row>
    <row r="25" spans="2:38" customFormat="1" ht="21.75" customHeight="1">
      <c r="B25" s="44" t="s">
        <v>23</v>
      </c>
      <c r="C25" s="26"/>
      <c r="D25" s="27"/>
      <c r="E25" s="51"/>
      <c r="F25" s="27"/>
      <c r="G25" s="51"/>
      <c r="H25" s="27"/>
      <c r="I25" s="51"/>
      <c r="J25" s="27"/>
      <c r="K25" s="51"/>
      <c r="L25" s="26"/>
      <c r="M25" s="53"/>
      <c r="N25" s="27"/>
      <c r="O25" s="53"/>
      <c r="P25" s="27"/>
      <c r="Q25" s="53"/>
      <c r="R25" s="27"/>
      <c r="S25" s="53"/>
      <c r="T25" s="27"/>
      <c r="U25" s="53"/>
      <c r="V25" s="27"/>
      <c r="W25" s="53"/>
      <c r="X25" s="27"/>
      <c r="Y25" s="53"/>
      <c r="Z25" s="27"/>
      <c r="AA25" s="58"/>
      <c r="AB25" s="136"/>
      <c r="AC25" s="136"/>
      <c r="AD25" s="137"/>
      <c r="AE25" s="137"/>
      <c r="AF25" s="138"/>
      <c r="AG25" s="138"/>
      <c r="AH25" s="138"/>
      <c r="AI25" s="138"/>
      <c r="AJ25" s="138"/>
      <c r="AK25" s="138"/>
    </row>
    <row r="26" spans="2:38" customFormat="1">
      <c r="B26" s="77" t="s">
        <v>89</v>
      </c>
      <c r="C26" s="77" t="s">
        <v>21</v>
      </c>
      <c r="D26" s="77"/>
      <c r="E26" s="203">
        <v>0</v>
      </c>
      <c r="F26" s="78"/>
      <c r="G26" s="203">
        <v>0</v>
      </c>
      <c r="H26" s="78" t="s">
        <v>95</v>
      </c>
      <c r="I26" s="203">
        <v>0</v>
      </c>
      <c r="J26" s="78" t="s">
        <v>95</v>
      </c>
      <c r="K26" s="203">
        <v>0</v>
      </c>
      <c r="L26" s="77" t="s">
        <v>95</v>
      </c>
      <c r="M26" s="203">
        <v>0</v>
      </c>
      <c r="N26" s="78" t="s">
        <v>95</v>
      </c>
      <c r="O26" s="203">
        <v>0</v>
      </c>
      <c r="P26" s="78" t="s">
        <v>95</v>
      </c>
      <c r="Q26" s="203">
        <v>0</v>
      </c>
      <c r="R26" s="78" t="s">
        <v>95</v>
      </c>
      <c r="S26" s="203">
        <v>0</v>
      </c>
      <c r="T26" s="78" t="s">
        <v>95</v>
      </c>
      <c r="U26" s="203">
        <v>0</v>
      </c>
      <c r="V26" s="78" t="s">
        <v>95</v>
      </c>
      <c r="W26" s="201">
        <v>0</v>
      </c>
      <c r="X26" s="25" t="s">
        <v>95</v>
      </c>
      <c r="Y26" s="201">
        <v>0</v>
      </c>
      <c r="Z26" s="25" t="s">
        <v>95</v>
      </c>
      <c r="AA26" s="79"/>
      <c r="AB26" s="132">
        <v>1193718</v>
      </c>
      <c r="AC26" s="132">
        <v>1358271.56</v>
      </c>
      <c r="AD26" s="132">
        <v>1497005.49</v>
      </c>
      <c r="AE26" s="132">
        <v>2326514.71</v>
      </c>
      <c r="AF26" s="132">
        <v>2666292.15</v>
      </c>
      <c r="AG26" s="132">
        <v>2939409.34</v>
      </c>
      <c r="AH26" s="132">
        <v>2428451.9500000002</v>
      </c>
      <c r="AI26" s="132">
        <v>1343259.56</v>
      </c>
      <c r="AJ26" s="131">
        <v>2817586.58</v>
      </c>
      <c r="AK26" s="131">
        <v>2864180.21</v>
      </c>
    </row>
    <row r="27" spans="2:38" customFormat="1">
      <c r="B27" s="77" t="s">
        <v>90</v>
      </c>
      <c r="C27" s="77" t="s">
        <v>22</v>
      </c>
      <c r="D27" s="77"/>
      <c r="E27" s="203">
        <v>0</v>
      </c>
      <c r="F27" s="78"/>
      <c r="G27" s="203">
        <v>0.05</v>
      </c>
      <c r="H27" s="78" t="s">
        <v>96</v>
      </c>
      <c r="I27" s="203">
        <v>0</v>
      </c>
      <c r="J27" s="78" t="s">
        <v>95</v>
      </c>
      <c r="K27" s="203">
        <v>0</v>
      </c>
      <c r="L27" s="77" t="s">
        <v>95</v>
      </c>
      <c r="M27" s="203">
        <v>0</v>
      </c>
      <c r="N27" s="78" t="s">
        <v>95</v>
      </c>
      <c r="O27" s="203">
        <v>0</v>
      </c>
      <c r="P27" s="78" t="s">
        <v>95</v>
      </c>
      <c r="Q27" s="203">
        <v>0</v>
      </c>
      <c r="R27" s="78" t="s">
        <v>95</v>
      </c>
      <c r="S27" s="203">
        <v>0</v>
      </c>
      <c r="T27" s="78" t="s">
        <v>95</v>
      </c>
      <c r="U27" s="203">
        <v>0</v>
      </c>
      <c r="V27" s="78" t="s">
        <v>95</v>
      </c>
      <c r="W27" s="201">
        <v>0</v>
      </c>
      <c r="X27" s="25" t="s">
        <v>95</v>
      </c>
      <c r="Y27" s="201">
        <v>0</v>
      </c>
      <c r="Z27" s="25" t="s">
        <v>95</v>
      </c>
      <c r="AA27" s="79"/>
      <c r="AB27" s="132">
        <v>249</v>
      </c>
      <c r="AC27" s="132">
        <v>186.34</v>
      </c>
      <c r="AD27" s="132">
        <v>83.35</v>
      </c>
      <c r="AE27" s="132">
        <v>263.66000000000003</v>
      </c>
      <c r="AF27" s="132">
        <v>393.93</v>
      </c>
      <c r="AG27" s="132">
        <v>177.1</v>
      </c>
      <c r="AH27" s="132">
        <v>0</v>
      </c>
      <c r="AI27" s="132">
        <v>0</v>
      </c>
      <c r="AJ27" s="131">
        <v>0</v>
      </c>
      <c r="AK27" s="131">
        <v>0</v>
      </c>
    </row>
    <row r="28" spans="2:38" customFormat="1">
      <c r="B28" s="77" t="s">
        <v>91</v>
      </c>
      <c r="C28" s="77" t="s">
        <v>22</v>
      </c>
      <c r="D28" s="77"/>
      <c r="E28" s="203">
        <v>0</v>
      </c>
      <c r="F28" s="78"/>
      <c r="G28" s="203">
        <v>0</v>
      </c>
      <c r="H28" s="78" t="s">
        <v>95</v>
      </c>
      <c r="I28" s="203">
        <v>0</v>
      </c>
      <c r="J28" s="78" t="s">
        <v>95</v>
      </c>
      <c r="K28" s="203">
        <v>0</v>
      </c>
      <c r="L28" s="77" t="s">
        <v>95</v>
      </c>
      <c r="M28" s="203">
        <v>0</v>
      </c>
      <c r="N28" s="78" t="s">
        <v>95</v>
      </c>
      <c r="O28" s="203">
        <v>0</v>
      </c>
      <c r="P28" s="78" t="s">
        <v>95</v>
      </c>
      <c r="Q28" s="203">
        <v>0</v>
      </c>
      <c r="R28" s="78" t="s">
        <v>95</v>
      </c>
      <c r="S28" s="203">
        <v>0</v>
      </c>
      <c r="T28" s="78" t="s">
        <v>95</v>
      </c>
      <c r="U28" s="203">
        <v>0</v>
      </c>
      <c r="V28" s="78" t="s">
        <v>95</v>
      </c>
      <c r="W28" s="201">
        <v>0</v>
      </c>
      <c r="X28" s="25" t="s">
        <v>95</v>
      </c>
      <c r="Y28" s="201">
        <v>0</v>
      </c>
      <c r="Z28" s="25" t="s">
        <v>95</v>
      </c>
      <c r="AA28" s="79"/>
      <c r="AB28" s="132">
        <v>33507</v>
      </c>
      <c r="AC28" s="132">
        <v>22396.12</v>
      </c>
      <c r="AD28" s="132">
        <v>19821.29</v>
      </c>
      <c r="AE28" s="132">
        <v>25670.21</v>
      </c>
      <c r="AF28" s="132">
        <f>10240+450+159+16672.5</f>
        <v>27521.5</v>
      </c>
      <c r="AG28" s="132">
        <f>9660+900+306+16404.75</f>
        <v>27270.75</v>
      </c>
      <c r="AH28" s="132">
        <v>22296.25</v>
      </c>
      <c r="AI28" s="132">
        <v>20622.75</v>
      </c>
      <c r="AJ28" s="131">
        <v>27353.45</v>
      </c>
      <c r="AK28" s="131">
        <v>79536.22</v>
      </c>
    </row>
    <row r="29" spans="2:38" customFormat="1">
      <c r="B29" s="77" t="s">
        <v>92</v>
      </c>
      <c r="C29" s="77" t="s">
        <v>22</v>
      </c>
      <c r="D29" s="77"/>
      <c r="E29" s="203">
        <v>0</v>
      </c>
      <c r="F29" s="78"/>
      <c r="G29" s="203">
        <v>0.2</v>
      </c>
      <c r="H29" s="78" t="s">
        <v>40</v>
      </c>
      <c r="I29" s="203">
        <v>0</v>
      </c>
      <c r="J29" s="78" t="s">
        <v>97</v>
      </c>
      <c r="K29" s="203">
        <v>0</v>
      </c>
      <c r="L29" s="77" t="s">
        <v>97</v>
      </c>
      <c r="M29" s="203">
        <v>0</v>
      </c>
      <c r="N29" s="78" t="s">
        <v>97</v>
      </c>
      <c r="O29" s="203">
        <v>0</v>
      </c>
      <c r="P29" s="78" t="s">
        <v>97</v>
      </c>
      <c r="Q29" s="203">
        <v>0</v>
      </c>
      <c r="R29" s="78" t="s">
        <v>97</v>
      </c>
      <c r="S29" s="203">
        <v>0</v>
      </c>
      <c r="T29" s="78" t="s">
        <v>97</v>
      </c>
      <c r="U29" s="203">
        <v>0</v>
      </c>
      <c r="V29" s="78" t="s">
        <v>97</v>
      </c>
      <c r="W29" s="201">
        <v>0</v>
      </c>
      <c r="X29" s="25" t="s">
        <v>97</v>
      </c>
      <c r="Y29" s="201">
        <v>0</v>
      </c>
      <c r="Z29" s="25" t="s">
        <v>97</v>
      </c>
      <c r="AA29" s="79"/>
      <c r="AB29" s="132">
        <v>27951</v>
      </c>
      <c r="AC29" s="132">
        <v>19215.5</v>
      </c>
      <c r="AD29" s="132">
        <v>2.5</v>
      </c>
      <c r="AE29" s="132">
        <v>0</v>
      </c>
      <c r="AF29" s="132">
        <v>0</v>
      </c>
      <c r="AG29" s="132">
        <v>0</v>
      </c>
      <c r="AH29" s="132">
        <v>0</v>
      </c>
      <c r="AI29" s="132">
        <v>0</v>
      </c>
      <c r="AJ29" s="131">
        <v>0</v>
      </c>
      <c r="AK29" s="131">
        <v>0</v>
      </c>
    </row>
    <row r="30" spans="2:38" customFormat="1">
      <c r="B30" s="77" t="s">
        <v>93</v>
      </c>
      <c r="C30" s="77" t="s">
        <v>22</v>
      </c>
      <c r="D30" s="77"/>
      <c r="E30" s="203">
        <v>0</v>
      </c>
      <c r="F30" s="78"/>
      <c r="G30" s="203">
        <v>0</v>
      </c>
      <c r="H30" s="78" t="s">
        <v>95</v>
      </c>
      <c r="I30" s="203">
        <v>0</v>
      </c>
      <c r="J30" s="78" t="s">
        <v>95</v>
      </c>
      <c r="K30" s="203">
        <v>0</v>
      </c>
      <c r="L30" s="77" t="s">
        <v>95</v>
      </c>
      <c r="M30" s="203">
        <v>0</v>
      </c>
      <c r="N30" s="78" t="s">
        <v>95</v>
      </c>
      <c r="O30" s="203">
        <v>0</v>
      </c>
      <c r="P30" s="78" t="s">
        <v>95</v>
      </c>
      <c r="Q30" s="203">
        <v>0</v>
      </c>
      <c r="R30" s="78" t="s">
        <v>95</v>
      </c>
      <c r="S30" s="203">
        <v>0</v>
      </c>
      <c r="T30" s="78" t="s">
        <v>95</v>
      </c>
      <c r="U30" s="203">
        <v>0</v>
      </c>
      <c r="V30" s="78" t="s">
        <v>95</v>
      </c>
      <c r="W30" s="201">
        <v>0</v>
      </c>
      <c r="X30" s="25" t="s">
        <v>95</v>
      </c>
      <c r="Y30" s="201">
        <v>0</v>
      </c>
      <c r="Z30" s="25" t="s">
        <v>95</v>
      </c>
      <c r="AA30" s="79"/>
      <c r="AB30" s="132">
        <v>765</v>
      </c>
      <c r="AC30" s="132">
        <v>685</v>
      </c>
      <c r="AD30" s="132">
        <v>395</v>
      </c>
      <c r="AE30" s="132">
        <v>510</v>
      </c>
      <c r="AF30" s="132">
        <v>1335</v>
      </c>
      <c r="AG30" s="132">
        <v>1870</v>
      </c>
      <c r="AH30" s="132">
        <v>345</v>
      </c>
      <c r="AI30" s="132">
        <v>120</v>
      </c>
      <c r="AJ30" s="131">
        <v>485</v>
      </c>
      <c r="AK30" s="131">
        <v>0</v>
      </c>
    </row>
    <row r="31" spans="2:38" customFormat="1">
      <c r="B31" s="77" t="s">
        <v>94</v>
      </c>
      <c r="C31" s="77" t="s">
        <v>22</v>
      </c>
      <c r="D31" s="78"/>
      <c r="E31" s="203">
        <v>0</v>
      </c>
      <c r="F31" s="78"/>
      <c r="G31" s="203">
        <v>50</v>
      </c>
      <c r="H31" s="78" t="s">
        <v>98</v>
      </c>
      <c r="I31" s="203">
        <v>50</v>
      </c>
      <c r="J31" s="78" t="s">
        <v>98</v>
      </c>
      <c r="K31" s="203">
        <v>50</v>
      </c>
      <c r="L31" s="77" t="s">
        <v>98</v>
      </c>
      <c r="M31" s="203">
        <v>50</v>
      </c>
      <c r="N31" s="78" t="s">
        <v>98</v>
      </c>
      <c r="O31" s="204">
        <v>50</v>
      </c>
      <c r="P31" s="78" t="s">
        <v>98</v>
      </c>
      <c r="Q31" s="203">
        <v>50</v>
      </c>
      <c r="R31" s="78" t="s">
        <v>98</v>
      </c>
      <c r="S31" s="203">
        <v>50</v>
      </c>
      <c r="T31" s="78" t="s">
        <v>98</v>
      </c>
      <c r="U31" s="203">
        <v>50</v>
      </c>
      <c r="V31" s="78" t="s">
        <v>98</v>
      </c>
      <c r="W31" s="201">
        <v>50</v>
      </c>
      <c r="X31" s="25" t="s">
        <v>98</v>
      </c>
      <c r="Y31" s="201">
        <v>50</v>
      </c>
      <c r="Z31" s="25" t="s">
        <v>98</v>
      </c>
      <c r="AA31" s="79"/>
      <c r="AB31" s="132">
        <v>71550</v>
      </c>
      <c r="AC31" s="132">
        <v>65050</v>
      </c>
      <c r="AD31" s="132">
        <v>60400</v>
      </c>
      <c r="AE31" s="132">
        <v>77750</v>
      </c>
      <c r="AF31" s="132">
        <v>62750</v>
      </c>
      <c r="AG31" s="132">
        <v>39800</v>
      </c>
      <c r="AH31" s="132">
        <v>35300</v>
      </c>
      <c r="AI31" s="132">
        <v>8450</v>
      </c>
      <c r="AJ31" s="131">
        <v>26650</v>
      </c>
      <c r="AK31" s="131">
        <v>0</v>
      </c>
    </row>
    <row r="32" spans="2:38" s="118" customFormat="1">
      <c r="B32" s="24"/>
      <c r="C32" s="24"/>
      <c r="D32" s="25"/>
      <c r="E32" s="201"/>
      <c r="F32" s="25"/>
      <c r="G32" s="201"/>
      <c r="H32" s="25"/>
      <c r="I32" s="201"/>
      <c r="J32" s="25"/>
      <c r="K32" s="201"/>
      <c r="L32" s="24"/>
      <c r="M32" s="201"/>
      <c r="N32" s="25"/>
      <c r="O32" s="213"/>
      <c r="P32" s="25"/>
      <c r="Q32" s="201"/>
      <c r="R32" s="25"/>
      <c r="S32" s="203"/>
      <c r="T32" s="78"/>
      <c r="U32" s="203"/>
      <c r="V32" s="78"/>
      <c r="W32" s="203"/>
      <c r="X32" s="78"/>
      <c r="Y32" s="201"/>
      <c r="Z32" s="25"/>
      <c r="AA32" s="56"/>
      <c r="AB32" s="131"/>
      <c r="AC32" s="131"/>
      <c r="AD32" s="131"/>
      <c r="AE32" s="131"/>
      <c r="AF32" s="131"/>
      <c r="AG32" s="131"/>
      <c r="AH32" s="132"/>
      <c r="AI32" s="132"/>
      <c r="AJ32" s="132"/>
      <c r="AK32" s="131"/>
    </row>
    <row r="33" spans="2:37" s="118" customFormat="1">
      <c r="B33" s="43"/>
      <c r="C33" s="24"/>
      <c r="D33" s="25"/>
      <c r="E33" s="201"/>
      <c r="F33" s="25"/>
      <c r="G33" s="201"/>
      <c r="H33" s="25"/>
      <c r="I33" s="201"/>
      <c r="J33" s="25"/>
      <c r="K33" s="201"/>
      <c r="L33" s="24"/>
      <c r="M33" s="201"/>
      <c r="N33" s="25"/>
      <c r="O33" s="201"/>
      <c r="P33" s="25"/>
      <c r="Q33" s="201"/>
      <c r="R33" s="25"/>
      <c r="S33" s="203"/>
      <c r="T33" s="78"/>
      <c r="U33" s="203"/>
      <c r="V33" s="78"/>
      <c r="W33" s="203"/>
      <c r="X33" s="78"/>
      <c r="Y33" s="201"/>
      <c r="Z33" s="25"/>
      <c r="AA33" s="56"/>
      <c r="AB33" s="131"/>
      <c r="AC33" s="131"/>
      <c r="AD33" s="131"/>
      <c r="AE33" s="131"/>
      <c r="AF33" s="131"/>
      <c r="AG33" s="131"/>
      <c r="AH33" s="132"/>
      <c r="AI33" s="132"/>
      <c r="AJ33" s="132"/>
      <c r="AK33" s="131"/>
    </row>
    <row r="34" spans="2:37" s="118" customFormat="1">
      <c r="B34" s="43"/>
      <c r="C34" s="24"/>
      <c r="D34" s="25"/>
      <c r="E34" s="201"/>
      <c r="F34" s="25"/>
      <c r="G34" s="201"/>
      <c r="H34" s="25"/>
      <c r="I34" s="201"/>
      <c r="J34" s="25"/>
      <c r="K34" s="201"/>
      <c r="L34" s="24"/>
      <c r="M34" s="201"/>
      <c r="N34" s="25"/>
      <c r="O34" s="201"/>
      <c r="P34" s="25"/>
      <c r="Q34" s="201"/>
      <c r="R34" s="25"/>
      <c r="S34" s="203"/>
      <c r="T34" s="78"/>
      <c r="U34" s="203"/>
      <c r="V34" s="78"/>
      <c r="W34" s="203"/>
      <c r="X34" s="78"/>
      <c r="Y34" s="201"/>
      <c r="Z34" s="25"/>
      <c r="AA34" s="56"/>
      <c r="AB34" s="131"/>
      <c r="AC34" s="131"/>
      <c r="AD34" s="131"/>
      <c r="AE34" s="131"/>
      <c r="AF34" s="131"/>
      <c r="AG34" s="131"/>
      <c r="AH34" s="132"/>
      <c r="AI34" s="132"/>
      <c r="AJ34" s="132"/>
      <c r="AK34" s="131"/>
    </row>
    <row r="35" spans="2:37" s="118" customFormat="1">
      <c r="B35" s="43"/>
      <c r="C35" s="24"/>
      <c r="D35" s="25"/>
      <c r="E35" s="201"/>
      <c r="F35" s="25"/>
      <c r="G35" s="201"/>
      <c r="H35" s="25"/>
      <c r="I35" s="201"/>
      <c r="J35" s="25"/>
      <c r="K35" s="201"/>
      <c r="L35" s="24"/>
      <c r="M35" s="201"/>
      <c r="N35" s="25"/>
      <c r="O35" s="201"/>
      <c r="P35" s="25"/>
      <c r="Q35" s="201"/>
      <c r="R35" s="25"/>
      <c r="S35" s="203"/>
      <c r="T35" s="78"/>
      <c r="U35" s="203"/>
      <c r="V35" s="78"/>
      <c r="W35" s="203"/>
      <c r="X35" s="78"/>
      <c r="Y35" s="201"/>
      <c r="Z35" s="25"/>
      <c r="AA35" s="56"/>
      <c r="AB35" s="131"/>
      <c r="AC35" s="131"/>
      <c r="AD35" s="131"/>
      <c r="AE35" s="131"/>
      <c r="AF35" s="131"/>
      <c r="AG35" s="131"/>
      <c r="AH35" s="132"/>
      <c r="AI35" s="132"/>
      <c r="AJ35" s="132"/>
      <c r="AK35" s="131"/>
    </row>
    <row r="36" spans="2:37">
      <c r="B36" s="117" t="s">
        <v>69</v>
      </c>
      <c r="C36" s="80"/>
      <c r="D36" s="81"/>
      <c r="E36" s="202"/>
      <c r="F36" s="81"/>
      <c r="G36" s="202"/>
      <c r="H36" s="81"/>
      <c r="I36" s="202"/>
      <c r="J36" s="81"/>
      <c r="K36" s="202"/>
      <c r="L36" s="80"/>
      <c r="M36" s="202"/>
      <c r="N36" s="81"/>
      <c r="O36" s="202"/>
      <c r="P36" s="81"/>
      <c r="Q36" s="202"/>
      <c r="R36" s="81"/>
      <c r="S36" s="202"/>
      <c r="T36" s="81"/>
      <c r="U36" s="202"/>
      <c r="V36" s="81"/>
      <c r="W36" s="202"/>
      <c r="X36" s="81"/>
      <c r="Y36" s="202"/>
      <c r="Z36" s="81"/>
      <c r="AA36" s="82"/>
      <c r="AB36" s="132"/>
      <c r="AC36" s="132"/>
      <c r="AD36" s="132"/>
      <c r="AE36" s="132"/>
      <c r="AF36" s="132"/>
      <c r="AG36" s="132"/>
      <c r="AH36" s="132"/>
      <c r="AI36" s="132"/>
      <c r="AJ36" s="132"/>
      <c r="AK36" s="132"/>
    </row>
    <row r="37" spans="2:37">
      <c r="B37" s="84"/>
      <c r="E37" s="85"/>
      <c r="G37" s="85"/>
      <c r="I37" s="85"/>
      <c r="K37" s="85"/>
      <c r="M37" s="85"/>
      <c r="O37" s="85"/>
      <c r="Q37" s="85"/>
      <c r="S37" s="85"/>
      <c r="U37" s="85"/>
      <c r="W37" s="85"/>
      <c r="Y37" s="85"/>
      <c r="AB37" s="42"/>
      <c r="AC37" s="42"/>
      <c r="AD37" s="42"/>
      <c r="AE37" s="42"/>
      <c r="AF37" s="42"/>
      <c r="AG37" s="42"/>
      <c r="AH37" s="42"/>
      <c r="AI37" s="42"/>
      <c r="AJ37" s="42"/>
      <c r="AK37" s="42"/>
    </row>
    <row r="38" spans="2:37" s="88" customFormat="1" ht="30.75" customHeight="1">
      <c r="B38" s="87"/>
      <c r="D38" s="89"/>
      <c r="E38" s="416" t="str">
        <f>E2&amp;" Comments"</f>
        <v>2013-14 Comments</v>
      </c>
      <c r="F38" s="417"/>
      <c r="G38" s="416" t="str">
        <f>G2&amp;" Comments"</f>
        <v>2014-15 Comments</v>
      </c>
      <c r="H38" s="417"/>
      <c r="I38" s="416" t="str">
        <f>I2&amp;" Comments"</f>
        <v>2015-16 Comments</v>
      </c>
      <c r="J38" s="417"/>
      <c r="K38" s="416" t="str">
        <f>K2&amp;" Comments"</f>
        <v>2016-17 Comments</v>
      </c>
      <c r="L38" s="417"/>
      <c r="M38" s="416" t="str">
        <f>M2&amp;" Comments"</f>
        <v>2017-18 Comments</v>
      </c>
      <c r="N38" s="417"/>
      <c r="O38" s="416" t="str">
        <f>O2&amp;" Comments"</f>
        <v>2018-19 Comments</v>
      </c>
      <c r="P38" s="417"/>
      <c r="Q38" s="416" t="str">
        <f>Q2&amp;" Comments"</f>
        <v>2019-20 Comments</v>
      </c>
      <c r="R38" s="417"/>
      <c r="S38" s="416" t="str">
        <f>S2&amp;" Comments"</f>
        <v>2020-21 Comments</v>
      </c>
      <c r="T38" s="417"/>
      <c r="U38" s="416" t="str">
        <f>U2&amp;" Comments"</f>
        <v>2021-22 Comments</v>
      </c>
      <c r="V38" s="417"/>
      <c r="W38" s="416" t="str">
        <f>W2&amp;" Comments"</f>
        <v>2022-23 Comments</v>
      </c>
      <c r="X38" s="417"/>
      <c r="Y38" s="416" t="str">
        <f>Y2&amp;" Comments"</f>
        <v>2023-24 Comments</v>
      </c>
      <c r="Z38" s="417"/>
      <c r="AA38" s="110"/>
      <c r="AB38" s="90"/>
      <c r="AC38" s="90"/>
      <c r="AD38" s="90"/>
      <c r="AE38" s="90"/>
      <c r="AF38" s="90"/>
      <c r="AG38" s="90"/>
      <c r="AH38" s="90"/>
      <c r="AI38" s="90"/>
      <c r="AJ38" s="90"/>
      <c r="AK38" s="90"/>
    </row>
    <row r="39" spans="2:37" ht="174" customHeight="1">
      <c r="B39" s="86"/>
      <c r="C39" s="86"/>
      <c r="D39" s="86"/>
      <c r="E39" s="422"/>
      <c r="F39" s="423"/>
      <c r="G39" s="422"/>
      <c r="H39" s="423"/>
      <c r="I39" s="420" t="s">
        <v>116</v>
      </c>
      <c r="J39" s="421"/>
      <c r="K39" s="420" t="s">
        <v>116</v>
      </c>
      <c r="L39" s="421"/>
      <c r="M39" s="420" t="s">
        <v>116</v>
      </c>
      <c r="N39" s="421"/>
      <c r="O39" s="420" t="s">
        <v>116</v>
      </c>
      <c r="P39" s="421"/>
      <c r="Q39" s="420" t="s">
        <v>121</v>
      </c>
      <c r="R39" s="421"/>
      <c r="S39" s="420" t="s">
        <v>127</v>
      </c>
      <c r="T39" s="421"/>
      <c r="U39" s="420" t="s">
        <v>254</v>
      </c>
      <c r="V39" s="421"/>
      <c r="W39" s="418" t="s">
        <v>257</v>
      </c>
      <c r="X39" s="419"/>
      <c r="Y39" s="418" t="s">
        <v>257</v>
      </c>
      <c r="Z39" s="419"/>
      <c r="AA39" s="111"/>
      <c r="AB39" s="86"/>
      <c r="AC39" s="86"/>
      <c r="AD39" s="86"/>
      <c r="AE39" s="86"/>
      <c r="AF39" s="86"/>
      <c r="AG39" s="86"/>
      <c r="AH39" s="86"/>
      <c r="AI39" s="86"/>
      <c r="AJ39" s="86"/>
      <c r="AK39" s="86"/>
    </row>
    <row r="41" spans="2:37">
      <c r="B41" s="19"/>
    </row>
  </sheetData>
  <sheetProtection formatColumns="0" insertRows="0"/>
  <mergeCells count="35">
    <mergeCell ref="E1:X1"/>
    <mergeCell ref="AB1:AK1"/>
    <mergeCell ref="E2:F2"/>
    <mergeCell ref="G2:H2"/>
    <mergeCell ref="I2:J2"/>
    <mergeCell ref="K2:L2"/>
    <mergeCell ref="M2:N2"/>
    <mergeCell ref="O2:P2"/>
    <mergeCell ref="Q2:R2"/>
    <mergeCell ref="S2:T2"/>
    <mergeCell ref="U2:V2"/>
    <mergeCell ref="W2:X2"/>
    <mergeCell ref="Y2:Z2"/>
    <mergeCell ref="E39:F39"/>
    <mergeCell ref="E38:F38"/>
    <mergeCell ref="G38:H38"/>
    <mergeCell ref="G39:H39"/>
    <mergeCell ref="I38:J38"/>
    <mergeCell ref="I39:J39"/>
    <mergeCell ref="M39:N39"/>
    <mergeCell ref="W39:X39"/>
    <mergeCell ref="K39:L39"/>
    <mergeCell ref="K38:L38"/>
    <mergeCell ref="M38:N38"/>
    <mergeCell ref="O38:P38"/>
    <mergeCell ref="U39:V39"/>
    <mergeCell ref="S39:T39"/>
    <mergeCell ref="Q39:R39"/>
    <mergeCell ref="O39:P39"/>
    <mergeCell ref="Y38:Z38"/>
    <mergeCell ref="Y39:Z39"/>
    <mergeCell ref="W38:X38"/>
    <mergeCell ref="Q38:R38"/>
    <mergeCell ref="S38:T38"/>
    <mergeCell ref="U38:V38"/>
  </mergeCells>
  <dataValidations count="6">
    <dataValidation type="list" allowBlank="1" showInputMessage="1" showErrorMessage="1" sqref="J17 H17 F17 L17 N17 P17 R17 T17 V17 X17 Z17:AA17" xr:uid="{00000000-0002-0000-0100-000000000000}">
      <formula1>fee_unit</formula1>
    </dataValidation>
    <dataValidation type="decimal" operator="greaterThanOrEqual" allowBlank="1" showInputMessage="1" showErrorMessage="1" errorTitle="data type error" error="value must be number greater or equal to 0" sqref="K26:K30 W26:W30 AB25:AK37 G25:G35 I25:I35 D25:E35 M26:M30 O26:O30 Q26:Q30 S26:S30 U26:U30 AB18:AH23 AI18:AK19 AI21:AK23 AI20:AL20 G4:G16 AB4:AK16 K4:K16 S4:S16 Q4:Q16 O4:O16 U4:U16 D4:E16 I4:I16 W4:W16 M4:M16 Y26:Y30 Y4:Y16" xr:uid="{00000000-0002-0000-0100-000001000000}">
      <formula1>0</formula1>
    </dataValidation>
    <dataValidation type="list" allowBlank="1" showInputMessage="1" showErrorMessage="1" sqref="C17" xr:uid="{00000000-0002-0000-0100-000002000000}">
      <formula1>rev_class</formula1>
    </dataValidation>
    <dataValidation type="decimal" operator="greaterThanOrEqual" allowBlank="1" showInputMessage="1" showErrorMessage="1" errorTitle="Data Type Error" error="Value must be a number greater than or equal to 0." sqref="AB17:AK17" xr:uid="{00000000-0002-0000-0100-000003000000}">
      <formula1>0</formula1>
    </dataValidation>
    <dataValidation type="list" allowBlank="1" showInputMessage="1" showErrorMessage="1" sqref="L26:L35 F25:F35 N26:N35 J25:J35 H25:H35 L25:O25 P25:P35 Q25 R25:R35 S25 T25:T35 U25 V25:V35 Z4:AA16 W25 L4:L16 H4:H16 J4:J16 V4:V16 T4:T16 R4:R16 P4:P16 F4:F16 N4:N16 X4:X16 X25:X35 Z25:AA35 Y25" xr:uid="{00000000-0002-0000-0100-000004000000}">
      <formula1>"SCH, QCH, SEM, SES, APP, DAY, EACH, MO, ONCE, SUM, VAR, YEAR,DSC"</formula1>
    </dataValidation>
    <dataValidation type="list" allowBlank="1" showInputMessage="1" showErrorMessage="1" sqref="C25:C35 C4:C16" xr:uid="{00000000-0002-0000-0100-000005000000}">
      <formula1>"UnresGen, UnresAuxOprt, Restrct"</formula1>
    </dataValidation>
  </dataValidations>
  <pageMargins left="0.3" right="0.3" top="0.75" bottom="0.3" header="0.3" footer="0.25"/>
  <pageSetup scale="56" orientation="landscape" r:id="rId1"/>
  <headerFooter>
    <oddHeader>&amp;C&amp;"-,Bold"&amp;22Northeast Community College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65991-1B7F-45A1-91D6-3EB9120C256A}">
  <dimension ref="A1:CC216"/>
  <sheetViews>
    <sheetView zoomScale="90" zoomScaleNormal="90" workbookViewId="0">
      <pane xSplit="1" ySplit="6" topLeftCell="BR7" activePane="bottomRight" state="frozen"/>
      <selection pane="topRight" activeCell="B1" sqref="B1"/>
      <selection pane="bottomLeft" activeCell="A7" sqref="A7"/>
      <selection pane="bottomRight" activeCell="BY8" sqref="BY8"/>
    </sheetView>
  </sheetViews>
  <sheetFormatPr defaultColWidth="11.42578125" defaultRowHeight="14.25"/>
  <cols>
    <col min="1" max="1" width="61.5703125" style="221" customWidth="1"/>
    <col min="2" max="2" width="16.7109375" style="218" hidden="1" customWidth="1"/>
    <col min="3" max="11" width="16.7109375" style="366" hidden="1" customWidth="1"/>
    <col min="12" max="12" width="17.42578125" style="221" hidden="1" customWidth="1"/>
    <col min="13" max="21" width="17.42578125" style="366" hidden="1" customWidth="1"/>
    <col min="22" max="22" width="17.42578125" style="221" hidden="1" customWidth="1"/>
    <col min="23" max="31" width="17.42578125" style="366" hidden="1" customWidth="1"/>
    <col min="32" max="32" width="17.42578125" style="221" hidden="1" customWidth="1"/>
    <col min="33" max="41" width="17.42578125" style="366" hidden="1" customWidth="1"/>
    <col min="42" max="42" width="14.7109375" style="221" hidden="1" customWidth="1"/>
    <col min="43" max="43" width="16.42578125" style="366" hidden="1" customWidth="1"/>
    <col min="44" max="45" width="16" style="366" hidden="1" customWidth="1"/>
    <col min="46" max="46" width="16.140625" style="366" hidden="1" customWidth="1"/>
    <col min="47" max="47" width="16.28515625" style="366" hidden="1" customWidth="1"/>
    <col min="48" max="48" width="17.42578125" style="366" hidden="1" customWidth="1"/>
    <col min="49" max="50" width="15.7109375" style="366" hidden="1" customWidth="1"/>
    <col min="51" max="51" width="14.5703125" style="366" hidden="1" customWidth="1"/>
    <col min="52" max="52" width="14.7109375" style="221" customWidth="1"/>
    <col min="53" max="53" width="16.42578125" style="366" customWidth="1"/>
    <col min="54" max="55" width="16" style="366" customWidth="1"/>
    <col min="56" max="56" width="16.140625" style="366" customWidth="1"/>
    <col min="57" max="57" width="16.28515625" style="366" customWidth="1"/>
    <col min="58" max="58" width="17.42578125" style="366" customWidth="1"/>
    <col min="59" max="59" width="16.5703125" style="366" customWidth="1"/>
    <col min="60" max="60" width="15.140625" style="366" customWidth="1"/>
    <col min="61" max="61" width="14.42578125" style="366" customWidth="1"/>
    <col min="62" max="62" width="14.7109375" style="221" customWidth="1"/>
    <col min="63" max="63" width="16.42578125" style="366" customWidth="1"/>
    <col min="64" max="65" width="16" style="366" customWidth="1"/>
    <col min="66" max="66" width="16.140625" style="366" customWidth="1"/>
    <col min="67" max="67" width="16.28515625" style="366" customWidth="1"/>
    <col min="68" max="68" width="17.42578125" style="366" customWidth="1"/>
    <col min="69" max="69" width="16.5703125" style="366" customWidth="1"/>
    <col min="70" max="70" width="15.140625" style="366" customWidth="1"/>
    <col min="71" max="71" width="14.42578125" style="366" customWidth="1"/>
    <col min="72" max="72" width="14.7109375" style="221" customWidth="1"/>
    <col min="73" max="73" width="16.42578125" style="366" customWidth="1"/>
    <col min="74" max="75" width="16" style="366" customWidth="1"/>
    <col min="76" max="76" width="16.140625" style="366" customWidth="1"/>
    <col min="77" max="77" width="16.28515625" style="366" customWidth="1"/>
    <col min="78" max="78" width="17.42578125" style="366" customWidth="1"/>
    <col min="79" max="79" width="16.5703125" style="366" customWidth="1"/>
    <col min="80" max="80" width="15.140625" style="366" customWidth="1"/>
    <col min="81" max="81" width="14.42578125" style="366" customWidth="1"/>
    <col min="82" max="701" width="11.42578125" style="221"/>
    <col min="702" max="702" width="0" style="221" hidden="1" customWidth="1"/>
    <col min="703" max="16384" width="11.42578125" style="221"/>
  </cols>
  <sheetData>
    <row r="1" spans="1:81" ht="15" customHeight="1" thickBot="1">
      <c r="A1" s="217"/>
      <c r="C1" s="219"/>
      <c r="D1" s="219"/>
      <c r="E1" s="219"/>
      <c r="F1" s="219"/>
      <c r="G1" s="219"/>
      <c r="H1" s="219"/>
      <c r="I1" s="219"/>
      <c r="J1" s="219"/>
      <c r="K1" s="219"/>
      <c r="L1" s="217"/>
      <c r="M1" s="219"/>
      <c r="N1" s="219"/>
      <c r="O1" s="219"/>
      <c r="P1" s="219"/>
      <c r="Q1" s="219"/>
      <c r="R1" s="219"/>
      <c r="S1" s="219"/>
      <c r="T1" s="219"/>
      <c r="U1" s="219"/>
      <c r="V1" s="220"/>
      <c r="W1" s="219"/>
      <c r="X1" s="219"/>
      <c r="Y1" s="219"/>
      <c r="Z1" s="219"/>
      <c r="AA1" s="219"/>
      <c r="AB1" s="219"/>
      <c r="AC1" s="219"/>
      <c r="AD1" s="219"/>
      <c r="AE1" s="219"/>
      <c r="AF1" s="220"/>
      <c r="AG1" s="219"/>
      <c r="AH1" s="219"/>
      <c r="AI1" s="219"/>
      <c r="AJ1" s="219"/>
      <c r="AK1" s="219"/>
      <c r="AL1" s="219"/>
      <c r="AM1" s="219"/>
      <c r="AN1" s="219"/>
      <c r="AO1" s="219"/>
      <c r="AP1" s="220"/>
      <c r="AQ1" s="219"/>
      <c r="AR1" s="219"/>
      <c r="AS1" s="219"/>
      <c r="AT1" s="219"/>
      <c r="AU1" s="219"/>
      <c r="AV1" s="219"/>
      <c r="AW1" s="219"/>
      <c r="AX1" s="219"/>
      <c r="AY1" s="219"/>
      <c r="AZ1" s="220"/>
      <c r="BA1" s="219"/>
      <c r="BB1" s="219"/>
      <c r="BC1" s="219"/>
      <c r="BD1" s="219"/>
      <c r="BE1" s="219"/>
      <c r="BF1" s="219"/>
      <c r="BG1" s="219"/>
      <c r="BH1" s="219"/>
      <c r="BI1" s="219"/>
      <c r="BJ1" s="220"/>
      <c r="BK1" s="219"/>
      <c r="BL1" s="219"/>
      <c r="BM1" s="219"/>
      <c r="BN1" s="219"/>
      <c r="BO1" s="219"/>
      <c r="BP1" s="219"/>
      <c r="BQ1" s="219"/>
      <c r="BR1" s="219"/>
      <c r="BS1" s="219"/>
      <c r="BT1" s="220"/>
      <c r="BU1" s="219"/>
      <c r="BV1" s="219"/>
      <c r="BW1" s="219"/>
      <c r="BX1" s="219"/>
      <c r="BY1" s="219"/>
      <c r="BZ1" s="219"/>
      <c r="CA1" s="219"/>
      <c r="CB1" s="219"/>
      <c r="CC1" s="219"/>
    </row>
    <row r="2" spans="1:81" s="223" customFormat="1" ht="18">
      <c r="A2" s="222"/>
      <c r="B2" s="453" t="s">
        <v>33</v>
      </c>
      <c r="C2" s="454"/>
      <c r="D2" s="454"/>
      <c r="E2" s="454"/>
      <c r="F2" s="454"/>
      <c r="G2" s="454"/>
      <c r="H2" s="454"/>
      <c r="I2" s="454"/>
      <c r="J2" s="454"/>
      <c r="K2" s="455"/>
      <c r="L2" s="465" t="s">
        <v>30</v>
      </c>
      <c r="M2" s="466"/>
      <c r="N2" s="466"/>
      <c r="O2" s="466"/>
      <c r="P2" s="466"/>
      <c r="Q2" s="466"/>
      <c r="R2" s="466"/>
      <c r="S2" s="466"/>
      <c r="T2" s="466"/>
      <c r="U2" s="467"/>
      <c r="V2" s="468" t="s">
        <v>29</v>
      </c>
      <c r="W2" s="469"/>
      <c r="X2" s="469"/>
      <c r="Y2" s="469"/>
      <c r="Z2" s="469"/>
      <c r="AA2" s="469"/>
      <c r="AB2" s="469"/>
      <c r="AC2" s="469"/>
      <c r="AD2" s="469"/>
      <c r="AE2" s="470"/>
      <c r="AF2" s="471" t="s">
        <v>34</v>
      </c>
      <c r="AG2" s="472"/>
      <c r="AH2" s="472"/>
      <c r="AI2" s="472"/>
      <c r="AJ2" s="472"/>
      <c r="AK2" s="472"/>
      <c r="AL2" s="472"/>
      <c r="AM2" s="472"/>
      <c r="AN2" s="472"/>
      <c r="AO2" s="473"/>
      <c r="AP2" s="474" t="s">
        <v>35</v>
      </c>
      <c r="AQ2" s="475"/>
      <c r="AR2" s="475"/>
      <c r="AS2" s="475"/>
      <c r="AT2" s="475"/>
      <c r="AU2" s="475"/>
      <c r="AV2" s="475"/>
      <c r="AW2" s="475"/>
      <c r="AX2" s="475"/>
      <c r="AY2" s="476"/>
      <c r="AZ2" s="477" t="s">
        <v>37</v>
      </c>
      <c r="BA2" s="478"/>
      <c r="BB2" s="478"/>
      <c r="BC2" s="478"/>
      <c r="BD2" s="478"/>
      <c r="BE2" s="478"/>
      <c r="BF2" s="478"/>
      <c r="BG2" s="478"/>
      <c r="BH2" s="478"/>
      <c r="BI2" s="479"/>
      <c r="BJ2" s="453" t="s">
        <v>38</v>
      </c>
      <c r="BK2" s="454"/>
      <c r="BL2" s="454"/>
      <c r="BM2" s="454"/>
      <c r="BN2" s="454"/>
      <c r="BO2" s="454"/>
      <c r="BP2" s="454"/>
      <c r="BQ2" s="454"/>
      <c r="BR2" s="454"/>
      <c r="BS2" s="455"/>
      <c r="BT2" s="456" t="s">
        <v>39</v>
      </c>
      <c r="BU2" s="457"/>
      <c r="BV2" s="457"/>
      <c r="BW2" s="457"/>
      <c r="BX2" s="457"/>
      <c r="BY2" s="457"/>
      <c r="BZ2" s="457"/>
      <c r="CA2" s="457"/>
      <c r="CB2" s="457"/>
      <c r="CC2" s="458"/>
    </row>
    <row r="3" spans="1:81" s="247" customFormat="1">
      <c r="A3" s="224"/>
      <c r="B3" s="225"/>
      <c r="C3" s="226"/>
      <c r="D3" s="226"/>
      <c r="E3" s="226"/>
      <c r="F3" s="226"/>
      <c r="G3" s="226"/>
      <c r="H3" s="226"/>
      <c r="I3" s="226"/>
      <c r="J3" s="226"/>
      <c r="K3" s="227"/>
      <c r="L3" s="228"/>
      <c r="M3" s="229"/>
      <c r="N3" s="229"/>
      <c r="O3" s="229"/>
      <c r="P3" s="229"/>
      <c r="Q3" s="229"/>
      <c r="R3" s="229"/>
      <c r="S3" s="229"/>
      <c r="T3" s="229"/>
      <c r="U3" s="230"/>
      <c r="V3" s="231"/>
      <c r="W3" s="232"/>
      <c r="X3" s="232"/>
      <c r="Y3" s="232"/>
      <c r="Z3" s="232"/>
      <c r="AA3" s="232"/>
      <c r="AB3" s="232"/>
      <c r="AC3" s="232"/>
      <c r="AD3" s="232"/>
      <c r="AE3" s="233"/>
      <c r="AF3" s="234"/>
      <c r="AG3" s="235"/>
      <c r="AH3" s="235"/>
      <c r="AI3" s="235"/>
      <c r="AJ3" s="235"/>
      <c r="AK3" s="235"/>
      <c r="AL3" s="235"/>
      <c r="AM3" s="235"/>
      <c r="AN3" s="235"/>
      <c r="AO3" s="236"/>
      <c r="AP3" s="237"/>
      <c r="AQ3" s="238"/>
      <c r="AR3" s="238"/>
      <c r="AS3" s="238"/>
      <c r="AT3" s="238"/>
      <c r="AU3" s="238"/>
      <c r="AV3" s="238"/>
      <c r="AW3" s="238"/>
      <c r="AX3" s="238"/>
      <c r="AY3" s="239"/>
      <c r="AZ3" s="240"/>
      <c r="BA3" s="241"/>
      <c r="BB3" s="241"/>
      <c r="BC3" s="241"/>
      <c r="BD3" s="241"/>
      <c r="BE3" s="241"/>
      <c r="BF3" s="241"/>
      <c r="BG3" s="241"/>
      <c r="BH3" s="241"/>
      <c r="BI3" s="242"/>
      <c r="BJ3" s="243"/>
      <c r="BK3" s="226"/>
      <c r="BL3" s="226"/>
      <c r="BM3" s="226"/>
      <c r="BN3" s="226"/>
      <c r="BO3" s="226"/>
      <c r="BP3" s="226"/>
      <c r="BQ3" s="226"/>
      <c r="BR3" s="226"/>
      <c r="BS3" s="227"/>
      <c r="BT3" s="244"/>
      <c r="BU3" s="245"/>
      <c r="BV3" s="245"/>
      <c r="BW3" s="245"/>
      <c r="BX3" s="245"/>
      <c r="BY3" s="245"/>
      <c r="BZ3" s="245"/>
      <c r="CA3" s="245"/>
      <c r="CB3" s="245"/>
      <c r="CC3" s="246"/>
    </row>
    <row r="4" spans="1:81" s="251" customFormat="1" ht="12.75">
      <c r="A4" s="224"/>
      <c r="B4" s="225"/>
      <c r="C4" s="226"/>
      <c r="D4" s="226"/>
      <c r="E4" s="226"/>
      <c r="F4" s="226"/>
      <c r="G4" s="226"/>
      <c r="H4" s="226"/>
      <c r="I4" s="226"/>
      <c r="J4" s="226"/>
      <c r="K4" s="227"/>
      <c r="L4" s="248"/>
      <c r="M4" s="249"/>
      <c r="N4" s="249"/>
      <c r="O4" s="249"/>
      <c r="P4" s="249"/>
      <c r="Q4" s="249"/>
      <c r="R4" s="249"/>
      <c r="S4" s="249"/>
      <c r="T4" s="249"/>
      <c r="U4" s="250"/>
      <c r="V4" s="231"/>
      <c r="W4" s="232"/>
      <c r="X4" s="232"/>
      <c r="Y4" s="232"/>
      <c r="Z4" s="232"/>
      <c r="AA4" s="232"/>
      <c r="AB4" s="232"/>
      <c r="AC4" s="232"/>
      <c r="AD4" s="232"/>
      <c r="AE4" s="233"/>
      <c r="AF4" s="234"/>
      <c r="AG4" s="235"/>
      <c r="AH4" s="235"/>
      <c r="AI4" s="235"/>
      <c r="AJ4" s="235"/>
      <c r="AK4" s="235"/>
      <c r="AL4" s="235"/>
      <c r="AM4" s="235"/>
      <c r="AN4" s="235"/>
      <c r="AO4" s="236"/>
      <c r="AP4" s="237"/>
      <c r="AQ4" s="238"/>
      <c r="AR4" s="238"/>
      <c r="AS4" s="238"/>
      <c r="AT4" s="238"/>
      <c r="AU4" s="238"/>
      <c r="AV4" s="238"/>
      <c r="AW4" s="238"/>
      <c r="AX4" s="238"/>
      <c r="AY4" s="239"/>
      <c r="AZ4" s="240"/>
      <c r="BA4" s="241"/>
      <c r="BB4" s="241"/>
      <c r="BC4" s="241"/>
      <c r="BD4" s="241"/>
      <c r="BE4" s="241"/>
      <c r="BF4" s="241"/>
      <c r="BG4" s="241"/>
      <c r="BH4" s="241"/>
      <c r="BI4" s="242"/>
      <c r="BJ4" s="243"/>
      <c r="BK4" s="226"/>
      <c r="BL4" s="226"/>
      <c r="BM4" s="226"/>
      <c r="BN4" s="226"/>
      <c r="BO4" s="226"/>
      <c r="BP4" s="226"/>
      <c r="BQ4" s="226"/>
      <c r="BR4" s="226"/>
      <c r="BS4" s="227"/>
      <c r="BT4" s="244"/>
      <c r="BU4" s="245"/>
      <c r="BV4" s="245"/>
      <c r="BW4" s="245"/>
      <c r="BX4" s="245"/>
      <c r="BY4" s="245"/>
      <c r="BZ4" s="245"/>
      <c r="CA4" s="245"/>
      <c r="CB4" s="245"/>
      <c r="CC4" s="246"/>
    </row>
    <row r="5" spans="1:81" s="251" customFormat="1" ht="12.75">
      <c r="A5" s="224"/>
      <c r="B5" s="252"/>
      <c r="C5" s="253"/>
      <c r="D5" s="253"/>
      <c r="E5" s="459" t="s">
        <v>129</v>
      </c>
      <c r="F5" s="459"/>
      <c r="G5" s="459"/>
      <c r="H5" s="459"/>
      <c r="I5" s="459"/>
      <c r="J5" s="254"/>
      <c r="K5" s="255"/>
      <c r="L5" s="256"/>
      <c r="M5" s="257"/>
      <c r="N5" s="257"/>
      <c r="O5" s="460" t="s">
        <v>129</v>
      </c>
      <c r="P5" s="460"/>
      <c r="Q5" s="460"/>
      <c r="R5" s="460"/>
      <c r="S5" s="460"/>
      <c r="T5" s="258"/>
      <c r="U5" s="259"/>
      <c r="V5" s="260"/>
      <c r="W5" s="261"/>
      <c r="X5" s="261"/>
      <c r="Y5" s="461" t="s">
        <v>129</v>
      </c>
      <c r="Z5" s="461"/>
      <c r="AA5" s="461"/>
      <c r="AB5" s="461"/>
      <c r="AC5" s="461"/>
      <c r="AD5" s="262"/>
      <c r="AE5" s="263"/>
      <c r="AF5" s="264"/>
      <c r="AG5" s="265"/>
      <c r="AH5" s="265"/>
      <c r="AI5" s="462" t="s">
        <v>129</v>
      </c>
      <c r="AJ5" s="462"/>
      <c r="AK5" s="462"/>
      <c r="AL5" s="462"/>
      <c r="AM5" s="462"/>
      <c r="AN5" s="266"/>
      <c r="AO5" s="267"/>
      <c r="AP5" s="268"/>
      <c r="AQ5" s="269"/>
      <c r="AR5" s="269"/>
      <c r="AS5" s="463" t="s">
        <v>129</v>
      </c>
      <c r="AT5" s="463"/>
      <c r="AU5" s="463"/>
      <c r="AV5" s="463"/>
      <c r="AW5" s="463"/>
      <c r="AX5" s="270"/>
      <c r="AY5" s="271"/>
      <c r="AZ5" s="272"/>
      <c r="BA5" s="273"/>
      <c r="BB5" s="273"/>
      <c r="BC5" s="464" t="s">
        <v>129</v>
      </c>
      <c r="BD5" s="464"/>
      <c r="BE5" s="464"/>
      <c r="BF5" s="464"/>
      <c r="BG5" s="464"/>
      <c r="BH5" s="274"/>
      <c r="BI5" s="275"/>
      <c r="BJ5" s="276"/>
      <c r="BK5" s="253"/>
      <c r="BL5" s="253"/>
      <c r="BM5" s="459" t="s">
        <v>129</v>
      </c>
      <c r="BN5" s="459"/>
      <c r="BO5" s="459"/>
      <c r="BP5" s="459"/>
      <c r="BQ5" s="459"/>
      <c r="BR5" s="254"/>
      <c r="BS5" s="255"/>
      <c r="BT5" s="256"/>
      <c r="BU5" s="257"/>
      <c r="BV5" s="257"/>
      <c r="BW5" s="460" t="s">
        <v>129</v>
      </c>
      <c r="BX5" s="460"/>
      <c r="BY5" s="460"/>
      <c r="BZ5" s="460"/>
      <c r="CA5" s="460"/>
      <c r="CB5" s="258"/>
      <c r="CC5" s="259"/>
    </row>
    <row r="6" spans="1:81" s="315" customFormat="1" ht="51" customHeight="1">
      <c r="A6" s="277" t="s">
        <v>130</v>
      </c>
      <c r="B6" s="278" t="s">
        <v>131</v>
      </c>
      <c r="C6" s="279" t="s">
        <v>132</v>
      </c>
      <c r="D6" s="280" t="s">
        <v>133</v>
      </c>
      <c r="E6" s="281" t="s">
        <v>134</v>
      </c>
      <c r="F6" s="279" t="s">
        <v>135</v>
      </c>
      <c r="G6" s="279" t="s">
        <v>136</v>
      </c>
      <c r="H6" s="279" t="s">
        <v>137</v>
      </c>
      <c r="I6" s="279" t="s">
        <v>138</v>
      </c>
      <c r="J6" s="282" t="s">
        <v>139</v>
      </c>
      <c r="K6" s="283" t="s">
        <v>140</v>
      </c>
      <c r="L6" s="284" t="s">
        <v>131</v>
      </c>
      <c r="M6" s="285" t="s">
        <v>132</v>
      </c>
      <c r="N6" s="286" t="s">
        <v>133</v>
      </c>
      <c r="O6" s="287" t="s">
        <v>134</v>
      </c>
      <c r="P6" s="285" t="s">
        <v>135</v>
      </c>
      <c r="Q6" s="285" t="s">
        <v>136</v>
      </c>
      <c r="R6" s="285" t="s">
        <v>137</v>
      </c>
      <c r="S6" s="285" t="s">
        <v>138</v>
      </c>
      <c r="T6" s="288" t="s">
        <v>139</v>
      </c>
      <c r="U6" s="289" t="s">
        <v>140</v>
      </c>
      <c r="V6" s="290" t="s">
        <v>131</v>
      </c>
      <c r="W6" s="291" t="s">
        <v>132</v>
      </c>
      <c r="X6" s="292" t="s">
        <v>133</v>
      </c>
      <c r="Y6" s="293" t="s">
        <v>134</v>
      </c>
      <c r="Z6" s="291" t="s">
        <v>135</v>
      </c>
      <c r="AA6" s="291" t="s">
        <v>136</v>
      </c>
      <c r="AB6" s="291" t="s">
        <v>137</v>
      </c>
      <c r="AC6" s="291" t="s">
        <v>138</v>
      </c>
      <c r="AD6" s="294" t="s">
        <v>139</v>
      </c>
      <c r="AE6" s="295" t="s">
        <v>140</v>
      </c>
      <c r="AF6" s="296" t="s">
        <v>131</v>
      </c>
      <c r="AG6" s="297" t="s">
        <v>132</v>
      </c>
      <c r="AH6" s="298" t="s">
        <v>133</v>
      </c>
      <c r="AI6" s="299" t="s">
        <v>134</v>
      </c>
      <c r="AJ6" s="297" t="s">
        <v>135</v>
      </c>
      <c r="AK6" s="297" t="s">
        <v>136</v>
      </c>
      <c r="AL6" s="297" t="s">
        <v>137</v>
      </c>
      <c r="AM6" s="297" t="s">
        <v>138</v>
      </c>
      <c r="AN6" s="300" t="s">
        <v>139</v>
      </c>
      <c r="AO6" s="301" t="s">
        <v>140</v>
      </c>
      <c r="AP6" s="302" t="s">
        <v>131</v>
      </c>
      <c r="AQ6" s="303" t="s">
        <v>132</v>
      </c>
      <c r="AR6" s="304" t="s">
        <v>133</v>
      </c>
      <c r="AS6" s="305" t="s">
        <v>134</v>
      </c>
      <c r="AT6" s="303" t="s">
        <v>135</v>
      </c>
      <c r="AU6" s="303" t="s">
        <v>136</v>
      </c>
      <c r="AV6" s="303" t="s">
        <v>137</v>
      </c>
      <c r="AW6" s="303" t="s">
        <v>138</v>
      </c>
      <c r="AX6" s="306" t="s">
        <v>139</v>
      </c>
      <c r="AY6" s="307" t="s">
        <v>140</v>
      </c>
      <c r="AZ6" s="308" t="s">
        <v>131</v>
      </c>
      <c r="BA6" s="309" t="s">
        <v>132</v>
      </c>
      <c r="BB6" s="310" t="s">
        <v>133</v>
      </c>
      <c r="BC6" s="311" t="s">
        <v>134</v>
      </c>
      <c r="BD6" s="309" t="s">
        <v>135</v>
      </c>
      <c r="BE6" s="309" t="s">
        <v>136</v>
      </c>
      <c r="BF6" s="309" t="s">
        <v>137</v>
      </c>
      <c r="BG6" s="309" t="s">
        <v>138</v>
      </c>
      <c r="BH6" s="312" t="s">
        <v>139</v>
      </c>
      <c r="BI6" s="313" t="s">
        <v>140</v>
      </c>
      <c r="BJ6" s="314" t="s">
        <v>131</v>
      </c>
      <c r="BK6" s="279" t="s">
        <v>132</v>
      </c>
      <c r="BL6" s="280" t="s">
        <v>133</v>
      </c>
      <c r="BM6" s="281" t="s">
        <v>134</v>
      </c>
      <c r="BN6" s="279" t="s">
        <v>135</v>
      </c>
      <c r="BO6" s="279" t="s">
        <v>136</v>
      </c>
      <c r="BP6" s="279" t="s">
        <v>137</v>
      </c>
      <c r="BQ6" s="279" t="s">
        <v>138</v>
      </c>
      <c r="BR6" s="282" t="s">
        <v>139</v>
      </c>
      <c r="BS6" s="283" t="s">
        <v>140</v>
      </c>
      <c r="BT6" s="284" t="s">
        <v>131</v>
      </c>
      <c r="BU6" s="285" t="s">
        <v>132</v>
      </c>
      <c r="BV6" s="286" t="s">
        <v>133</v>
      </c>
      <c r="BW6" s="287" t="s">
        <v>134</v>
      </c>
      <c r="BX6" s="285" t="s">
        <v>135</v>
      </c>
      <c r="BY6" s="285" t="s">
        <v>136</v>
      </c>
      <c r="BZ6" s="285" t="s">
        <v>137</v>
      </c>
      <c r="CA6" s="285" t="s">
        <v>138</v>
      </c>
      <c r="CB6" s="288" t="s">
        <v>139</v>
      </c>
      <c r="CC6" s="289" t="s">
        <v>140</v>
      </c>
    </row>
    <row r="7" spans="1:81" s="316" customFormat="1" ht="15.95" customHeight="1">
      <c r="B7" s="317"/>
      <c r="C7" s="318"/>
      <c r="D7" s="319"/>
      <c r="E7" s="320"/>
      <c r="F7" s="320"/>
      <c r="G7" s="320"/>
      <c r="H7" s="320"/>
      <c r="I7" s="320"/>
      <c r="J7" s="320"/>
      <c r="K7" s="321"/>
      <c r="L7" s="317"/>
      <c r="M7" s="318"/>
      <c r="N7" s="319"/>
      <c r="O7" s="320"/>
      <c r="P7" s="320"/>
      <c r="Q7" s="320"/>
      <c r="R7" s="320"/>
      <c r="S7" s="320"/>
      <c r="T7" s="320"/>
      <c r="U7" s="321"/>
      <c r="V7" s="317"/>
      <c r="W7" s="318"/>
      <c r="X7" s="319"/>
      <c r="Y7" s="320"/>
      <c r="Z7" s="320"/>
      <c r="AA7" s="320"/>
      <c r="AB7" s="320"/>
      <c r="AC7" s="320"/>
      <c r="AD7" s="320"/>
      <c r="AE7" s="321"/>
      <c r="AF7" s="317"/>
      <c r="AG7" s="318"/>
      <c r="AH7" s="319"/>
      <c r="AI7" s="320"/>
      <c r="AJ7" s="320"/>
      <c r="AK7" s="320"/>
      <c r="AL7" s="320"/>
      <c r="AM7" s="320"/>
      <c r="AN7" s="320"/>
      <c r="AO7" s="321"/>
      <c r="AP7" s="317"/>
      <c r="AQ7" s="318"/>
      <c r="AR7" s="319"/>
      <c r="AS7" s="320"/>
      <c r="AT7" s="320"/>
      <c r="AU7" s="320"/>
      <c r="AV7" s="320"/>
      <c r="AW7" s="320"/>
      <c r="AX7" s="320"/>
      <c r="AY7" s="321"/>
      <c r="AZ7" s="317"/>
      <c r="BA7" s="318"/>
      <c r="BB7" s="319"/>
      <c r="BC7" s="320"/>
      <c r="BD7" s="320"/>
      <c r="BE7" s="320"/>
      <c r="BF7" s="320"/>
      <c r="BG7" s="320"/>
      <c r="BH7" s="320"/>
      <c r="BI7" s="321"/>
      <c r="BJ7" s="317"/>
      <c r="BK7" s="318"/>
      <c r="BL7" s="319"/>
      <c r="BM7" s="320"/>
      <c r="BN7" s="320"/>
      <c r="BO7" s="320"/>
      <c r="BP7" s="320"/>
      <c r="BQ7" s="320"/>
      <c r="BR7" s="320"/>
      <c r="BS7" s="321"/>
      <c r="BT7" s="317"/>
      <c r="BU7" s="318"/>
      <c r="BV7" s="319"/>
      <c r="BW7" s="320"/>
      <c r="BX7" s="320"/>
      <c r="BY7" s="320"/>
      <c r="BZ7" s="320"/>
      <c r="CA7" s="320"/>
      <c r="CB7" s="320"/>
      <c r="CC7" s="321"/>
    </row>
    <row r="8" spans="1:81" s="316" customFormat="1" ht="15.95" customHeight="1">
      <c r="A8" s="322" t="s">
        <v>141</v>
      </c>
      <c r="B8" s="317"/>
      <c r="C8" s="318"/>
      <c r="D8" s="318"/>
      <c r="E8" s="320"/>
      <c r="F8" s="320"/>
      <c r="G8" s="320"/>
      <c r="H8" s="320"/>
      <c r="I8" s="320"/>
      <c r="J8" s="320"/>
      <c r="K8" s="321"/>
      <c r="L8" s="317"/>
      <c r="M8" s="318"/>
      <c r="N8" s="318"/>
      <c r="O8" s="320"/>
      <c r="P8" s="320"/>
      <c r="Q8" s="320"/>
      <c r="R8" s="320"/>
      <c r="S8" s="320"/>
      <c r="T8" s="320"/>
      <c r="U8" s="321"/>
      <c r="V8" s="323"/>
      <c r="W8" s="318"/>
      <c r="X8" s="318"/>
      <c r="Y8" s="320"/>
      <c r="Z8" s="320"/>
      <c r="AA8" s="320"/>
      <c r="AB8" s="320"/>
      <c r="AC8" s="320"/>
      <c r="AD8" s="320"/>
      <c r="AE8" s="321"/>
      <c r="AF8" s="323"/>
      <c r="AG8" s="318"/>
      <c r="AH8" s="318"/>
      <c r="AI8" s="320"/>
      <c r="AJ8" s="320"/>
      <c r="AK8" s="320"/>
      <c r="AL8" s="320"/>
      <c r="AM8" s="320"/>
      <c r="AN8" s="320"/>
      <c r="AO8" s="321"/>
      <c r="AP8" s="323"/>
      <c r="AQ8" s="318"/>
      <c r="AR8" s="318"/>
      <c r="AS8" s="320"/>
      <c r="AT8" s="320"/>
      <c r="AU8" s="320"/>
      <c r="AV8" s="320"/>
      <c r="AW8" s="320"/>
      <c r="AX8" s="320"/>
      <c r="AY8" s="321"/>
      <c r="AZ8" s="323"/>
      <c r="BA8" s="318"/>
      <c r="BB8" s="318"/>
      <c r="BC8" s="320"/>
      <c r="BD8" s="320"/>
      <c r="BE8" s="320"/>
      <c r="BF8" s="320"/>
      <c r="BG8" s="320"/>
      <c r="BH8" s="320"/>
      <c r="BI8" s="321"/>
      <c r="BJ8" s="323"/>
      <c r="BK8" s="318"/>
      <c r="BL8" s="318"/>
      <c r="BM8" s="320"/>
      <c r="BN8" s="320"/>
      <c r="BO8" s="320"/>
      <c r="BP8" s="320"/>
      <c r="BQ8" s="320"/>
      <c r="BR8" s="320"/>
      <c r="BS8" s="321"/>
      <c r="BT8" s="323"/>
      <c r="BU8" s="318"/>
      <c r="BV8" s="318"/>
      <c r="BW8" s="320"/>
      <c r="BX8" s="320"/>
      <c r="BY8" s="320"/>
      <c r="BZ8" s="320"/>
      <c r="CA8" s="320"/>
      <c r="CB8" s="320"/>
      <c r="CC8" s="321"/>
    </row>
    <row r="9" spans="1:81" s="316" customFormat="1" ht="15.95" customHeight="1">
      <c r="A9" s="322"/>
      <c r="B9" s="317"/>
      <c r="C9" s="318"/>
      <c r="D9" s="318"/>
      <c r="E9" s="320"/>
      <c r="F9" s="320"/>
      <c r="G9" s="320"/>
      <c r="H9" s="320"/>
      <c r="I9" s="320"/>
      <c r="J9" s="320"/>
      <c r="K9" s="321"/>
      <c r="L9" s="317"/>
      <c r="M9" s="318"/>
      <c r="N9" s="318"/>
      <c r="O9" s="320"/>
      <c r="P9" s="320"/>
      <c r="Q9" s="320"/>
      <c r="R9" s="320"/>
      <c r="S9" s="320"/>
      <c r="T9" s="320"/>
      <c r="U9" s="321"/>
      <c r="V9" s="323"/>
      <c r="W9" s="318"/>
      <c r="X9" s="318"/>
      <c r="Y9" s="320"/>
      <c r="Z9" s="320"/>
      <c r="AA9" s="320"/>
      <c r="AB9" s="320"/>
      <c r="AC9" s="320"/>
      <c r="AD9" s="320"/>
      <c r="AE9" s="321"/>
      <c r="AF9" s="323"/>
      <c r="AG9" s="318"/>
      <c r="AH9" s="318"/>
      <c r="AI9" s="320"/>
      <c r="AJ9" s="320"/>
      <c r="AK9" s="320"/>
      <c r="AL9" s="320"/>
      <c r="AM9" s="320"/>
      <c r="AN9" s="320"/>
      <c r="AO9" s="321"/>
      <c r="AP9" s="323"/>
      <c r="AQ9" s="318"/>
      <c r="AR9" s="318"/>
      <c r="AS9" s="320"/>
      <c r="AT9" s="320"/>
      <c r="AU9" s="320"/>
      <c r="AV9" s="320"/>
      <c r="AW9" s="320"/>
      <c r="AX9" s="320"/>
      <c r="AY9" s="321"/>
      <c r="AZ9" s="323"/>
      <c r="BA9" s="318"/>
      <c r="BB9" s="318"/>
      <c r="BC9" s="320"/>
      <c r="BD9" s="320"/>
      <c r="BE9" s="320"/>
      <c r="BF9" s="320"/>
      <c r="BG9" s="320"/>
      <c r="BH9" s="320"/>
      <c r="BI9" s="321"/>
      <c r="BJ9" s="323"/>
      <c r="BK9" s="318"/>
      <c r="BL9" s="318"/>
      <c r="BM9" s="320"/>
      <c r="BN9" s="320"/>
      <c r="BO9" s="320"/>
      <c r="BP9" s="320"/>
      <c r="BQ9" s="320"/>
      <c r="BR9" s="320"/>
      <c r="BS9" s="321"/>
      <c r="BT9" s="323"/>
      <c r="BU9" s="318"/>
      <c r="BV9" s="318"/>
      <c r="BW9" s="320"/>
      <c r="BX9" s="320"/>
      <c r="BY9" s="320"/>
      <c r="BZ9" s="320"/>
      <c r="CA9" s="320"/>
      <c r="CB9" s="320"/>
      <c r="CC9" s="321"/>
    </row>
    <row r="10" spans="1:81" s="316" customFormat="1" ht="15.95" customHeight="1">
      <c r="A10" s="324" t="s">
        <v>142</v>
      </c>
      <c r="B10" s="317"/>
      <c r="C10" s="318"/>
      <c r="D10" s="318"/>
      <c r="E10" s="320"/>
      <c r="F10" s="320"/>
      <c r="G10" s="320"/>
      <c r="H10" s="320"/>
      <c r="I10" s="320"/>
      <c r="J10" s="320"/>
      <c r="K10" s="321"/>
      <c r="L10" s="317"/>
      <c r="M10" s="318"/>
      <c r="N10" s="318"/>
      <c r="O10" s="320"/>
      <c r="P10" s="320"/>
      <c r="Q10" s="320"/>
      <c r="R10" s="320"/>
      <c r="S10" s="320"/>
      <c r="T10" s="320"/>
      <c r="U10" s="321"/>
      <c r="V10" s="323"/>
      <c r="W10" s="318"/>
      <c r="X10" s="318"/>
      <c r="Y10" s="320"/>
      <c r="Z10" s="320"/>
      <c r="AA10" s="320"/>
      <c r="AB10" s="320"/>
      <c r="AC10" s="320"/>
      <c r="AD10" s="320"/>
      <c r="AE10" s="321"/>
      <c r="AF10" s="323"/>
      <c r="AG10" s="318"/>
      <c r="AH10" s="318"/>
      <c r="AI10" s="320"/>
      <c r="AJ10" s="320"/>
      <c r="AK10" s="320"/>
      <c r="AL10" s="320"/>
      <c r="AM10" s="320"/>
      <c r="AN10" s="320"/>
      <c r="AO10" s="321"/>
      <c r="AP10" s="323"/>
      <c r="AQ10" s="318"/>
      <c r="AR10" s="318"/>
      <c r="AS10" s="320"/>
      <c r="AT10" s="320"/>
      <c r="AU10" s="320"/>
      <c r="AV10" s="320"/>
      <c r="AW10" s="320"/>
      <c r="AX10" s="320"/>
      <c r="AY10" s="321"/>
      <c r="AZ10" s="323"/>
      <c r="BA10" s="318"/>
      <c r="BB10" s="318"/>
      <c r="BC10" s="320"/>
      <c r="BD10" s="320"/>
      <c r="BE10" s="320"/>
      <c r="BF10" s="320"/>
      <c r="BG10" s="320"/>
      <c r="BH10" s="320"/>
      <c r="BI10" s="321"/>
      <c r="BJ10" s="323"/>
      <c r="BK10" s="318"/>
      <c r="BL10" s="318"/>
      <c r="BM10" s="320"/>
      <c r="BN10" s="320"/>
      <c r="BO10" s="320"/>
      <c r="BP10" s="320"/>
      <c r="BQ10" s="320"/>
      <c r="BR10" s="320"/>
      <c r="BS10" s="321"/>
      <c r="BT10" s="323"/>
      <c r="BU10" s="318"/>
      <c r="BV10" s="318"/>
      <c r="BW10" s="320"/>
      <c r="BX10" s="320"/>
      <c r="BY10" s="320"/>
      <c r="BZ10" s="320"/>
      <c r="CA10" s="320"/>
      <c r="CB10" s="320"/>
      <c r="CC10" s="321"/>
    </row>
    <row r="11" spans="1:81" s="316" customFormat="1" ht="15.95" customHeight="1">
      <c r="A11" s="325" t="s">
        <v>143</v>
      </c>
      <c r="B11" s="317">
        <v>18</v>
      </c>
      <c r="C11" s="318">
        <f t="shared" ref="C11:C19" si="0">SUM(E11:I11)</f>
        <v>10000</v>
      </c>
      <c r="D11" s="318">
        <f t="shared" ref="D11:D19" si="1">IFERROR(C11/B11,0)</f>
        <v>555.55555555555554</v>
      </c>
      <c r="E11" s="320"/>
      <c r="F11" s="320">
        <v>10000</v>
      </c>
      <c r="G11" s="320"/>
      <c r="H11" s="320"/>
      <c r="I11" s="320"/>
      <c r="J11" s="320">
        <v>8000</v>
      </c>
      <c r="K11" s="321">
        <f t="shared" ref="K11:K27" si="2">IF(J11=0,0,(IF(E11&lt;=J11,E11,J11)))</f>
        <v>0</v>
      </c>
      <c r="L11" s="317">
        <v>58</v>
      </c>
      <c r="M11" s="318">
        <f t="shared" ref="M11:M19" si="3">SUM(O11:S11)</f>
        <v>33818.5</v>
      </c>
      <c r="N11" s="318">
        <f t="shared" ref="N11:N19" si="4">IFERROR(M11/L11,0)</f>
        <v>583.07758620689651</v>
      </c>
      <c r="O11" s="320"/>
      <c r="P11" s="320">
        <v>33818.5</v>
      </c>
      <c r="Q11" s="320"/>
      <c r="R11" s="320"/>
      <c r="S11" s="320"/>
      <c r="T11" s="320">
        <v>31929.5</v>
      </c>
      <c r="U11" s="321">
        <f t="shared" ref="U11:U27" si="5">IF(T11=0,0,(IF(O11&lt;=T11,O11,T11)))</f>
        <v>0</v>
      </c>
      <c r="V11" s="323">
        <v>24</v>
      </c>
      <c r="W11" s="318">
        <f t="shared" ref="W11:W19" si="6">SUM(Y11:AC11)</f>
        <v>11492</v>
      </c>
      <c r="X11" s="318">
        <f t="shared" ref="X11:X19" si="7">IFERROR(W11/V11,0)</f>
        <v>478.83333333333331</v>
      </c>
      <c r="Y11" s="320"/>
      <c r="Z11" s="320">
        <v>11492</v>
      </c>
      <c r="AA11" s="320"/>
      <c r="AB11" s="320"/>
      <c r="AC11" s="320"/>
      <c r="AD11" s="320">
        <v>8642</v>
      </c>
      <c r="AE11" s="321">
        <f t="shared" ref="AE11:AE27" si="8">IF(AD11=0,0,(IF(Y11&lt;=AD11,Y11,AD11)))</f>
        <v>0</v>
      </c>
      <c r="AF11" s="323">
        <v>32</v>
      </c>
      <c r="AG11" s="318">
        <f t="shared" ref="AG11:AG27" si="9">SUM(AI11:AM11)</f>
        <v>20000</v>
      </c>
      <c r="AH11" s="318">
        <f t="shared" ref="AH11:AH27" si="10">IFERROR(AG11/AF11,0)</f>
        <v>625</v>
      </c>
      <c r="AI11" s="320"/>
      <c r="AJ11" s="320">
        <v>20000</v>
      </c>
      <c r="AK11" s="320"/>
      <c r="AL11" s="320"/>
      <c r="AM11" s="320"/>
      <c r="AN11" s="320">
        <v>20000</v>
      </c>
      <c r="AO11" s="321">
        <f t="shared" ref="AO11:AO27" si="11">IF(AN11=0,0,(IF(AI11&lt;=AN11,AI11,AN11)))</f>
        <v>0</v>
      </c>
      <c r="AP11" s="323">
        <v>28</v>
      </c>
      <c r="AQ11" s="318">
        <f t="shared" ref="AQ11:AQ19" si="12">SUM(AS11:AW11)</f>
        <v>18432.580000000002</v>
      </c>
      <c r="AR11" s="318">
        <f t="shared" ref="AR11:AR19" si="13">IFERROR(AQ11/AP11,0)</f>
        <v>658.30642857142868</v>
      </c>
      <c r="AS11" s="320"/>
      <c r="AT11" s="320">
        <v>18432.580000000002</v>
      </c>
      <c r="AU11" s="320"/>
      <c r="AV11" s="320"/>
      <c r="AW11" s="320"/>
      <c r="AX11" s="320">
        <v>17932.580000000002</v>
      </c>
      <c r="AY11" s="321">
        <f t="shared" ref="AY11:AY27" si="14">IF(AX11=0,0,(IF(AS11&lt;=AX11,AS11,AX11)))</f>
        <v>0</v>
      </c>
      <c r="AZ11" s="323">
        <v>38</v>
      </c>
      <c r="BA11" s="318">
        <f t="shared" ref="BA11:BA19" si="15">SUM(BC11:BG11)</f>
        <v>20000</v>
      </c>
      <c r="BB11" s="318">
        <f t="shared" ref="BB11:BB19" si="16">IFERROR(BA11/AZ11,0)</f>
        <v>526.31578947368416</v>
      </c>
      <c r="BC11" s="320"/>
      <c r="BD11" s="320">
        <v>20000</v>
      </c>
      <c r="BE11" s="320"/>
      <c r="BF11" s="320"/>
      <c r="BG11" s="320"/>
      <c r="BH11" s="320">
        <v>18500</v>
      </c>
      <c r="BI11" s="321">
        <f t="shared" ref="BI11:BI27" si="17">IF(BH11=0,0,(IF(BC11&lt;=BH11,BC11,BH11)))</f>
        <v>0</v>
      </c>
      <c r="BJ11" s="323">
        <v>57</v>
      </c>
      <c r="BK11" s="318">
        <f t="shared" ref="BK11:BK27" si="18">SUM(BM11:BQ11)</f>
        <v>40240</v>
      </c>
      <c r="BL11" s="318">
        <f t="shared" ref="BL11:BL27" si="19">IFERROR(BK11/BJ11,0)</f>
        <v>705.96491228070181</v>
      </c>
      <c r="BM11" s="320"/>
      <c r="BN11" s="320">
        <v>40240</v>
      </c>
      <c r="BO11" s="320"/>
      <c r="BP11" s="320"/>
      <c r="BQ11" s="320"/>
      <c r="BR11" s="320">
        <v>38940</v>
      </c>
      <c r="BS11" s="321">
        <f t="shared" ref="BS11:BS27" si="20">IF(BR11=0,0,(IF(BM11&lt;=BR11,BM11,BR11)))</f>
        <v>0</v>
      </c>
      <c r="BT11" s="207">
        <v>49</v>
      </c>
      <c r="BU11" s="318">
        <v>39554</v>
      </c>
      <c r="BV11" s="318">
        <f t="shared" ref="BV11:BV27" si="21">IFERROR(BU11/BT11,0)</f>
        <v>807.22448979591832</v>
      </c>
      <c r="BW11" s="208"/>
      <c r="BX11" s="208">
        <v>39554</v>
      </c>
      <c r="BY11" s="208"/>
      <c r="BZ11" s="208"/>
      <c r="CA11" s="208"/>
      <c r="CB11" s="208">
        <v>34204</v>
      </c>
      <c r="CC11" s="367">
        <f t="shared" ref="CC11:CC27" si="22">IF(CB11=0,0,(IF(BW11&lt;=CB11,BW11,CB11)))</f>
        <v>0</v>
      </c>
    </row>
    <row r="12" spans="1:81" s="316" customFormat="1" ht="15.95" customHeight="1">
      <c r="A12" s="325" t="s">
        <v>144</v>
      </c>
      <c r="B12" s="317">
        <v>17</v>
      </c>
      <c r="C12" s="318">
        <f t="shared" si="0"/>
        <v>10750</v>
      </c>
      <c r="D12" s="318">
        <f t="shared" si="1"/>
        <v>632.35294117647061</v>
      </c>
      <c r="E12" s="320"/>
      <c r="F12" s="320"/>
      <c r="G12" s="320">
        <v>10750</v>
      </c>
      <c r="H12" s="320"/>
      <c r="I12" s="320"/>
      <c r="J12" s="320">
        <v>10750</v>
      </c>
      <c r="K12" s="321">
        <f t="shared" si="2"/>
        <v>0</v>
      </c>
      <c r="L12" s="317">
        <v>0</v>
      </c>
      <c r="M12" s="318">
        <f t="shared" si="3"/>
        <v>0</v>
      </c>
      <c r="N12" s="318">
        <f t="shared" si="4"/>
        <v>0</v>
      </c>
      <c r="O12" s="320"/>
      <c r="P12" s="320"/>
      <c r="Q12" s="320"/>
      <c r="R12" s="320"/>
      <c r="S12" s="320"/>
      <c r="T12" s="320">
        <v>0</v>
      </c>
      <c r="U12" s="321">
        <f t="shared" si="5"/>
        <v>0</v>
      </c>
      <c r="V12" s="323">
        <v>317</v>
      </c>
      <c r="W12" s="318">
        <f t="shared" si="6"/>
        <v>100451</v>
      </c>
      <c r="X12" s="318">
        <f t="shared" si="7"/>
        <v>316.88012618296528</v>
      </c>
      <c r="Y12" s="320"/>
      <c r="Z12" s="320"/>
      <c r="AA12" s="320">
        <v>100451</v>
      </c>
      <c r="AB12" s="320"/>
      <c r="AC12" s="320"/>
      <c r="AD12" s="320">
        <v>100451</v>
      </c>
      <c r="AE12" s="321">
        <f t="shared" si="8"/>
        <v>0</v>
      </c>
      <c r="AF12" s="323">
        <v>228</v>
      </c>
      <c r="AG12" s="318">
        <f t="shared" si="9"/>
        <v>61642.5</v>
      </c>
      <c r="AH12" s="318">
        <f t="shared" si="10"/>
        <v>270.36184210526318</v>
      </c>
      <c r="AI12" s="320"/>
      <c r="AJ12" s="320"/>
      <c r="AK12" s="320">
        <v>61642.5</v>
      </c>
      <c r="AL12" s="320"/>
      <c r="AM12" s="320"/>
      <c r="AN12" s="320">
        <v>61642.5</v>
      </c>
      <c r="AO12" s="321">
        <f t="shared" si="11"/>
        <v>0</v>
      </c>
      <c r="AP12" s="323">
        <v>384</v>
      </c>
      <c r="AQ12" s="318">
        <f t="shared" si="12"/>
        <v>106091</v>
      </c>
      <c r="AR12" s="318">
        <f t="shared" si="13"/>
        <v>276.27864583333331</v>
      </c>
      <c r="AS12" s="320"/>
      <c r="AT12" s="320"/>
      <c r="AU12" s="320">
        <v>106091</v>
      </c>
      <c r="AV12" s="320"/>
      <c r="AW12" s="320"/>
      <c r="AX12" s="320">
        <v>106091</v>
      </c>
      <c r="AY12" s="321">
        <f t="shared" si="14"/>
        <v>0</v>
      </c>
      <c r="AZ12" s="323">
        <v>367</v>
      </c>
      <c r="BA12" s="318">
        <f t="shared" si="15"/>
        <v>102494</v>
      </c>
      <c r="BB12" s="318">
        <f t="shared" si="16"/>
        <v>279.27520435967301</v>
      </c>
      <c r="BC12" s="320"/>
      <c r="BD12" s="320"/>
      <c r="BE12" s="320">
        <v>102494</v>
      </c>
      <c r="BF12" s="320"/>
      <c r="BG12" s="320"/>
      <c r="BH12" s="326">
        <v>102347</v>
      </c>
      <c r="BI12" s="321">
        <f t="shared" si="17"/>
        <v>0</v>
      </c>
      <c r="BJ12" s="323"/>
      <c r="BK12" s="318">
        <f t="shared" si="18"/>
        <v>0</v>
      </c>
      <c r="BL12" s="318">
        <f t="shared" si="19"/>
        <v>0</v>
      </c>
      <c r="BM12" s="320"/>
      <c r="BN12" s="320"/>
      <c r="BO12" s="320"/>
      <c r="BP12" s="320"/>
      <c r="BQ12" s="320"/>
      <c r="BR12" s="320"/>
      <c r="BS12" s="321">
        <f t="shared" si="20"/>
        <v>0</v>
      </c>
      <c r="BT12" s="207"/>
      <c r="BU12" s="318">
        <f t="shared" ref="BU12:BU27" si="23">SUM(BW12:CA12)</f>
        <v>0</v>
      </c>
      <c r="BV12" s="318">
        <f t="shared" si="21"/>
        <v>0</v>
      </c>
      <c r="BW12" s="208"/>
      <c r="BX12" s="208"/>
      <c r="BY12" s="208"/>
      <c r="BZ12" s="208"/>
      <c r="CA12" s="208"/>
      <c r="CB12" s="208"/>
      <c r="CC12" s="367">
        <f t="shared" si="22"/>
        <v>0</v>
      </c>
    </row>
    <row r="13" spans="1:81" s="316" customFormat="1" ht="15.95" customHeight="1">
      <c r="A13" s="325" t="s">
        <v>145</v>
      </c>
      <c r="B13" s="317">
        <v>1071</v>
      </c>
      <c r="C13" s="318">
        <f t="shared" si="0"/>
        <v>3095818</v>
      </c>
      <c r="D13" s="318">
        <f t="shared" si="1"/>
        <v>2890.5863678804853</v>
      </c>
      <c r="E13" s="320"/>
      <c r="F13" s="320"/>
      <c r="G13" s="320"/>
      <c r="H13" s="320">
        <v>3095818</v>
      </c>
      <c r="I13" s="320"/>
      <c r="J13" s="320">
        <v>2778964</v>
      </c>
      <c r="K13" s="321">
        <f t="shared" si="2"/>
        <v>0</v>
      </c>
      <c r="L13" s="317">
        <v>1000</v>
      </c>
      <c r="M13" s="318">
        <f t="shared" si="3"/>
        <v>2874731</v>
      </c>
      <c r="N13" s="318">
        <f t="shared" si="4"/>
        <v>2874.7310000000002</v>
      </c>
      <c r="O13" s="320"/>
      <c r="P13" s="320"/>
      <c r="Q13" s="320"/>
      <c r="R13" s="320">
        <v>2874731</v>
      </c>
      <c r="S13" s="320"/>
      <c r="T13" s="320">
        <v>2620421</v>
      </c>
      <c r="U13" s="321">
        <f t="shared" si="5"/>
        <v>0</v>
      </c>
      <c r="V13" s="323">
        <v>946</v>
      </c>
      <c r="W13" s="318">
        <f t="shared" si="6"/>
        <v>2710739</v>
      </c>
      <c r="X13" s="318">
        <f t="shared" si="7"/>
        <v>2865.4746300211418</v>
      </c>
      <c r="Y13" s="320"/>
      <c r="Z13" s="320"/>
      <c r="AA13" s="320"/>
      <c r="AB13" s="320">
        <v>2710739</v>
      </c>
      <c r="AC13" s="320"/>
      <c r="AD13" s="320">
        <v>2424238</v>
      </c>
      <c r="AE13" s="321">
        <f t="shared" si="8"/>
        <v>0</v>
      </c>
      <c r="AF13" s="323">
        <v>876</v>
      </c>
      <c r="AG13" s="318">
        <f t="shared" si="9"/>
        <v>2539442</v>
      </c>
      <c r="AH13" s="318">
        <f t="shared" si="10"/>
        <v>2898.9063926940639</v>
      </c>
      <c r="AI13" s="320"/>
      <c r="AJ13" s="320"/>
      <c r="AK13" s="320"/>
      <c r="AL13" s="320">
        <v>2539442</v>
      </c>
      <c r="AM13" s="320"/>
      <c r="AN13" s="320">
        <v>2295641</v>
      </c>
      <c r="AO13" s="321">
        <f t="shared" si="11"/>
        <v>0</v>
      </c>
      <c r="AP13" s="323">
        <v>808</v>
      </c>
      <c r="AQ13" s="318">
        <f t="shared" si="12"/>
        <v>2358743</v>
      </c>
      <c r="AR13" s="318">
        <f t="shared" si="13"/>
        <v>2919.2363861386139</v>
      </c>
      <c r="AS13" s="320"/>
      <c r="AT13" s="320"/>
      <c r="AU13" s="320"/>
      <c r="AV13" s="320">
        <v>2358743</v>
      </c>
      <c r="AW13" s="320"/>
      <c r="AX13" s="320">
        <v>2152191</v>
      </c>
      <c r="AY13" s="321">
        <f t="shared" si="14"/>
        <v>0</v>
      </c>
      <c r="AZ13" s="323">
        <v>611</v>
      </c>
      <c r="BA13" s="318">
        <f t="shared" si="15"/>
        <v>1712833</v>
      </c>
      <c r="BB13" s="318">
        <f t="shared" si="16"/>
        <v>2803.327332242226</v>
      </c>
      <c r="BC13" s="320"/>
      <c r="BD13" s="320"/>
      <c r="BE13" s="320"/>
      <c r="BF13" s="320">
        <v>1712833</v>
      </c>
      <c r="BG13" s="320"/>
      <c r="BH13" s="320">
        <v>1536001</v>
      </c>
      <c r="BI13" s="321">
        <f t="shared" si="17"/>
        <v>0</v>
      </c>
      <c r="BJ13" s="323">
        <v>614</v>
      </c>
      <c r="BK13" s="318">
        <f t="shared" si="18"/>
        <v>1769036</v>
      </c>
      <c r="BL13" s="318">
        <f t="shared" si="19"/>
        <v>2881.1661237785015</v>
      </c>
      <c r="BM13" s="320"/>
      <c r="BN13" s="320"/>
      <c r="BO13" s="320"/>
      <c r="BP13" s="320">
        <v>1769036</v>
      </c>
      <c r="BQ13" s="320"/>
      <c r="BR13" s="320">
        <v>1631497</v>
      </c>
      <c r="BS13" s="321">
        <f t="shared" si="20"/>
        <v>0</v>
      </c>
      <c r="BT13" s="207">
        <v>583</v>
      </c>
      <c r="BU13" s="318">
        <v>1756802</v>
      </c>
      <c r="BV13" s="318">
        <f t="shared" si="21"/>
        <v>3013.3825042881645</v>
      </c>
      <c r="BW13" s="208"/>
      <c r="BX13" s="208"/>
      <c r="BY13" s="208"/>
      <c r="BZ13" s="208">
        <v>1756802</v>
      </c>
      <c r="CA13" s="208"/>
      <c r="CB13" s="208">
        <v>1617763</v>
      </c>
      <c r="CC13" s="367">
        <f t="shared" si="22"/>
        <v>0</v>
      </c>
    </row>
    <row r="14" spans="1:81" s="316" customFormat="1" ht="15.95" customHeight="1">
      <c r="A14" s="325" t="s">
        <v>146</v>
      </c>
      <c r="B14" s="317">
        <v>1388</v>
      </c>
      <c r="C14" s="318">
        <f t="shared" si="0"/>
        <v>4886002</v>
      </c>
      <c r="D14" s="318">
        <f t="shared" si="1"/>
        <v>3520.1743515850144</v>
      </c>
      <c r="E14" s="320"/>
      <c r="F14" s="320"/>
      <c r="G14" s="320"/>
      <c r="H14" s="320">
        <v>4886002</v>
      </c>
      <c r="I14" s="320"/>
      <c r="J14" s="320">
        <v>4478989</v>
      </c>
      <c r="K14" s="321">
        <f t="shared" si="2"/>
        <v>0</v>
      </c>
      <c r="L14" s="317">
        <v>1305</v>
      </c>
      <c r="M14" s="318">
        <f t="shared" si="3"/>
        <v>4539959</v>
      </c>
      <c r="N14" s="318">
        <f t="shared" si="4"/>
        <v>3478.8957854406131</v>
      </c>
      <c r="O14" s="320"/>
      <c r="P14" s="320"/>
      <c r="Q14" s="320"/>
      <c r="R14" s="320">
        <v>4539959</v>
      </c>
      <c r="S14" s="320"/>
      <c r="T14" s="320">
        <v>4188494</v>
      </c>
      <c r="U14" s="321">
        <f t="shared" si="5"/>
        <v>0</v>
      </c>
      <c r="V14" s="323">
        <v>1305</v>
      </c>
      <c r="W14" s="318">
        <f t="shared" si="6"/>
        <v>4713283</v>
      </c>
      <c r="X14" s="318">
        <f t="shared" si="7"/>
        <v>3611.7111111111112</v>
      </c>
      <c r="Y14" s="320"/>
      <c r="Z14" s="320"/>
      <c r="AA14" s="320"/>
      <c r="AB14" s="320">
        <v>4713283</v>
      </c>
      <c r="AC14" s="320"/>
      <c r="AD14" s="320">
        <v>4329017</v>
      </c>
      <c r="AE14" s="321">
        <f t="shared" si="8"/>
        <v>0</v>
      </c>
      <c r="AF14" s="323">
        <v>1278</v>
      </c>
      <c r="AG14" s="318">
        <f t="shared" si="9"/>
        <v>4809079</v>
      </c>
      <c r="AH14" s="318">
        <f t="shared" si="10"/>
        <v>3762.9726134585289</v>
      </c>
      <c r="AI14" s="320"/>
      <c r="AJ14" s="320"/>
      <c r="AK14" s="320"/>
      <c r="AL14" s="320">
        <v>4809079</v>
      </c>
      <c r="AM14" s="320"/>
      <c r="AN14" s="320">
        <v>4448514</v>
      </c>
      <c r="AO14" s="321">
        <f t="shared" si="11"/>
        <v>0</v>
      </c>
      <c r="AP14" s="323">
        <v>1205</v>
      </c>
      <c r="AQ14" s="318">
        <f t="shared" si="12"/>
        <v>4766761</v>
      </c>
      <c r="AR14" s="318">
        <f t="shared" si="13"/>
        <v>3955.818257261411</v>
      </c>
      <c r="AS14" s="320"/>
      <c r="AT14" s="320"/>
      <c r="AU14" s="320"/>
      <c r="AV14" s="320">
        <v>4766761</v>
      </c>
      <c r="AW14" s="320"/>
      <c r="AX14" s="320">
        <v>4385832</v>
      </c>
      <c r="AY14" s="321">
        <f t="shared" si="14"/>
        <v>0</v>
      </c>
      <c r="AZ14" s="323">
        <v>1063</v>
      </c>
      <c r="BA14" s="318">
        <f t="shared" si="15"/>
        <v>4183983</v>
      </c>
      <c r="BB14" s="318">
        <f t="shared" si="16"/>
        <v>3936.0141110065852</v>
      </c>
      <c r="BC14" s="320"/>
      <c r="BD14" s="320"/>
      <c r="BE14" s="320"/>
      <c r="BF14" s="320">
        <v>4183983</v>
      </c>
      <c r="BG14" s="320"/>
      <c r="BH14" s="320">
        <v>3829380</v>
      </c>
      <c r="BI14" s="321">
        <f t="shared" si="17"/>
        <v>0</v>
      </c>
      <c r="BJ14" s="323">
        <v>1053</v>
      </c>
      <c r="BK14" s="318">
        <f t="shared" si="18"/>
        <v>4160715</v>
      </c>
      <c r="BL14" s="318">
        <f t="shared" si="19"/>
        <v>3951.2962962962961</v>
      </c>
      <c r="BM14" s="320"/>
      <c r="BN14" s="320"/>
      <c r="BO14" s="320"/>
      <c r="BP14" s="320">
        <v>4160715</v>
      </c>
      <c r="BQ14" s="320"/>
      <c r="BR14" s="320">
        <v>3916768</v>
      </c>
      <c r="BS14" s="321">
        <f t="shared" si="20"/>
        <v>0</v>
      </c>
      <c r="BT14" s="207">
        <v>1049</v>
      </c>
      <c r="BU14" s="318">
        <v>4393711</v>
      </c>
      <c r="BV14" s="318">
        <f t="shared" si="21"/>
        <v>4188.4756911344139</v>
      </c>
      <c r="BW14" s="208"/>
      <c r="BX14" s="208"/>
      <c r="BY14" s="208"/>
      <c r="BZ14" s="208">
        <v>4393711</v>
      </c>
      <c r="CA14" s="208"/>
      <c r="CB14" s="208">
        <v>4126107</v>
      </c>
      <c r="CC14" s="367">
        <f t="shared" si="22"/>
        <v>0</v>
      </c>
    </row>
    <row r="15" spans="1:81" s="316" customFormat="1" ht="15.95" customHeight="1">
      <c r="A15" s="325" t="s">
        <v>147</v>
      </c>
      <c r="B15" s="317">
        <v>89</v>
      </c>
      <c r="C15" s="318">
        <f t="shared" si="0"/>
        <v>75364</v>
      </c>
      <c r="D15" s="318">
        <f t="shared" si="1"/>
        <v>846.78651685393254</v>
      </c>
      <c r="E15" s="320"/>
      <c r="F15" s="320">
        <v>18841</v>
      </c>
      <c r="G15" s="320"/>
      <c r="H15" s="320">
        <v>56523</v>
      </c>
      <c r="I15" s="320"/>
      <c r="J15" s="320">
        <v>67064</v>
      </c>
      <c r="K15" s="321">
        <f t="shared" si="2"/>
        <v>0</v>
      </c>
      <c r="L15" s="317">
        <v>96</v>
      </c>
      <c r="M15" s="318">
        <f t="shared" si="3"/>
        <v>78794</v>
      </c>
      <c r="N15" s="318">
        <f t="shared" si="4"/>
        <v>820.77083333333337</v>
      </c>
      <c r="O15" s="320"/>
      <c r="P15" s="320">
        <v>19698.5</v>
      </c>
      <c r="Q15" s="320"/>
      <c r="R15" s="320">
        <v>59095.5</v>
      </c>
      <c r="S15" s="320"/>
      <c r="T15" s="320">
        <v>54859</v>
      </c>
      <c r="U15" s="321">
        <f t="shared" si="5"/>
        <v>0</v>
      </c>
      <c r="V15" s="323">
        <v>101</v>
      </c>
      <c r="W15" s="318">
        <f t="shared" si="6"/>
        <v>64759</v>
      </c>
      <c r="X15" s="318">
        <f t="shared" si="7"/>
        <v>641.17821782178214</v>
      </c>
      <c r="Y15" s="320"/>
      <c r="Z15" s="320"/>
      <c r="AA15" s="320"/>
      <c r="AB15" s="320">
        <v>64759</v>
      </c>
      <c r="AC15" s="320"/>
      <c r="AD15" s="320">
        <v>48409</v>
      </c>
      <c r="AE15" s="321">
        <f t="shared" si="8"/>
        <v>0</v>
      </c>
      <c r="AF15" s="323">
        <v>117</v>
      </c>
      <c r="AG15" s="318">
        <f t="shared" si="9"/>
        <v>93874</v>
      </c>
      <c r="AH15" s="318">
        <f t="shared" si="10"/>
        <v>802.34188034188037</v>
      </c>
      <c r="AI15" s="320"/>
      <c r="AJ15" s="320"/>
      <c r="AK15" s="320"/>
      <c r="AL15" s="320">
        <v>93874</v>
      </c>
      <c r="AM15" s="320"/>
      <c r="AN15" s="320">
        <v>85374</v>
      </c>
      <c r="AO15" s="321">
        <f t="shared" si="11"/>
        <v>0</v>
      </c>
      <c r="AP15" s="323">
        <v>129</v>
      </c>
      <c r="AQ15" s="318">
        <f t="shared" si="12"/>
        <v>90889</v>
      </c>
      <c r="AR15" s="318">
        <f t="shared" si="13"/>
        <v>704.5658914728682</v>
      </c>
      <c r="AS15" s="320"/>
      <c r="AT15" s="320"/>
      <c r="AU15" s="320"/>
      <c r="AV15" s="320">
        <v>90889</v>
      </c>
      <c r="AW15" s="320"/>
      <c r="AX15" s="320">
        <v>77389</v>
      </c>
      <c r="AY15" s="321">
        <f t="shared" si="14"/>
        <v>0</v>
      </c>
      <c r="AZ15" s="323">
        <v>144</v>
      </c>
      <c r="BA15" s="318">
        <f t="shared" si="15"/>
        <v>131087</v>
      </c>
      <c r="BB15" s="318">
        <f t="shared" si="16"/>
        <v>910.32638888888891</v>
      </c>
      <c r="BC15" s="320"/>
      <c r="BD15" s="320"/>
      <c r="BE15" s="320"/>
      <c r="BF15" s="320">
        <v>131087</v>
      </c>
      <c r="BG15" s="320"/>
      <c r="BH15" s="320">
        <v>103587</v>
      </c>
      <c r="BI15" s="321">
        <f t="shared" si="17"/>
        <v>0</v>
      </c>
      <c r="BJ15" s="323">
        <v>124</v>
      </c>
      <c r="BK15" s="318">
        <f t="shared" si="18"/>
        <v>107390</v>
      </c>
      <c r="BL15" s="318">
        <f t="shared" si="19"/>
        <v>866.04838709677415</v>
      </c>
      <c r="BM15" s="320"/>
      <c r="BN15" s="320"/>
      <c r="BO15" s="320"/>
      <c r="BP15" s="320">
        <v>107390</v>
      </c>
      <c r="BQ15" s="320"/>
      <c r="BR15" s="320">
        <v>90390</v>
      </c>
      <c r="BS15" s="321">
        <f t="shared" si="20"/>
        <v>0</v>
      </c>
      <c r="BT15" s="207">
        <v>114</v>
      </c>
      <c r="BU15" s="318">
        <v>90065</v>
      </c>
      <c r="BV15" s="318">
        <f t="shared" si="21"/>
        <v>790.04385964912285</v>
      </c>
      <c r="BW15" s="208"/>
      <c r="BX15" s="208"/>
      <c r="BY15" s="208"/>
      <c r="BZ15" s="208">
        <v>90065</v>
      </c>
      <c r="CA15" s="208"/>
      <c r="CB15" s="208">
        <v>71315</v>
      </c>
      <c r="CC15" s="367">
        <f t="shared" si="22"/>
        <v>0</v>
      </c>
    </row>
    <row r="16" spans="1:81" s="316" customFormat="1" ht="15.95" customHeight="1">
      <c r="A16" s="325" t="s">
        <v>148</v>
      </c>
      <c r="B16" s="317">
        <v>261</v>
      </c>
      <c r="C16" s="318">
        <f t="shared" si="0"/>
        <v>178738.5</v>
      </c>
      <c r="D16" s="318">
        <f t="shared" si="1"/>
        <v>684.82183908045977</v>
      </c>
      <c r="E16" s="320"/>
      <c r="F16" s="320"/>
      <c r="G16" s="320"/>
      <c r="H16" s="320"/>
      <c r="I16" s="320">
        <v>178738.5</v>
      </c>
      <c r="J16" s="320">
        <v>172393.5</v>
      </c>
      <c r="K16" s="321">
        <f t="shared" si="2"/>
        <v>0</v>
      </c>
      <c r="L16" s="317">
        <v>275</v>
      </c>
      <c r="M16" s="318">
        <f t="shared" si="3"/>
        <v>182044.25</v>
      </c>
      <c r="N16" s="318">
        <f t="shared" si="4"/>
        <v>661.97909090909093</v>
      </c>
      <c r="O16" s="320"/>
      <c r="P16" s="320"/>
      <c r="Q16" s="320"/>
      <c r="R16" s="320"/>
      <c r="S16" s="320">
        <v>182044.25</v>
      </c>
      <c r="T16" s="320">
        <v>177091.25</v>
      </c>
      <c r="U16" s="321">
        <f t="shared" si="5"/>
        <v>0</v>
      </c>
      <c r="V16" s="323">
        <v>207</v>
      </c>
      <c r="W16" s="318">
        <f t="shared" si="6"/>
        <v>224994</v>
      </c>
      <c r="X16" s="318">
        <f t="shared" si="7"/>
        <v>1086.927536231884</v>
      </c>
      <c r="Y16" s="320"/>
      <c r="Z16" s="320"/>
      <c r="AA16" s="320"/>
      <c r="AB16" s="320"/>
      <c r="AC16" s="320">
        <v>224994</v>
      </c>
      <c r="AD16" s="320">
        <v>214801</v>
      </c>
      <c r="AE16" s="321">
        <f t="shared" si="8"/>
        <v>0</v>
      </c>
      <c r="AF16" s="323">
        <v>241</v>
      </c>
      <c r="AG16" s="318">
        <f t="shared" si="9"/>
        <v>260679.42</v>
      </c>
      <c r="AH16" s="318">
        <f t="shared" si="10"/>
        <v>1081.6573443983402</v>
      </c>
      <c r="AI16" s="320"/>
      <c r="AJ16" s="320"/>
      <c r="AK16" s="320"/>
      <c r="AL16" s="320"/>
      <c r="AM16" s="320">
        <v>260679.42</v>
      </c>
      <c r="AN16" s="320">
        <v>247617.82</v>
      </c>
      <c r="AO16" s="321">
        <f t="shared" si="11"/>
        <v>0</v>
      </c>
      <c r="AP16" s="323">
        <v>234</v>
      </c>
      <c r="AQ16" s="318">
        <f t="shared" si="12"/>
        <v>260166</v>
      </c>
      <c r="AR16" s="318">
        <f t="shared" si="13"/>
        <v>1111.8205128205129</v>
      </c>
      <c r="AS16" s="320"/>
      <c r="AT16" s="320"/>
      <c r="AU16" s="320"/>
      <c r="AV16" s="320"/>
      <c r="AW16" s="320">
        <v>260166</v>
      </c>
      <c r="AX16" s="320">
        <v>250668</v>
      </c>
      <c r="AY16" s="321">
        <f t="shared" si="14"/>
        <v>0</v>
      </c>
      <c r="AZ16" s="323">
        <v>236</v>
      </c>
      <c r="BA16" s="318">
        <f t="shared" si="15"/>
        <v>315999.87</v>
      </c>
      <c r="BB16" s="318">
        <f t="shared" si="16"/>
        <v>1338.9825000000001</v>
      </c>
      <c r="BC16" s="320"/>
      <c r="BD16" s="320"/>
      <c r="BE16" s="320"/>
      <c r="BF16" s="320"/>
      <c r="BG16" s="320">
        <v>315999.87</v>
      </c>
      <c r="BH16" s="320">
        <v>309042.87</v>
      </c>
      <c r="BI16" s="321">
        <f t="shared" si="17"/>
        <v>0</v>
      </c>
      <c r="BJ16" s="323">
        <v>227</v>
      </c>
      <c r="BK16" s="318">
        <f t="shared" si="18"/>
        <v>340886.21</v>
      </c>
      <c r="BL16" s="318">
        <f t="shared" si="19"/>
        <v>1501.7013656387667</v>
      </c>
      <c r="BM16" s="320"/>
      <c r="BN16" s="320"/>
      <c r="BO16" s="320"/>
      <c r="BP16" s="320"/>
      <c r="BQ16" s="320">
        <v>340886.21</v>
      </c>
      <c r="BR16" s="320">
        <v>322592.09000000003</v>
      </c>
      <c r="BS16" s="321">
        <f t="shared" si="20"/>
        <v>0</v>
      </c>
      <c r="BT16" s="207">
        <v>259</v>
      </c>
      <c r="BU16" s="318">
        <v>387113</v>
      </c>
      <c r="BV16" s="318">
        <f t="shared" si="21"/>
        <v>1494.6447876447876</v>
      </c>
      <c r="BW16" s="208"/>
      <c r="BX16" s="208"/>
      <c r="BY16" s="208"/>
      <c r="BZ16" s="208"/>
      <c r="CA16" s="208">
        <v>387112.78</v>
      </c>
      <c r="CB16" s="208">
        <v>363353.85</v>
      </c>
      <c r="CC16" s="367">
        <f t="shared" si="22"/>
        <v>0</v>
      </c>
    </row>
    <row r="17" spans="1:81" s="316" customFormat="1" ht="15.95" customHeight="1">
      <c r="A17" s="325" t="s">
        <v>149</v>
      </c>
      <c r="B17" s="317">
        <v>67</v>
      </c>
      <c r="C17" s="318">
        <f t="shared" si="0"/>
        <v>48443</v>
      </c>
      <c r="D17" s="318">
        <f t="shared" si="1"/>
        <v>723.02985074626861</v>
      </c>
      <c r="E17" s="320"/>
      <c r="F17" s="320"/>
      <c r="G17" s="320"/>
      <c r="H17" s="320"/>
      <c r="I17" s="320">
        <v>48443</v>
      </c>
      <c r="J17" s="320">
        <v>48443</v>
      </c>
      <c r="K17" s="321">
        <f t="shared" si="2"/>
        <v>0</v>
      </c>
      <c r="L17" s="317">
        <v>2</v>
      </c>
      <c r="M17" s="318">
        <f t="shared" si="3"/>
        <v>3000</v>
      </c>
      <c r="N17" s="318">
        <f t="shared" si="4"/>
        <v>1500</v>
      </c>
      <c r="O17" s="320"/>
      <c r="P17" s="320"/>
      <c r="Q17" s="320"/>
      <c r="R17" s="320"/>
      <c r="S17" s="320">
        <v>3000</v>
      </c>
      <c r="T17" s="320">
        <v>3000</v>
      </c>
      <c r="U17" s="321">
        <f t="shared" si="5"/>
        <v>0</v>
      </c>
      <c r="V17" s="323">
        <v>1</v>
      </c>
      <c r="W17" s="318">
        <f t="shared" si="6"/>
        <v>1500</v>
      </c>
      <c r="X17" s="318">
        <f t="shared" si="7"/>
        <v>1500</v>
      </c>
      <c r="Y17" s="320"/>
      <c r="Z17" s="320">
        <v>1500</v>
      </c>
      <c r="AA17" s="320"/>
      <c r="AB17" s="320"/>
      <c r="AC17" s="320"/>
      <c r="AD17" s="320">
        <v>1500</v>
      </c>
      <c r="AE17" s="321">
        <f t="shared" si="8"/>
        <v>0</v>
      </c>
      <c r="AF17" s="323">
        <v>0</v>
      </c>
      <c r="AG17" s="318">
        <f t="shared" si="9"/>
        <v>0</v>
      </c>
      <c r="AH17" s="318">
        <f t="shared" si="10"/>
        <v>0</v>
      </c>
      <c r="AI17" s="320"/>
      <c r="AJ17" s="320">
        <v>0</v>
      </c>
      <c r="AK17" s="320"/>
      <c r="AL17" s="320"/>
      <c r="AM17" s="320"/>
      <c r="AN17" s="320">
        <v>0</v>
      </c>
      <c r="AO17" s="321">
        <f t="shared" si="11"/>
        <v>0</v>
      </c>
      <c r="AP17" s="323">
        <v>0</v>
      </c>
      <c r="AQ17" s="318">
        <f t="shared" si="12"/>
        <v>0</v>
      </c>
      <c r="AR17" s="318">
        <f t="shared" si="13"/>
        <v>0</v>
      </c>
      <c r="AS17" s="320"/>
      <c r="AT17" s="320">
        <v>0</v>
      </c>
      <c r="AU17" s="320"/>
      <c r="AV17" s="320"/>
      <c r="AW17" s="320"/>
      <c r="AX17" s="320">
        <v>0</v>
      </c>
      <c r="AY17" s="321">
        <f t="shared" si="14"/>
        <v>0</v>
      </c>
      <c r="AZ17" s="323">
        <v>0</v>
      </c>
      <c r="BA17" s="318">
        <f t="shared" si="15"/>
        <v>0</v>
      </c>
      <c r="BB17" s="318">
        <f t="shared" si="16"/>
        <v>0</v>
      </c>
      <c r="BC17" s="320"/>
      <c r="BD17" s="320">
        <v>0</v>
      </c>
      <c r="BE17" s="320"/>
      <c r="BF17" s="320"/>
      <c r="BG17" s="320"/>
      <c r="BH17" s="320"/>
      <c r="BI17" s="321">
        <f t="shared" si="17"/>
        <v>0</v>
      </c>
      <c r="BJ17" s="323">
        <v>0</v>
      </c>
      <c r="BK17" s="318">
        <f t="shared" si="18"/>
        <v>0</v>
      </c>
      <c r="BL17" s="318">
        <f t="shared" si="19"/>
        <v>0</v>
      </c>
      <c r="BM17" s="320"/>
      <c r="BN17" s="320">
        <v>0</v>
      </c>
      <c r="BO17" s="320"/>
      <c r="BP17" s="320"/>
      <c r="BQ17" s="320"/>
      <c r="BR17" s="320">
        <v>0</v>
      </c>
      <c r="BS17" s="321">
        <f t="shared" si="20"/>
        <v>0</v>
      </c>
      <c r="BT17" s="207">
        <v>0</v>
      </c>
      <c r="BU17" s="318">
        <f t="shared" si="23"/>
        <v>0</v>
      </c>
      <c r="BV17" s="318">
        <f t="shared" si="21"/>
        <v>0</v>
      </c>
      <c r="BW17" s="208"/>
      <c r="BX17" s="208"/>
      <c r="BY17" s="208"/>
      <c r="BZ17" s="208"/>
      <c r="CA17" s="208"/>
      <c r="CB17" s="208">
        <v>0</v>
      </c>
      <c r="CC17" s="367">
        <f t="shared" si="22"/>
        <v>0</v>
      </c>
    </row>
    <row r="18" spans="1:81" s="316" customFormat="1" ht="15.95" customHeight="1">
      <c r="A18" s="325" t="s">
        <v>150</v>
      </c>
      <c r="B18" s="317">
        <v>465</v>
      </c>
      <c r="C18" s="318">
        <f t="shared" si="0"/>
        <v>404354</v>
      </c>
      <c r="D18" s="318">
        <f t="shared" si="1"/>
        <v>869.57849462365596</v>
      </c>
      <c r="E18" s="320"/>
      <c r="F18" s="320"/>
      <c r="G18" s="320">
        <v>404354</v>
      </c>
      <c r="H18" s="320"/>
      <c r="I18" s="320"/>
      <c r="J18" s="320">
        <v>404354</v>
      </c>
      <c r="K18" s="321">
        <f t="shared" si="2"/>
        <v>0</v>
      </c>
      <c r="L18" s="317">
        <v>459</v>
      </c>
      <c r="M18" s="318">
        <f t="shared" si="3"/>
        <v>406664</v>
      </c>
      <c r="N18" s="318">
        <f t="shared" si="4"/>
        <v>885.97821350762524</v>
      </c>
      <c r="O18" s="320"/>
      <c r="P18" s="320"/>
      <c r="Q18" s="320">
        <v>406664</v>
      </c>
      <c r="R18" s="320"/>
      <c r="S18" s="320"/>
      <c r="T18" s="320">
        <v>406664</v>
      </c>
      <c r="U18" s="321">
        <f t="shared" si="5"/>
        <v>0</v>
      </c>
      <c r="V18" s="323">
        <v>498</v>
      </c>
      <c r="W18" s="318">
        <f t="shared" si="6"/>
        <v>404933</v>
      </c>
      <c r="X18" s="318">
        <f t="shared" si="7"/>
        <v>813.11847389558238</v>
      </c>
      <c r="Y18" s="320"/>
      <c r="Z18" s="320"/>
      <c r="AA18" s="320">
        <v>404933</v>
      </c>
      <c r="AB18" s="320"/>
      <c r="AC18" s="320"/>
      <c r="AD18" s="320">
        <v>404933</v>
      </c>
      <c r="AE18" s="321">
        <f t="shared" si="8"/>
        <v>0</v>
      </c>
      <c r="AF18" s="323">
        <v>448</v>
      </c>
      <c r="AG18" s="318">
        <f t="shared" si="9"/>
        <v>415803</v>
      </c>
      <c r="AH18" s="318">
        <f t="shared" si="10"/>
        <v>928.13169642857144</v>
      </c>
      <c r="AI18" s="320"/>
      <c r="AJ18" s="320"/>
      <c r="AK18" s="320">
        <v>415803</v>
      </c>
      <c r="AL18" s="320"/>
      <c r="AM18" s="320"/>
      <c r="AN18" s="320">
        <v>415803</v>
      </c>
      <c r="AO18" s="321">
        <f t="shared" si="11"/>
        <v>0</v>
      </c>
      <c r="AP18" s="323">
        <v>461</v>
      </c>
      <c r="AQ18" s="318">
        <f t="shared" si="12"/>
        <v>429167</v>
      </c>
      <c r="AR18" s="318">
        <f t="shared" si="13"/>
        <v>930.94793926247291</v>
      </c>
      <c r="AS18" s="320"/>
      <c r="AT18" s="320"/>
      <c r="AU18" s="320">
        <v>429167</v>
      </c>
      <c r="AV18" s="320"/>
      <c r="AW18" s="320"/>
      <c r="AX18" s="320">
        <v>429167</v>
      </c>
      <c r="AY18" s="321">
        <f t="shared" si="14"/>
        <v>0</v>
      </c>
      <c r="AZ18" s="323">
        <v>578</v>
      </c>
      <c r="BA18" s="318">
        <f t="shared" si="15"/>
        <v>511365</v>
      </c>
      <c r="BB18" s="318">
        <f t="shared" si="16"/>
        <v>884.71453287197232</v>
      </c>
      <c r="BC18" s="320"/>
      <c r="BD18" s="320"/>
      <c r="BE18" s="320">
        <v>511365</v>
      </c>
      <c r="BF18" s="320"/>
      <c r="BG18" s="320"/>
      <c r="BH18" s="320">
        <v>511365</v>
      </c>
      <c r="BI18" s="321">
        <f t="shared" si="17"/>
        <v>0</v>
      </c>
      <c r="BJ18" s="323">
        <v>575</v>
      </c>
      <c r="BK18" s="318">
        <f t="shared" si="18"/>
        <v>515466</v>
      </c>
      <c r="BL18" s="318">
        <f t="shared" si="19"/>
        <v>896.46260869565219</v>
      </c>
      <c r="BM18" s="320"/>
      <c r="BN18" s="320"/>
      <c r="BO18" s="320">
        <v>515466</v>
      </c>
      <c r="BP18" s="320"/>
      <c r="BQ18" s="320"/>
      <c r="BR18" s="320">
        <v>515466</v>
      </c>
      <c r="BS18" s="321">
        <f t="shared" si="20"/>
        <v>0</v>
      </c>
      <c r="BT18" s="207">
        <v>589</v>
      </c>
      <c r="BU18" s="318">
        <v>540791</v>
      </c>
      <c r="BV18" s="318">
        <f t="shared" si="21"/>
        <v>918.15110356536502</v>
      </c>
      <c r="BW18" s="208"/>
      <c r="BX18" s="208"/>
      <c r="BY18" s="208">
        <v>540791</v>
      </c>
      <c r="BZ18" s="208"/>
      <c r="CA18" s="208"/>
      <c r="CB18" s="208">
        <v>540791</v>
      </c>
      <c r="CC18" s="367">
        <f t="shared" si="22"/>
        <v>0</v>
      </c>
    </row>
    <row r="19" spans="1:81" s="316" customFormat="1" ht="15.95" customHeight="1">
      <c r="A19" s="325" t="s">
        <v>151</v>
      </c>
      <c r="B19" s="317">
        <v>32</v>
      </c>
      <c r="C19" s="318">
        <f t="shared" si="0"/>
        <v>16942.61</v>
      </c>
      <c r="D19" s="318">
        <f t="shared" si="1"/>
        <v>529.45656250000002</v>
      </c>
      <c r="E19" s="320"/>
      <c r="F19" s="320"/>
      <c r="G19" s="320"/>
      <c r="H19" s="320">
        <v>16942.61</v>
      </c>
      <c r="I19" s="320"/>
      <c r="J19" s="320">
        <v>16560.11</v>
      </c>
      <c r="K19" s="321">
        <f t="shared" si="2"/>
        <v>0</v>
      </c>
      <c r="L19" s="317">
        <v>0</v>
      </c>
      <c r="M19" s="318">
        <f t="shared" si="3"/>
        <v>0</v>
      </c>
      <c r="N19" s="318">
        <f t="shared" si="4"/>
        <v>0</v>
      </c>
      <c r="O19" s="320"/>
      <c r="P19" s="320"/>
      <c r="Q19" s="320"/>
      <c r="R19" s="320"/>
      <c r="S19" s="320"/>
      <c r="T19" s="320">
        <v>0</v>
      </c>
      <c r="U19" s="321">
        <f t="shared" si="5"/>
        <v>0</v>
      </c>
      <c r="V19" s="323">
        <v>0</v>
      </c>
      <c r="W19" s="318">
        <f t="shared" si="6"/>
        <v>0</v>
      </c>
      <c r="X19" s="318">
        <f t="shared" si="7"/>
        <v>0</v>
      </c>
      <c r="Y19" s="320"/>
      <c r="Z19" s="320"/>
      <c r="AA19" s="320"/>
      <c r="AB19" s="320"/>
      <c r="AC19" s="320"/>
      <c r="AD19" s="320"/>
      <c r="AE19" s="321">
        <f t="shared" si="8"/>
        <v>0</v>
      </c>
      <c r="AF19" s="323">
        <v>0</v>
      </c>
      <c r="AG19" s="318">
        <f t="shared" si="9"/>
        <v>0</v>
      </c>
      <c r="AH19" s="318">
        <f t="shared" si="10"/>
        <v>0</v>
      </c>
      <c r="AI19" s="320"/>
      <c r="AJ19" s="320"/>
      <c r="AK19" s="320"/>
      <c r="AL19" s="320"/>
      <c r="AM19" s="320"/>
      <c r="AN19" s="320">
        <v>0</v>
      </c>
      <c r="AO19" s="321">
        <f t="shared" si="11"/>
        <v>0</v>
      </c>
      <c r="AP19" s="323">
        <v>0</v>
      </c>
      <c r="AQ19" s="318">
        <f t="shared" si="12"/>
        <v>0</v>
      </c>
      <c r="AR19" s="318">
        <f t="shared" si="13"/>
        <v>0</v>
      </c>
      <c r="AS19" s="320"/>
      <c r="AT19" s="320"/>
      <c r="AU19" s="320"/>
      <c r="AV19" s="320">
        <v>0</v>
      </c>
      <c r="AW19" s="320"/>
      <c r="AX19" s="320">
        <v>0</v>
      </c>
      <c r="AY19" s="321">
        <f t="shared" si="14"/>
        <v>0</v>
      </c>
      <c r="AZ19" s="323">
        <v>0</v>
      </c>
      <c r="BA19" s="318">
        <f t="shared" si="15"/>
        <v>0</v>
      </c>
      <c r="BB19" s="318">
        <f t="shared" si="16"/>
        <v>0</v>
      </c>
      <c r="BC19" s="320"/>
      <c r="BD19" s="320"/>
      <c r="BE19" s="320"/>
      <c r="BF19" s="320">
        <v>0</v>
      </c>
      <c r="BG19" s="320"/>
      <c r="BH19" s="320">
        <v>0</v>
      </c>
      <c r="BI19" s="321">
        <f t="shared" si="17"/>
        <v>0</v>
      </c>
      <c r="BJ19" s="323">
        <v>0</v>
      </c>
      <c r="BK19" s="318">
        <f t="shared" si="18"/>
        <v>0</v>
      </c>
      <c r="BL19" s="318">
        <f t="shared" si="19"/>
        <v>0</v>
      </c>
      <c r="BM19" s="320"/>
      <c r="BN19" s="320"/>
      <c r="BO19" s="320"/>
      <c r="BP19" s="320">
        <v>0</v>
      </c>
      <c r="BQ19" s="320"/>
      <c r="BR19" s="320">
        <v>0</v>
      </c>
      <c r="BS19" s="321">
        <f t="shared" si="20"/>
        <v>0</v>
      </c>
      <c r="BT19" s="207">
        <v>0</v>
      </c>
      <c r="BU19" s="318">
        <v>0</v>
      </c>
      <c r="BV19" s="318">
        <f t="shared" si="21"/>
        <v>0</v>
      </c>
      <c r="BW19" s="208"/>
      <c r="BX19" s="208"/>
      <c r="BY19" s="208"/>
      <c r="BZ19" s="208"/>
      <c r="CA19" s="208"/>
      <c r="CB19" s="208">
        <v>0</v>
      </c>
      <c r="CC19" s="367">
        <f t="shared" si="22"/>
        <v>0</v>
      </c>
    </row>
    <row r="20" spans="1:81" s="316" customFormat="1" ht="15.95" customHeight="1">
      <c r="A20" s="325" t="s">
        <v>152</v>
      </c>
      <c r="B20" s="317"/>
      <c r="C20" s="318">
        <f>SUM(E20:I20)</f>
        <v>0</v>
      </c>
      <c r="D20" s="318">
        <f>IFERROR(C20/B20,0)</f>
        <v>0</v>
      </c>
      <c r="E20" s="320"/>
      <c r="F20" s="320"/>
      <c r="G20" s="320"/>
      <c r="H20" s="320"/>
      <c r="I20" s="320"/>
      <c r="J20" s="320"/>
      <c r="K20" s="321">
        <f t="shared" si="2"/>
        <v>0</v>
      </c>
      <c r="L20" s="317"/>
      <c r="M20" s="318">
        <f>SUM(O20:S20)</f>
        <v>0</v>
      </c>
      <c r="N20" s="318">
        <f>IFERROR(M20/L20,0)</f>
        <v>0</v>
      </c>
      <c r="O20" s="320"/>
      <c r="P20" s="320"/>
      <c r="Q20" s="320"/>
      <c r="R20" s="320"/>
      <c r="S20" s="320"/>
      <c r="T20" s="320"/>
      <c r="U20" s="321">
        <f t="shared" si="5"/>
        <v>0</v>
      </c>
      <c r="V20" s="317"/>
      <c r="W20" s="318">
        <f>SUM(Y20:AC20)</f>
        <v>0</v>
      </c>
      <c r="X20" s="318">
        <f>IFERROR(W20/V20,0)</f>
        <v>0</v>
      </c>
      <c r="Y20" s="320"/>
      <c r="Z20" s="320"/>
      <c r="AA20" s="320"/>
      <c r="AB20" s="320"/>
      <c r="AC20" s="320"/>
      <c r="AD20" s="320"/>
      <c r="AE20" s="321">
        <f t="shared" si="8"/>
        <v>0</v>
      </c>
      <c r="AF20" s="317">
        <v>24</v>
      </c>
      <c r="AG20" s="318">
        <f>SUM(AI20:AM20)</f>
        <v>35340.300000000003</v>
      </c>
      <c r="AH20" s="318">
        <f>IFERROR(AG20/AF20,0)</f>
        <v>1472.5125</v>
      </c>
      <c r="AI20" s="320"/>
      <c r="AJ20" s="320"/>
      <c r="AK20" s="320">
        <v>35340.300000000003</v>
      </c>
      <c r="AL20" s="320"/>
      <c r="AM20" s="320"/>
      <c r="AN20" s="320">
        <v>35340.300000000003</v>
      </c>
      <c r="AO20" s="321">
        <f t="shared" si="11"/>
        <v>0</v>
      </c>
      <c r="AP20" s="317">
        <v>29</v>
      </c>
      <c r="AQ20" s="318">
        <f>SUM(AS20:AW20)</f>
        <v>42521.7</v>
      </c>
      <c r="AR20" s="318">
        <f>IFERROR(AQ20/AP20,0)</f>
        <v>1466.2655172413793</v>
      </c>
      <c r="AS20" s="320"/>
      <c r="AT20" s="320"/>
      <c r="AU20" s="320">
        <v>42521.7</v>
      </c>
      <c r="AV20" s="320"/>
      <c r="AW20" s="320"/>
      <c r="AX20" s="320">
        <v>42521.7</v>
      </c>
      <c r="AY20" s="321">
        <f t="shared" si="14"/>
        <v>0</v>
      </c>
      <c r="AZ20" s="317">
        <v>27</v>
      </c>
      <c r="BA20" s="318">
        <f>SUM(BC20:BG20)</f>
        <v>39283.26</v>
      </c>
      <c r="BB20" s="318">
        <f>IFERROR(BA20/AZ20,0)</f>
        <v>1454.9355555555555</v>
      </c>
      <c r="BC20" s="320"/>
      <c r="BD20" s="320"/>
      <c r="BE20" s="320">
        <v>39283.26</v>
      </c>
      <c r="BF20" s="320"/>
      <c r="BG20" s="320"/>
      <c r="BH20" s="320">
        <v>39283.26</v>
      </c>
      <c r="BI20" s="321">
        <f t="shared" si="17"/>
        <v>0</v>
      </c>
      <c r="BJ20" s="323">
        <v>47</v>
      </c>
      <c r="BK20" s="318">
        <f t="shared" si="18"/>
        <v>66923.19</v>
      </c>
      <c r="BL20" s="318">
        <f t="shared" si="19"/>
        <v>1423.8976595744682</v>
      </c>
      <c r="BM20" s="320"/>
      <c r="BN20" s="320"/>
      <c r="BO20" s="320">
        <v>66923.19</v>
      </c>
      <c r="BP20" s="320"/>
      <c r="BQ20" s="320"/>
      <c r="BR20" s="320">
        <v>66923.19</v>
      </c>
      <c r="BS20" s="321">
        <f t="shared" si="20"/>
        <v>0</v>
      </c>
      <c r="BT20" s="207">
        <v>33</v>
      </c>
      <c r="BU20" s="318">
        <f t="shared" si="23"/>
        <v>45095.9</v>
      </c>
      <c r="BV20" s="318">
        <f t="shared" si="21"/>
        <v>1366.5424242424242</v>
      </c>
      <c r="BW20" s="208"/>
      <c r="BX20" s="208"/>
      <c r="BY20" s="208">
        <v>45095.9</v>
      </c>
      <c r="BZ20" s="208"/>
      <c r="CA20" s="208"/>
      <c r="CB20" s="208">
        <v>45095.9</v>
      </c>
      <c r="CC20" s="367">
        <f t="shared" si="22"/>
        <v>0</v>
      </c>
    </row>
    <row r="21" spans="1:81" s="316" customFormat="1" ht="15.95" customHeight="1">
      <c r="A21" s="214"/>
      <c r="B21" s="317"/>
      <c r="C21" s="318">
        <f t="shared" ref="C21:C25" si="24">SUM(E21:I21)</f>
        <v>0</v>
      </c>
      <c r="D21" s="318">
        <f t="shared" ref="D21:D25" si="25">IFERROR(C21/B21,0)</f>
        <v>0</v>
      </c>
      <c r="E21" s="320"/>
      <c r="F21" s="320"/>
      <c r="G21" s="320"/>
      <c r="H21" s="320"/>
      <c r="I21" s="320"/>
      <c r="J21" s="320"/>
      <c r="K21" s="321">
        <f t="shared" si="2"/>
        <v>0</v>
      </c>
      <c r="L21" s="317"/>
      <c r="M21" s="318">
        <f t="shared" ref="M21:M25" si="26">SUM(O21:S21)</f>
        <v>0</v>
      </c>
      <c r="N21" s="318">
        <f t="shared" ref="N21:N25" si="27">IFERROR(M21/L21,0)</f>
        <v>0</v>
      </c>
      <c r="O21" s="320"/>
      <c r="P21" s="320"/>
      <c r="Q21" s="320"/>
      <c r="R21" s="320"/>
      <c r="S21" s="320"/>
      <c r="T21" s="320"/>
      <c r="U21" s="321">
        <f t="shared" si="5"/>
        <v>0</v>
      </c>
      <c r="V21" s="317"/>
      <c r="W21" s="318">
        <f t="shared" ref="W21:W25" si="28">SUM(Y21:AC21)</f>
        <v>0</v>
      </c>
      <c r="X21" s="318">
        <f t="shared" ref="X21:X25" si="29">IFERROR(W21/V21,0)</f>
        <v>0</v>
      </c>
      <c r="Y21" s="320"/>
      <c r="Z21" s="320"/>
      <c r="AA21" s="320"/>
      <c r="AB21" s="320"/>
      <c r="AC21" s="320"/>
      <c r="AD21" s="320"/>
      <c r="AE21" s="321">
        <f t="shared" si="8"/>
        <v>0</v>
      </c>
      <c r="AF21" s="317"/>
      <c r="AG21" s="318">
        <f t="shared" ref="AG21:AG25" si="30">SUM(AI21:AM21)</f>
        <v>0</v>
      </c>
      <c r="AH21" s="318">
        <f t="shared" ref="AH21:AH25" si="31">IFERROR(AG21/AF21,0)</f>
        <v>0</v>
      </c>
      <c r="AI21" s="320"/>
      <c r="AJ21" s="320"/>
      <c r="AK21" s="320"/>
      <c r="AL21" s="320"/>
      <c r="AM21" s="320"/>
      <c r="AN21" s="320"/>
      <c r="AO21" s="321">
        <f t="shared" si="11"/>
        <v>0</v>
      </c>
      <c r="AP21" s="317"/>
      <c r="AQ21" s="318">
        <f t="shared" ref="AQ21:AQ25" si="32">SUM(AS21:AW21)</f>
        <v>0</v>
      </c>
      <c r="AR21" s="318">
        <f t="shared" ref="AR21:AR25" si="33">IFERROR(AQ21/AP21,0)</f>
        <v>0</v>
      </c>
      <c r="AS21" s="320"/>
      <c r="AT21" s="320"/>
      <c r="AU21" s="320"/>
      <c r="AV21" s="320"/>
      <c r="AW21" s="320"/>
      <c r="AX21" s="320"/>
      <c r="AY21" s="321">
        <f t="shared" si="14"/>
        <v>0</v>
      </c>
      <c r="AZ21" s="317"/>
      <c r="BA21" s="318">
        <f t="shared" ref="BA21:BA25" si="34">SUM(BC21:BG21)</f>
        <v>0</v>
      </c>
      <c r="BB21" s="318">
        <f t="shared" ref="BB21:BB25" si="35">IFERROR(BA21/AZ21,0)</f>
        <v>0</v>
      </c>
      <c r="BC21" s="320"/>
      <c r="BD21" s="320"/>
      <c r="BE21" s="320"/>
      <c r="BF21" s="320"/>
      <c r="BG21" s="320"/>
      <c r="BH21" s="320"/>
      <c r="BI21" s="321">
        <f t="shared" si="17"/>
        <v>0</v>
      </c>
      <c r="BJ21" s="323"/>
      <c r="BK21" s="318">
        <f t="shared" si="18"/>
        <v>0</v>
      </c>
      <c r="BL21" s="318">
        <f t="shared" si="19"/>
        <v>0</v>
      </c>
      <c r="BM21" s="320"/>
      <c r="BN21" s="320"/>
      <c r="BO21" s="320"/>
      <c r="BP21" s="320"/>
      <c r="BQ21" s="320"/>
      <c r="BR21" s="320"/>
      <c r="BS21" s="321">
        <f t="shared" si="20"/>
        <v>0</v>
      </c>
      <c r="BT21" s="207"/>
      <c r="BU21" s="318">
        <f t="shared" si="23"/>
        <v>0</v>
      </c>
      <c r="BV21" s="318">
        <f t="shared" si="21"/>
        <v>0</v>
      </c>
      <c r="BW21" s="208"/>
      <c r="BX21" s="208"/>
      <c r="BY21" s="208"/>
      <c r="BZ21" s="208"/>
      <c r="CA21" s="208"/>
      <c r="CB21" s="208"/>
      <c r="CC21" s="367">
        <f t="shared" si="22"/>
        <v>0</v>
      </c>
    </row>
    <row r="22" spans="1:81" s="316" customFormat="1" ht="15.95" customHeight="1">
      <c r="A22" s="214"/>
      <c r="B22" s="317"/>
      <c r="C22" s="318">
        <f t="shared" si="24"/>
        <v>0</v>
      </c>
      <c r="D22" s="318">
        <f t="shared" si="25"/>
        <v>0</v>
      </c>
      <c r="E22" s="320"/>
      <c r="F22" s="320"/>
      <c r="G22" s="320"/>
      <c r="H22" s="320"/>
      <c r="I22" s="320"/>
      <c r="J22" s="320"/>
      <c r="K22" s="321">
        <f t="shared" si="2"/>
        <v>0</v>
      </c>
      <c r="L22" s="317"/>
      <c r="M22" s="318">
        <f t="shared" si="26"/>
        <v>0</v>
      </c>
      <c r="N22" s="318">
        <f t="shared" si="27"/>
        <v>0</v>
      </c>
      <c r="O22" s="320"/>
      <c r="P22" s="320"/>
      <c r="Q22" s="320"/>
      <c r="R22" s="320"/>
      <c r="S22" s="320"/>
      <c r="T22" s="320"/>
      <c r="U22" s="321">
        <f t="shared" si="5"/>
        <v>0</v>
      </c>
      <c r="V22" s="317"/>
      <c r="W22" s="318">
        <f t="shared" si="28"/>
        <v>0</v>
      </c>
      <c r="X22" s="318">
        <f t="shared" si="29"/>
        <v>0</v>
      </c>
      <c r="Y22" s="320"/>
      <c r="Z22" s="320"/>
      <c r="AA22" s="320"/>
      <c r="AB22" s="320"/>
      <c r="AC22" s="320"/>
      <c r="AD22" s="320"/>
      <c r="AE22" s="321">
        <f t="shared" si="8"/>
        <v>0</v>
      </c>
      <c r="AF22" s="317"/>
      <c r="AG22" s="318">
        <f t="shared" si="30"/>
        <v>0</v>
      </c>
      <c r="AH22" s="318">
        <f t="shared" si="31"/>
        <v>0</v>
      </c>
      <c r="AI22" s="320"/>
      <c r="AJ22" s="320"/>
      <c r="AK22" s="320"/>
      <c r="AL22" s="320"/>
      <c r="AM22" s="320"/>
      <c r="AN22" s="320"/>
      <c r="AO22" s="321">
        <f t="shared" si="11"/>
        <v>0</v>
      </c>
      <c r="AP22" s="317"/>
      <c r="AQ22" s="318">
        <f t="shared" si="32"/>
        <v>0</v>
      </c>
      <c r="AR22" s="318">
        <f t="shared" si="33"/>
        <v>0</v>
      </c>
      <c r="AS22" s="320"/>
      <c r="AT22" s="320"/>
      <c r="AU22" s="320"/>
      <c r="AV22" s="320"/>
      <c r="AW22" s="320"/>
      <c r="AX22" s="320"/>
      <c r="AY22" s="321">
        <f t="shared" si="14"/>
        <v>0</v>
      </c>
      <c r="AZ22" s="317"/>
      <c r="BA22" s="318">
        <f t="shared" si="34"/>
        <v>0</v>
      </c>
      <c r="BB22" s="318">
        <f t="shared" si="35"/>
        <v>0</v>
      </c>
      <c r="BC22" s="320"/>
      <c r="BD22" s="320"/>
      <c r="BE22" s="320"/>
      <c r="BF22" s="320"/>
      <c r="BG22" s="320"/>
      <c r="BH22" s="320"/>
      <c r="BI22" s="321">
        <f t="shared" si="17"/>
        <v>0</v>
      </c>
      <c r="BJ22" s="323"/>
      <c r="BK22" s="318">
        <f t="shared" si="18"/>
        <v>0</v>
      </c>
      <c r="BL22" s="318">
        <f t="shared" si="19"/>
        <v>0</v>
      </c>
      <c r="BM22" s="320"/>
      <c r="BN22" s="320"/>
      <c r="BO22" s="320"/>
      <c r="BP22" s="320"/>
      <c r="BQ22" s="320"/>
      <c r="BR22" s="320"/>
      <c r="BS22" s="321">
        <f t="shared" si="20"/>
        <v>0</v>
      </c>
      <c r="BT22" s="207"/>
      <c r="BU22" s="318">
        <f t="shared" si="23"/>
        <v>0</v>
      </c>
      <c r="BV22" s="318">
        <f t="shared" si="21"/>
        <v>0</v>
      </c>
      <c r="BW22" s="208"/>
      <c r="BX22" s="208"/>
      <c r="BY22" s="208"/>
      <c r="BZ22" s="208"/>
      <c r="CA22" s="208"/>
      <c r="CB22" s="208"/>
      <c r="CC22" s="367">
        <f t="shared" si="22"/>
        <v>0</v>
      </c>
    </row>
    <row r="23" spans="1:81" s="316" customFormat="1" ht="15.95" customHeight="1">
      <c r="A23" s="214"/>
      <c r="B23" s="317"/>
      <c r="C23" s="318">
        <f t="shared" si="24"/>
        <v>0</v>
      </c>
      <c r="D23" s="318">
        <f t="shared" si="25"/>
        <v>0</v>
      </c>
      <c r="E23" s="320"/>
      <c r="F23" s="320"/>
      <c r="G23" s="320"/>
      <c r="H23" s="320"/>
      <c r="I23" s="320"/>
      <c r="J23" s="320"/>
      <c r="K23" s="321">
        <f t="shared" si="2"/>
        <v>0</v>
      </c>
      <c r="L23" s="317"/>
      <c r="M23" s="318">
        <f t="shared" si="26"/>
        <v>0</v>
      </c>
      <c r="N23" s="318">
        <f t="shared" si="27"/>
        <v>0</v>
      </c>
      <c r="O23" s="320"/>
      <c r="P23" s="320"/>
      <c r="Q23" s="320"/>
      <c r="R23" s="320"/>
      <c r="S23" s="320"/>
      <c r="T23" s="320"/>
      <c r="U23" s="321">
        <f t="shared" si="5"/>
        <v>0</v>
      </c>
      <c r="V23" s="317"/>
      <c r="W23" s="318">
        <f t="shared" si="28"/>
        <v>0</v>
      </c>
      <c r="X23" s="318">
        <f t="shared" si="29"/>
        <v>0</v>
      </c>
      <c r="Y23" s="320"/>
      <c r="Z23" s="320"/>
      <c r="AA23" s="320"/>
      <c r="AB23" s="320"/>
      <c r="AC23" s="320"/>
      <c r="AD23" s="320"/>
      <c r="AE23" s="321">
        <f t="shared" si="8"/>
        <v>0</v>
      </c>
      <c r="AF23" s="317"/>
      <c r="AG23" s="318">
        <f t="shared" si="30"/>
        <v>0</v>
      </c>
      <c r="AH23" s="318">
        <f t="shared" si="31"/>
        <v>0</v>
      </c>
      <c r="AI23" s="320"/>
      <c r="AJ23" s="320"/>
      <c r="AK23" s="320"/>
      <c r="AL23" s="320"/>
      <c r="AM23" s="320"/>
      <c r="AN23" s="320"/>
      <c r="AO23" s="321">
        <f t="shared" si="11"/>
        <v>0</v>
      </c>
      <c r="AP23" s="317"/>
      <c r="AQ23" s="318">
        <f t="shared" si="32"/>
        <v>0</v>
      </c>
      <c r="AR23" s="318">
        <f t="shared" si="33"/>
        <v>0</v>
      </c>
      <c r="AS23" s="320"/>
      <c r="AT23" s="320"/>
      <c r="AU23" s="320"/>
      <c r="AV23" s="320"/>
      <c r="AW23" s="320"/>
      <c r="AX23" s="320"/>
      <c r="AY23" s="321">
        <f t="shared" si="14"/>
        <v>0</v>
      </c>
      <c r="AZ23" s="317"/>
      <c r="BA23" s="318">
        <f t="shared" si="34"/>
        <v>0</v>
      </c>
      <c r="BB23" s="318">
        <f t="shared" si="35"/>
        <v>0</v>
      </c>
      <c r="BC23" s="320"/>
      <c r="BD23" s="320"/>
      <c r="BE23" s="320"/>
      <c r="BF23" s="320"/>
      <c r="BG23" s="320"/>
      <c r="BH23" s="320"/>
      <c r="BI23" s="321">
        <f t="shared" si="17"/>
        <v>0</v>
      </c>
      <c r="BJ23" s="323"/>
      <c r="BK23" s="318">
        <f t="shared" si="18"/>
        <v>0</v>
      </c>
      <c r="BL23" s="318">
        <f t="shared" si="19"/>
        <v>0</v>
      </c>
      <c r="BM23" s="320"/>
      <c r="BN23" s="320"/>
      <c r="BO23" s="320"/>
      <c r="BP23" s="320"/>
      <c r="BQ23" s="320"/>
      <c r="BR23" s="320"/>
      <c r="BS23" s="321">
        <f t="shared" si="20"/>
        <v>0</v>
      </c>
      <c r="BT23" s="207"/>
      <c r="BU23" s="318">
        <f t="shared" si="23"/>
        <v>0</v>
      </c>
      <c r="BV23" s="318">
        <f t="shared" si="21"/>
        <v>0</v>
      </c>
      <c r="BW23" s="208"/>
      <c r="BX23" s="208"/>
      <c r="BY23" s="208"/>
      <c r="BZ23" s="208"/>
      <c r="CA23" s="208"/>
      <c r="CB23" s="208"/>
      <c r="CC23" s="367">
        <f t="shared" si="22"/>
        <v>0</v>
      </c>
    </row>
    <row r="24" spans="1:81" s="316" customFormat="1" ht="15.95" customHeight="1">
      <c r="A24" s="214"/>
      <c r="B24" s="317"/>
      <c r="C24" s="318">
        <f t="shared" si="24"/>
        <v>0</v>
      </c>
      <c r="D24" s="318">
        <f t="shared" si="25"/>
        <v>0</v>
      </c>
      <c r="E24" s="320"/>
      <c r="F24" s="320"/>
      <c r="G24" s="320"/>
      <c r="H24" s="320"/>
      <c r="I24" s="320"/>
      <c r="J24" s="320"/>
      <c r="K24" s="321">
        <f t="shared" si="2"/>
        <v>0</v>
      </c>
      <c r="L24" s="317"/>
      <c r="M24" s="318">
        <f t="shared" si="26"/>
        <v>0</v>
      </c>
      <c r="N24" s="318">
        <f t="shared" si="27"/>
        <v>0</v>
      </c>
      <c r="O24" s="320"/>
      <c r="P24" s="320"/>
      <c r="Q24" s="320"/>
      <c r="R24" s="320"/>
      <c r="S24" s="320"/>
      <c r="T24" s="320"/>
      <c r="U24" s="321">
        <f t="shared" si="5"/>
        <v>0</v>
      </c>
      <c r="V24" s="317"/>
      <c r="W24" s="318">
        <f t="shared" si="28"/>
        <v>0</v>
      </c>
      <c r="X24" s="318">
        <f t="shared" si="29"/>
        <v>0</v>
      </c>
      <c r="Y24" s="320"/>
      <c r="Z24" s="320"/>
      <c r="AA24" s="320"/>
      <c r="AB24" s="320"/>
      <c r="AC24" s="320"/>
      <c r="AD24" s="320"/>
      <c r="AE24" s="321">
        <f t="shared" si="8"/>
        <v>0</v>
      </c>
      <c r="AF24" s="317"/>
      <c r="AG24" s="318">
        <f t="shared" si="30"/>
        <v>0</v>
      </c>
      <c r="AH24" s="318">
        <f t="shared" si="31"/>
        <v>0</v>
      </c>
      <c r="AI24" s="320"/>
      <c r="AJ24" s="320"/>
      <c r="AK24" s="320"/>
      <c r="AL24" s="320"/>
      <c r="AM24" s="320"/>
      <c r="AN24" s="320"/>
      <c r="AO24" s="321">
        <f t="shared" si="11"/>
        <v>0</v>
      </c>
      <c r="AP24" s="317"/>
      <c r="AQ24" s="318">
        <f t="shared" si="32"/>
        <v>0</v>
      </c>
      <c r="AR24" s="318">
        <f t="shared" si="33"/>
        <v>0</v>
      </c>
      <c r="AS24" s="320"/>
      <c r="AT24" s="320"/>
      <c r="AU24" s="320"/>
      <c r="AV24" s="320"/>
      <c r="AW24" s="320"/>
      <c r="AX24" s="320"/>
      <c r="AY24" s="321">
        <f t="shared" si="14"/>
        <v>0</v>
      </c>
      <c r="AZ24" s="317"/>
      <c r="BA24" s="318">
        <f t="shared" si="34"/>
        <v>0</v>
      </c>
      <c r="BB24" s="318">
        <f t="shared" si="35"/>
        <v>0</v>
      </c>
      <c r="BC24" s="320"/>
      <c r="BD24" s="320"/>
      <c r="BE24" s="320"/>
      <c r="BF24" s="320"/>
      <c r="BG24" s="320"/>
      <c r="BH24" s="320"/>
      <c r="BI24" s="321">
        <f t="shared" si="17"/>
        <v>0</v>
      </c>
      <c r="BJ24" s="323"/>
      <c r="BK24" s="318">
        <f t="shared" si="18"/>
        <v>0</v>
      </c>
      <c r="BL24" s="318">
        <f t="shared" si="19"/>
        <v>0</v>
      </c>
      <c r="BM24" s="320"/>
      <c r="BN24" s="320"/>
      <c r="BO24" s="320"/>
      <c r="BP24" s="320"/>
      <c r="BQ24" s="320"/>
      <c r="BR24" s="320"/>
      <c r="BS24" s="321">
        <f t="shared" si="20"/>
        <v>0</v>
      </c>
      <c r="BT24" s="207"/>
      <c r="BU24" s="318">
        <f t="shared" si="23"/>
        <v>0</v>
      </c>
      <c r="BV24" s="318">
        <f t="shared" si="21"/>
        <v>0</v>
      </c>
      <c r="BW24" s="208"/>
      <c r="BX24" s="208"/>
      <c r="BY24" s="208"/>
      <c r="BZ24" s="208"/>
      <c r="CA24" s="208"/>
      <c r="CB24" s="208"/>
      <c r="CC24" s="367">
        <f t="shared" si="22"/>
        <v>0</v>
      </c>
    </row>
    <row r="25" spans="1:81" s="316" customFormat="1" ht="15.95" customHeight="1">
      <c r="A25" s="214"/>
      <c r="B25" s="317"/>
      <c r="C25" s="318">
        <f t="shared" si="24"/>
        <v>0</v>
      </c>
      <c r="D25" s="318">
        <f t="shared" si="25"/>
        <v>0</v>
      </c>
      <c r="E25" s="320"/>
      <c r="F25" s="320"/>
      <c r="G25" s="320"/>
      <c r="H25" s="320"/>
      <c r="I25" s="320"/>
      <c r="J25" s="320"/>
      <c r="K25" s="321">
        <f t="shared" si="2"/>
        <v>0</v>
      </c>
      <c r="L25" s="317"/>
      <c r="M25" s="318">
        <f t="shared" si="26"/>
        <v>0</v>
      </c>
      <c r="N25" s="318">
        <f t="shared" si="27"/>
        <v>0</v>
      </c>
      <c r="O25" s="320"/>
      <c r="P25" s="320"/>
      <c r="Q25" s="320"/>
      <c r="R25" s="320"/>
      <c r="S25" s="320"/>
      <c r="T25" s="320"/>
      <c r="U25" s="321">
        <f t="shared" si="5"/>
        <v>0</v>
      </c>
      <c r="V25" s="317"/>
      <c r="W25" s="318">
        <f t="shared" si="28"/>
        <v>0</v>
      </c>
      <c r="X25" s="318">
        <f t="shared" si="29"/>
        <v>0</v>
      </c>
      <c r="Y25" s="320"/>
      <c r="Z25" s="320"/>
      <c r="AA25" s="320"/>
      <c r="AB25" s="320"/>
      <c r="AC25" s="320"/>
      <c r="AD25" s="320"/>
      <c r="AE25" s="321">
        <f t="shared" si="8"/>
        <v>0</v>
      </c>
      <c r="AF25" s="317"/>
      <c r="AG25" s="318">
        <f t="shared" si="30"/>
        <v>0</v>
      </c>
      <c r="AH25" s="318">
        <f t="shared" si="31"/>
        <v>0</v>
      </c>
      <c r="AI25" s="320"/>
      <c r="AJ25" s="320"/>
      <c r="AK25" s="320"/>
      <c r="AL25" s="320"/>
      <c r="AM25" s="320"/>
      <c r="AN25" s="320"/>
      <c r="AO25" s="321">
        <f t="shared" si="11"/>
        <v>0</v>
      </c>
      <c r="AP25" s="317"/>
      <c r="AQ25" s="318">
        <f t="shared" si="32"/>
        <v>0</v>
      </c>
      <c r="AR25" s="318">
        <f t="shared" si="33"/>
        <v>0</v>
      </c>
      <c r="AS25" s="320"/>
      <c r="AT25" s="320"/>
      <c r="AU25" s="320"/>
      <c r="AV25" s="320"/>
      <c r="AW25" s="320"/>
      <c r="AX25" s="320"/>
      <c r="AY25" s="321">
        <f t="shared" si="14"/>
        <v>0</v>
      </c>
      <c r="AZ25" s="317"/>
      <c r="BA25" s="318">
        <f t="shared" si="34"/>
        <v>0</v>
      </c>
      <c r="BB25" s="318">
        <f t="shared" si="35"/>
        <v>0</v>
      </c>
      <c r="BC25" s="320"/>
      <c r="BD25" s="320"/>
      <c r="BE25" s="320"/>
      <c r="BF25" s="320"/>
      <c r="BG25" s="320"/>
      <c r="BH25" s="320"/>
      <c r="BI25" s="321">
        <f t="shared" si="17"/>
        <v>0</v>
      </c>
      <c r="BJ25" s="323"/>
      <c r="BK25" s="318">
        <f t="shared" si="18"/>
        <v>0</v>
      </c>
      <c r="BL25" s="318">
        <f t="shared" si="19"/>
        <v>0</v>
      </c>
      <c r="BM25" s="320"/>
      <c r="BN25" s="320"/>
      <c r="BO25" s="320"/>
      <c r="BP25" s="320"/>
      <c r="BQ25" s="320"/>
      <c r="BR25" s="320"/>
      <c r="BS25" s="321">
        <f t="shared" si="20"/>
        <v>0</v>
      </c>
      <c r="BT25" s="207"/>
      <c r="BU25" s="318">
        <f t="shared" si="23"/>
        <v>0</v>
      </c>
      <c r="BV25" s="318">
        <f t="shared" si="21"/>
        <v>0</v>
      </c>
      <c r="BW25" s="208"/>
      <c r="BX25" s="208"/>
      <c r="BY25" s="208"/>
      <c r="BZ25" s="208"/>
      <c r="CA25" s="208"/>
      <c r="CB25" s="208"/>
      <c r="CC25" s="367">
        <f t="shared" si="22"/>
        <v>0</v>
      </c>
    </row>
    <row r="26" spans="1:81" s="316" customFormat="1" ht="15.95" customHeight="1">
      <c r="A26" s="214"/>
      <c r="B26" s="317"/>
      <c r="C26" s="318">
        <f>SUM(E26:I26)</f>
        <v>0</v>
      </c>
      <c r="D26" s="318">
        <f>IFERROR(C26/B26,0)</f>
        <v>0</v>
      </c>
      <c r="E26" s="320"/>
      <c r="F26" s="320"/>
      <c r="G26" s="320"/>
      <c r="H26" s="320"/>
      <c r="I26" s="320"/>
      <c r="J26" s="320"/>
      <c r="K26" s="321">
        <f t="shared" si="2"/>
        <v>0</v>
      </c>
      <c r="L26" s="317"/>
      <c r="M26" s="318">
        <f>SUM(O26:S26)</f>
        <v>0</v>
      </c>
      <c r="N26" s="318">
        <f>IFERROR(M26/L26,0)</f>
        <v>0</v>
      </c>
      <c r="O26" s="320"/>
      <c r="P26" s="320"/>
      <c r="Q26" s="320"/>
      <c r="R26" s="320"/>
      <c r="S26" s="320"/>
      <c r="T26" s="320"/>
      <c r="U26" s="321">
        <f t="shared" si="5"/>
        <v>0</v>
      </c>
      <c r="V26" s="317"/>
      <c r="W26" s="318">
        <f>SUM(Y26:AC26)</f>
        <v>0</v>
      </c>
      <c r="X26" s="318">
        <f>IFERROR(W26/V26,0)</f>
        <v>0</v>
      </c>
      <c r="Y26" s="320"/>
      <c r="Z26" s="320"/>
      <c r="AA26" s="320"/>
      <c r="AB26" s="320"/>
      <c r="AC26" s="320"/>
      <c r="AD26" s="320"/>
      <c r="AE26" s="321">
        <f t="shared" si="8"/>
        <v>0</v>
      </c>
      <c r="AF26" s="317"/>
      <c r="AG26" s="318">
        <f>SUM(AI26:AM26)</f>
        <v>0</v>
      </c>
      <c r="AH26" s="318">
        <f>IFERROR(AG26/AF26,0)</f>
        <v>0</v>
      </c>
      <c r="AI26" s="320"/>
      <c r="AJ26" s="320"/>
      <c r="AK26" s="320"/>
      <c r="AL26" s="320"/>
      <c r="AM26" s="320"/>
      <c r="AN26" s="320"/>
      <c r="AO26" s="321">
        <f t="shared" si="11"/>
        <v>0</v>
      </c>
      <c r="AP26" s="317"/>
      <c r="AQ26" s="318">
        <f>SUM(AS26:AW26)</f>
        <v>0</v>
      </c>
      <c r="AR26" s="318">
        <f>IFERROR(AQ26/AP26,0)</f>
        <v>0</v>
      </c>
      <c r="AS26" s="320"/>
      <c r="AT26" s="320"/>
      <c r="AU26" s="320"/>
      <c r="AV26" s="320"/>
      <c r="AW26" s="320"/>
      <c r="AX26" s="320"/>
      <c r="AY26" s="321">
        <f t="shared" si="14"/>
        <v>0</v>
      </c>
      <c r="AZ26" s="317"/>
      <c r="BA26" s="318">
        <f>SUM(BC26:BG26)</f>
        <v>0</v>
      </c>
      <c r="BB26" s="318">
        <f>IFERROR(BA26/AZ26,0)</f>
        <v>0</v>
      </c>
      <c r="BC26" s="320"/>
      <c r="BD26" s="320"/>
      <c r="BE26" s="320"/>
      <c r="BF26" s="320"/>
      <c r="BG26" s="320"/>
      <c r="BH26" s="320"/>
      <c r="BI26" s="321">
        <f t="shared" si="17"/>
        <v>0</v>
      </c>
      <c r="BJ26" s="323"/>
      <c r="BK26" s="318">
        <f t="shared" si="18"/>
        <v>0</v>
      </c>
      <c r="BL26" s="318">
        <f t="shared" si="19"/>
        <v>0</v>
      </c>
      <c r="BM26" s="320"/>
      <c r="BN26" s="320"/>
      <c r="BO26" s="320"/>
      <c r="BP26" s="320"/>
      <c r="BQ26" s="320"/>
      <c r="BR26" s="320"/>
      <c r="BS26" s="321">
        <f t="shared" si="20"/>
        <v>0</v>
      </c>
      <c r="BT26" s="207"/>
      <c r="BU26" s="318">
        <f t="shared" si="23"/>
        <v>0</v>
      </c>
      <c r="BV26" s="318">
        <f t="shared" si="21"/>
        <v>0</v>
      </c>
      <c r="BW26" s="208"/>
      <c r="BX26" s="208"/>
      <c r="BY26" s="208"/>
      <c r="BZ26" s="208"/>
      <c r="CA26" s="208"/>
      <c r="CB26" s="208"/>
      <c r="CC26" s="367">
        <f t="shared" si="22"/>
        <v>0</v>
      </c>
    </row>
    <row r="27" spans="1:81" s="316" customFormat="1" ht="15.95" customHeight="1">
      <c r="A27" s="214"/>
      <c r="B27" s="317"/>
      <c r="C27" s="318">
        <f t="shared" ref="C27" si="36">SUM(E27:I27)</f>
        <v>0</v>
      </c>
      <c r="D27" s="318">
        <f t="shared" ref="D27" si="37">IFERROR(C27/B27,0)</f>
        <v>0</v>
      </c>
      <c r="E27" s="320"/>
      <c r="F27" s="320"/>
      <c r="G27" s="320"/>
      <c r="H27" s="320"/>
      <c r="I27" s="320"/>
      <c r="J27" s="320"/>
      <c r="K27" s="321">
        <f t="shared" si="2"/>
        <v>0</v>
      </c>
      <c r="L27" s="317"/>
      <c r="M27" s="318">
        <f t="shared" ref="M27" si="38">SUM(O27:S27)</f>
        <v>0</v>
      </c>
      <c r="N27" s="318">
        <f t="shared" ref="N27" si="39">IFERROR(M27/L27,0)</f>
        <v>0</v>
      </c>
      <c r="O27" s="320"/>
      <c r="P27" s="320"/>
      <c r="Q27" s="320"/>
      <c r="R27" s="320"/>
      <c r="S27" s="320"/>
      <c r="T27" s="320"/>
      <c r="U27" s="321">
        <f t="shared" si="5"/>
        <v>0</v>
      </c>
      <c r="V27" s="323"/>
      <c r="W27" s="318">
        <f t="shared" ref="W27" si="40">SUM(Y27:AC27)</f>
        <v>0</v>
      </c>
      <c r="X27" s="318">
        <f t="shared" ref="X27" si="41">IFERROR(W27/V27,0)</f>
        <v>0</v>
      </c>
      <c r="Y27" s="320"/>
      <c r="Z27" s="320"/>
      <c r="AA27" s="320"/>
      <c r="AB27" s="320"/>
      <c r="AC27" s="320"/>
      <c r="AD27" s="320"/>
      <c r="AE27" s="321">
        <f t="shared" si="8"/>
        <v>0</v>
      </c>
      <c r="AF27" s="323"/>
      <c r="AG27" s="318">
        <f t="shared" si="9"/>
        <v>0</v>
      </c>
      <c r="AH27" s="318">
        <f t="shared" si="10"/>
        <v>0</v>
      </c>
      <c r="AI27" s="320"/>
      <c r="AJ27" s="320"/>
      <c r="AK27" s="320"/>
      <c r="AL27" s="320"/>
      <c r="AM27" s="320"/>
      <c r="AN27" s="320"/>
      <c r="AO27" s="321">
        <f t="shared" si="11"/>
        <v>0</v>
      </c>
      <c r="AP27" s="323"/>
      <c r="AQ27" s="318">
        <f t="shared" ref="AQ27" si="42">SUM(AS27:AW27)</f>
        <v>0</v>
      </c>
      <c r="AR27" s="318">
        <f t="shared" ref="AR27" si="43">IFERROR(AQ27/AP27,0)</f>
        <v>0</v>
      </c>
      <c r="AS27" s="320"/>
      <c r="AT27" s="320"/>
      <c r="AU27" s="320"/>
      <c r="AV27" s="320"/>
      <c r="AW27" s="320"/>
      <c r="AX27" s="320"/>
      <c r="AY27" s="321">
        <f t="shared" si="14"/>
        <v>0</v>
      </c>
      <c r="AZ27" s="323"/>
      <c r="BA27" s="318">
        <f t="shared" ref="BA27" si="44">SUM(BC27:BG27)</f>
        <v>0</v>
      </c>
      <c r="BB27" s="318">
        <f t="shared" ref="BB27" si="45">IFERROR(BA27/AZ27,0)</f>
        <v>0</v>
      </c>
      <c r="BC27" s="320"/>
      <c r="BD27" s="320"/>
      <c r="BE27" s="320"/>
      <c r="BF27" s="320"/>
      <c r="BG27" s="320"/>
      <c r="BH27" s="320"/>
      <c r="BI27" s="321">
        <f t="shared" si="17"/>
        <v>0</v>
      </c>
      <c r="BJ27" s="323"/>
      <c r="BK27" s="318">
        <f t="shared" si="18"/>
        <v>0</v>
      </c>
      <c r="BL27" s="318">
        <f t="shared" si="19"/>
        <v>0</v>
      </c>
      <c r="BM27" s="320"/>
      <c r="BN27" s="320"/>
      <c r="BO27" s="320"/>
      <c r="BP27" s="320"/>
      <c r="BQ27" s="320"/>
      <c r="BR27" s="320"/>
      <c r="BS27" s="321">
        <f t="shared" si="20"/>
        <v>0</v>
      </c>
      <c r="BT27" s="207"/>
      <c r="BU27" s="318">
        <f t="shared" si="23"/>
        <v>0</v>
      </c>
      <c r="BV27" s="318">
        <f t="shared" si="21"/>
        <v>0</v>
      </c>
      <c r="BW27" s="208"/>
      <c r="BX27" s="208"/>
      <c r="BY27" s="208"/>
      <c r="BZ27" s="208"/>
      <c r="CA27" s="208"/>
      <c r="CB27" s="208"/>
      <c r="CC27" s="367">
        <f t="shared" si="22"/>
        <v>0</v>
      </c>
    </row>
    <row r="28" spans="1:81" s="316" customFormat="1" ht="15.95" customHeight="1">
      <c r="A28" s="327" t="s">
        <v>153</v>
      </c>
      <c r="B28" s="317"/>
      <c r="C28" s="318"/>
      <c r="D28" s="318"/>
      <c r="E28" s="320"/>
      <c r="F28" s="320"/>
      <c r="G28" s="320"/>
      <c r="H28" s="320"/>
      <c r="I28" s="320"/>
      <c r="J28" s="320"/>
      <c r="K28" s="321"/>
      <c r="L28" s="317"/>
      <c r="M28" s="318"/>
      <c r="N28" s="318"/>
      <c r="O28" s="320"/>
      <c r="P28" s="320"/>
      <c r="Q28" s="320"/>
      <c r="R28" s="320"/>
      <c r="S28" s="320"/>
      <c r="T28" s="320"/>
      <c r="U28" s="321"/>
      <c r="V28" s="317"/>
      <c r="W28" s="318"/>
      <c r="X28" s="318"/>
      <c r="Y28" s="320"/>
      <c r="Z28" s="320"/>
      <c r="AA28" s="320"/>
      <c r="AB28" s="320"/>
      <c r="AC28" s="320"/>
      <c r="AD28" s="320"/>
      <c r="AE28" s="321"/>
      <c r="AF28" s="317"/>
      <c r="AG28" s="318"/>
      <c r="AH28" s="318"/>
      <c r="AI28" s="320"/>
      <c r="AJ28" s="320"/>
      <c r="AK28" s="320"/>
      <c r="AL28" s="320"/>
      <c r="AM28" s="320"/>
      <c r="AN28" s="320"/>
      <c r="AO28" s="321"/>
      <c r="AP28" s="317"/>
      <c r="AQ28" s="318"/>
      <c r="AR28" s="318"/>
      <c r="AS28" s="320"/>
      <c r="AT28" s="320"/>
      <c r="AU28" s="320"/>
      <c r="AV28" s="320"/>
      <c r="AW28" s="320"/>
      <c r="AX28" s="320"/>
      <c r="AY28" s="321"/>
      <c r="AZ28" s="317"/>
      <c r="BA28" s="318"/>
      <c r="BB28" s="318"/>
      <c r="BC28" s="320"/>
      <c r="BD28" s="320"/>
      <c r="BE28" s="320"/>
      <c r="BF28" s="320"/>
      <c r="BG28" s="320"/>
      <c r="BH28" s="320"/>
      <c r="BI28" s="321"/>
      <c r="BJ28" s="317"/>
      <c r="BK28" s="318"/>
      <c r="BL28" s="318"/>
      <c r="BM28" s="320"/>
      <c r="BN28" s="320"/>
      <c r="BO28" s="320"/>
      <c r="BP28" s="320"/>
      <c r="BQ28" s="320"/>
      <c r="BR28" s="320"/>
      <c r="BS28" s="321"/>
      <c r="BT28" s="317"/>
      <c r="BU28" s="318"/>
      <c r="BV28" s="318"/>
      <c r="BW28" s="320"/>
      <c r="BX28" s="320"/>
      <c r="BY28" s="320"/>
      <c r="BZ28" s="320"/>
      <c r="CA28" s="320"/>
      <c r="CB28" s="320"/>
      <c r="CC28" s="321"/>
    </row>
    <row r="29" spans="1:81" s="316" customFormat="1" ht="15.95" customHeight="1">
      <c r="A29" s="328" t="s">
        <v>154</v>
      </c>
      <c r="B29" s="329">
        <f>SUM(B$10:B28)</f>
        <v>3408</v>
      </c>
      <c r="C29" s="318">
        <f>SUM(C$10:C28)</f>
        <v>8726412.1099999994</v>
      </c>
      <c r="D29" s="318">
        <f>IFERROR(C29/B29,0)</f>
        <v>2560.5669336854457</v>
      </c>
      <c r="E29" s="330">
        <f>SUM(E$10:E28)</f>
        <v>0</v>
      </c>
      <c r="F29" s="330">
        <f>SUM(F$10:F28)</f>
        <v>28841</v>
      </c>
      <c r="G29" s="330">
        <f>SUM(G$10:G28)</f>
        <v>415104</v>
      </c>
      <c r="H29" s="330">
        <f>SUM(H$10:H28)</f>
        <v>8055285.6100000003</v>
      </c>
      <c r="I29" s="330">
        <f>SUM(I$10:I28)</f>
        <v>227181.5</v>
      </c>
      <c r="J29" s="330">
        <f>SUM(J$10:J28)</f>
        <v>7985517.6100000003</v>
      </c>
      <c r="K29" s="321">
        <f>SUM(K$10:K28)</f>
        <v>0</v>
      </c>
      <c r="L29" s="329">
        <f>SUM(L$10:L28)</f>
        <v>3195</v>
      </c>
      <c r="M29" s="318">
        <f>SUM(M$10:M28)</f>
        <v>8119010.75</v>
      </c>
      <c r="N29" s="318">
        <f>IFERROR(M29/L29,0)</f>
        <v>2541.1614241001566</v>
      </c>
      <c r="O29" s="330">
        <f>SUM(O$10:O28)</f>
        <v>0</v>
      </c>
      <c r="P29" s="330">
        <f>SUM(P$10:P28)</f>
        <v>53517</v>
      </c>
      <c r="Q29" s="330">
        <f>SUM(Q$10:Q28)</f>
        <v>406664</v>
      </c>
      <c r="R29" s="330">
        <f>SUM(R$10:R28)</f>
        <v>7473785.5</v>
      </c>
      <c r="S29" s="330">
        <f>SUM(S$10:S28)</f>
        <v>185044.25</v>
      </c>
      <c r="T29" s="330">
        <f>SUM(T$10:T28)</f>
        <v>7482458.75</v>
      </c>
      <c r="U29" s="321">
        <f>SUM(U$10:U28)</f>
        <v>0</v>
      </c>
      <c r="V29" s="329">
        <f>SUM(V$10:V28)</f>
        <v>3399</v>
      </c>
      <c r="W29" s="318">
        <f>SUM(W$10:W28)</f>
        <v>8232151</v>
      </c>
      <c r="X29" s="318">
        <f>IFERROR(W29/V29,0)</f>
        <v>2421.9332156516621</v>
      </c>
      <c r="Y29" s="330">
        <f>SUM(Y$10:Y28)</f>
        <v>0</v>
      </c>
      <c r="Z29" s="330">
        <f>SUM(Z$10:Z28)</f>
        <v>12992</v>
      </c>
      <c r="AA29" s="330">
        <f>SUM(AA$10:AA28)</f>
        <v>505384</v>
      </c>
      <c r="AB29" s="330">
        <f>SUM(AB$10:AB28)</f>
        <v>7488781</v>
      </c>
      <c r="AC29" s="330">
        <f>SUM(AC$10:AC28)</f>
        <v>224994</v>
      </c>
      <c r="AD29" s="330">
        <f>SUM(AD$10:AD28)</f>
        <v>7531991</v>
      </c>
      <c r="AE29" s="321">
        <f>SUM(AE$10:AE28)</f>
        <v>0</v>
      </c>
      <c r="AF29" s="329">
        <f>SUM(AF$10:AF28)</f>
        <v>3244</v>
      </c>
      <c r="AG29" s="318">
        <f>SUM(AG$10:AG28)</f>
        <v>8235860.2199999997</v>
      </c>
      <c r="AH29" s="318">
        <f>IFERROR(AG29/AF29,0)</f>
        <v>2538.7978483353882</v>
      </c>
      <c r="AI29" s="330">
        <f>SUM(AI$10:AI28)</f>
        <v>0</v>
      </c>
      <c r="AJ29" s="330">
        <f>SUM(AJ$10:AJ28)</f>
        <v>20000</v>
      </c>
      <c r="AK29" s="330">
        <f>SUM(AK$10:AK28)</f>
        <v>512785.8</v>
      </c>
      <c r="AL29" s="330">
        <f>SUM(AL$10:AL28)</f>
        <v>7442395</v>
      </c>
      <c r="AM29" s="330">
        <f>SUM(AM$10:AM28)</f>
        <v>260679.42</v>
      </c>
      <c r="AN29" s="330">
        <f>SUM(AN$10:AN28)</f>
        <v>7609932.6200000001</v>
      </c>
      <c r="AO29" s="321">
        <f>SUM(AO$10:AO28)</f>
        <v>0</v>
      </c>
      <c r="AP29" s="329">
        <f>SUM(AP$10:AP28)</f>
        <v>3278</v>
      </c>
      <c r="AQ29" s="318">
        <f>SUM(AQ$10:AQ28)</f>
        <v>8072771.2800000003</v>
      </c>
      <c r="AR29" s="318">
        <f>IFERROR(AQ29/AP29,0)</f>
        <v>2462.7124100061014</v>
      </c>
      <c r="AS29" s="330">
        <f>SUM(AS$10:AS28)</f>
        <v>0</v>
      </c>
      <c r="AT29" s="330">
        <f>SUM(AT$10:AT28)</f>
        <v>18432.580000000002</v>
      </c>
      <c r="AU29" s="330">
        <f>SUM(AU$10:AU28)</f>
        <v>577779.69999999995</v>
      </c>
      <c r="AV29" s="330">
        <f>SUM(AV$10:AV28)</f>
        <v>7216393</v>
      </c>
      <c r="AW29" s="330">
        <f>SUM(AW$10:AW28)</f>
        <v>260166</v>
      </c>
      <c r="AX29" s="330">
        <f>SUM(AX$10:AX28)</f>
        <v>7461792.2800000003</v>
      </c>
      <c r="AY29" s="321">
        <f>SUM(AY$10:AY28)</f>
        <v>0</v>
      </c>
      <c r="AZ29" s="329">
        <f>SUM(AZ$10:AZ28)</f>
        <v>3064</v>
      </c>
      <c r="BA29" s="318">
        <f>SUM(BA$10:BA28)</f>
        <v>7017045.1299999999</v>
      </c>
      <c r="BB29" s="318">
        <f>IFERROR(BA29/AZ29,0)</f>
        <v>2290.1583322454308</v>
      </c>
      <c r="BC29" s="330">
        <f>SUM(BC$10:BC28)</f>
        <v>0</v>
      </c>
      <c r="BD29" s="330">
        <f>SUM(BD$10:BD28)</f>
        <v>20000</v>
      </c>
      <c r="BE29" s="330">
        <f>SUM(BE$10:BE28)</f>
        <v>653142.26</v>
      </c>
      <c r="BF29" s="330">
        <f>SUM(BF$10:BF28)</f>
        <v>6027903</v>
      </c>
      <c r="BG29" s="330">
        <f>SUM(BG$10:BG28)</f>
        <v>315999.87</v>
      </c>
      <c r="BH29" s="330">
        <f>SUM(BH$10:BH28)</f>
        <v>6449506.1299999999</v>
      </c>
      <c r="BI29" s="321">
        <f>SUM(BI$10:BI28)</f>
        <v>0</v>
      </c>
      <c r="BJ29" s="329">
        <f>SUM(BJ$10:BJ28)</f>
        <v>2697</v>
      </c>
      <c r="BK29" s="318">
        <f>SUM(BK$10:BK28)</f>
        <v>7000656.4000000004</v>
      </c>
      <c r="BL29" s="318">
        <f>IFERROR(BK29/BJ29,0)</f>
        <v>2595.7198368557656</v>
      </c>
      <c r="BM29" s="330">
        <f>SUM(BM$10:BM28)</f>
        <v>0</v>
      </c>
      <c r="BN29" s="330">
        <f>SUM(BN$10:BN28)</f>
        <v>40240</v>
      </c>
      <c r="BO29" s="330">
        <f>SUM(BO$10:BO28)</f>
        <v>582389.18999999994</v>
      </c>
      <c r="BP29" s="330">
        <f>SUM(BP$10:BP28)</f>
        <v>6037141</v>
      </c>
      <c r="BQ29" s="330">
        <f>SUM(BQ$10:BQ28)</f>
        <v>340886.21</v>
      </c>
      <c r="BR29" s="330">
        <f>SUM(BR$10:BR28)</f>
        <v>6582576.2800000003</v>
      </c>
      <c r="BS29" s="321">
        <f>SUM(BS$10:BS28)</f>
        <v>0</v>
      </c>
      <c r="BT29" s="329">
        <f>SUM(BT$10:BT28)</f>
        <v>2676</v>
      </c>
      <c r="BU29" s="318">
        <f>SUM(BU$10:BU28)</f>
        <v>7253131.9000000004</v>
      </c>
      <c r="BV29" s="318">
        <f>IFERROR(BU29/BT29,0)</f>
        <v>2710.4379297458895</v>
      </c>
      <c r="BW29" s="330">
        <f>SUM(BW$10:BW28)</f>
        <v>0</v>
      </c>
      <c r="BX29" s="330">
        <f>SUM(BX$10:BX28)</f>
        <v>39554</v>
      </c>
      <c r="BY29" s="330">
        <f>SUM(BY$10:BY28)</f>
        <v>585886.9</v>
      </c>
      <c r="BZ29" s="330">
        <f>SUM(BZ$10:BZ28)</f>
        <v>6240578</v>
      </c>
      <c r="CA29" s="330">
        <f>SUM(CA$10:CA28)</f>
        <v>387112.78</v>
      </c>
      <c r="CB29" s="330">
        <f>SUM(CB$10:CB28)</f>
        <v>6798629.75</v>
      </c>
      <c r="CC29" s="321">
        <f>SUM(CC$10:CC28)</f>
        <v>0</v>
      </c>
    </row>
    <row r="30" spans="1:81" s="316" customFormat="1" ht="15.95" customHeight="1">
      <c r="A30" s="322"/>
      <c r="B30" s="317"/>
      <c r="C30" s="318"/>
      <c r="D30" s="318"/>
      <c r="E30" s="320"/>
      <c r="F30" s="320"/>
      <c r="G30" s="320"/>
      <c r="H30" s="320"/>
      <c r="I30" s="320"/>
      <c r="J30" s="320"/>
      <c r="K30" s="321"/>
      <c r="L30" s="317"/>
      <c r="M30" s="318"/>
      <c r="N30" s="318"/>
      <c r="O30" s="320"/>
      <c r="P30" s="320"/>
      <c r="Q30" s="320"/>
      <c r="R30" s="320"/>
      <c r="S30" s="320"/>
      <c r="T30" s="320"/>
      <c r="U30" s="321"/>
      <c r="V30" s="317"/>
      <c r="W30" s="318"/>
      <c r="X30" s="318"/>
      <c r="Y30" s="320"/>
      <c r="Z30" s="320"/>
      <c r="AA30" s="320"/>
      <c r="AB30" s="320"/>
      <c r="AC30" s="320"/>
      <c r="AD30" s="320"/>
      <c r="AE30" s="321"/>
      <c r="AF30" s="317"/>
      <c r="AG30" s="318"/>
      <c r="AH30" s="318"/>
      <c r="AI30" s="320"/>
      <c r="AJ30" s="320"/>
      <c r="AK30" s="320"/>
      <c r="AL30" s="320"/>
      <c r="AM30" s="320"/>
      <c r="AN30" s="320"/>
      <c r="AO30" s="321"/>
      <c r="AP30" s="317"/>
      <c r="AQ30" s="318"/>
      <c r="AR30" s="318"/>
      <c r="AS30" s="320"/>
      <c r="AT30" s="320"/>
      <c r="AU30" s="320"/>
      <c r="AV30" s="320"/>
      <c r="AW30" s="320"/>
      <c r="AX30" s="320"/>
      <c r="AY30" s="321"/>
      <c r="AZ30" s="317"/>
      <c r="BA30" s="318"/>
      <c r="BB30" s="318"/>
      <c r="BC30" s="320"/>
      <c r="BD30" s="320"/>
      <c r="BE30" s="320"/>
      <c r="BF30" s="320"/>
      <c r="BG30" s="320"/>
      <c r="BH30" s="320"/>
      <c r="BI30" s="321"/>
      <c r="BJ30" s="317"/>
      <c r="BK30" s="318"/>
      <c r="BL30" s="318"/>
      <c r="BM30" s="320"/>
      <c r="BN30" s="320"/>
      <c r="BO30" s="320"/>
      <c r="BP30" s="320"/>
      <c r="BQ30" s="320"/>
      <c r="BR30" s="320"/>
      <c r="BS30" s="321"/>
      <c r="BT30" s="317"/>
      <c r="BU30" s="318"/>
      <c r="BV30" s="318"/>
      <c r="BW30" s="320"/>
      <c r="BX30" s="320"/>
      <c r="BY30" s="320"/>
      <c r="BZ30" s="320"/>
      <c r="CA30" s="320"/>
      <c r="CB30" s="320"/>
      <c r="CC30" s="321"/>
    </row>
    <row r="31" spans="1:81" s="316" customFormat="1" ht="15.95" customHeight="1">
      <c r="A31" s="324" t="s">
        <v>155</v>
      </c>
      <c r="B31" s="317"/>
      <c r="C31" s="318"/>
      <c r="D31" s="318"/>
      <c r="E31" s="320"/>
      <c r="F31" s="320"/>
      <c r="G31" s="320"/>
      <c r="H31" s="320"/>
      <c r="I31" s="320"/>
      <c r="J31" s="320"/>
      <c r="K31" s="321"/>
      <c r="L31" s="317"/>
      <c r="M31" s="318"/>
      <c r="N31" s="318"/>
      <c r="O31" s="320"/>
      <c r="P31" s="320"/>
      <c r="Q31" s="320"/>
      <c r="R31" s="320"/>
      <c r="S31" s="320"/>
      <c r="T31" s="320"/>
      <c r="U31" s="321"/>
      <c r="V31" s="317"/>
      <c r="W31" s="318"/>
      <c r="X31" s="318"/>
      <c r="Y31" s="320"/>
      <c r="Z31" s="320"/>
      <c r="AA31" s="320"/>
      <c r="AB31" s="320"/>
      <c r="AC31" s="320"/>
      <c r="AD31" s="320"/>
      <c r="AE31" s="321"/>
      <c r="AF31" s="317"/>
      <c r="AG31" s="318"/>
      <c r="AH31" s="318"/>
      <c r="AI31" s="320"/>
      <c r="AJ31" s="320"/>
      <c r="AK31" s="320"/>
      <c r="AL31" s="320"/>
      <c r="AM31" s="320"/>
      <c r="AN31" s="320"/>
      <c r="AO31" s="321"/>
      <c r="AP31" s="317"/>
      <c r="AQ31" s="318"/>
      <c r="AR31" s="318"/>
      <c r="AS31" s="320"/>
      <c r="AT31" s="320"/>
      <c r="AU31" s="320"/>
      <c r="AV31" s="320"/>
      <c r="AW31" s="320"/>
      <c r="AX31" s="320"/>
      <c r="AY31" s="321"/>
      <c r="AZ31" s="317"/>
      <c r="BA31" s="318"/>
      <c r="BB31" s="318"/>
      <c r="BC31" s="320"/>
      <c r="BD31" s="320"/>
      <c r="BE31" s="320"/>
      <c r="BF31" s="320"/>
      <c r="BG31" s="320"/>
      <c r="BH31" s="320"/>
      <c r="BI31" s="321"/>
      <c r="BJ31" s="317"/>
      <c r="BK31" s="318"/>
      <c r="BL31" s="318"/>
      <c r="BM31" s="320"/>
      <c r="BN31" s="320"/>
      <c r="BO31" s="320"/>
      <c r="BP31" s="320"/>
      <c r="BQ31" s="320"/>
      <c r="BR31" s="320"/>
      <c r="BS31" s="321"/>
      <c r="BT31" s="317"/>
      <c r="BU31" s="318"/>
      <c r="BV31" s="318"/>
      <c r="BW31" s="320"/>
      <c r="BX31" s="320"/>
      <c r="BY31" s="320"/>
      <c r="BZ31" s="320"/>
      <c r="CA31" s="320"/>
      <c r="CB31" s="320"/>
      <c r="CC31" s="321"/>
    </row>
    <row r="32" spans="1:81" s="316" customFormat="1" ht="15.95" customHeight="1">
      <c r="A32" s="325" t="s">
        <v>156</v>
      </c>
      <c r="B32" s="317">
        <v>36</v>
      </c>
      <c r="C32" s="318">
        <f>SUM(E32:I32)</f>
        <v>88515.5</v>
      </c>
      <c r="D32" s="318">
        <f>IFERROR(C32/B32,0)</f>
        <v>2458.7638888888887</v>
      </c>
      <c r="E32" s="320">
        <v>88515.5</v>
      </c>
      <c r="F32" s="320"/>
      <c r="G32" s="320"/>
      <c r="H32" s="320"/>
      <c r="I32" s="320"/>
      <c r="J32" s="320">
        <v>88515.5</v>
      </c>
      <c r="K32" s="321">
        <f t="shared" ref="K32:K42" si="46">IF(J32=0,0,(IF(E32&lt;=J32,E32,J32)))</f>
        <v>88515.5</v>
      </c>
      <c r="L32" s="317">
        <v>36</v>
      </c>
      <c r="M32" s="318">
        <f>SUM(O32:S32)</f>
        <v>98914</v>
      </c>
      <c r="N32" s="318">
        <f>IFERROR(M32/L32,0)</f>
        <v>2747.6111111111113</v>
      </c>
      <c r="O32" s="320">
        <v>98914</v>
      </c>
      <c r="P32" s="320"/>
      <c r="Q32" s="320"/>
      <c r="R32" s="320"/>
      <c r="S32" s="320"/>
      <c r="T32" s="320">
        <v>98914</v>
      </c>
      <c r="U32" s="321">
        <f t="shared" ref="U32:U42" si="47">IF(T32=0,0,(IF(O32&lt;=T32,O32,T32)))</f>
        <v>98914</v>
      </c>
      <c r="V32" s="317">
        <v>37</v>
      </c>
      <c r="W32" s="318">
        <f>SUM(Y32:AC32)</f>
        <v>93111</v>
      </c>
      <c r="X32" s="318">
        <f>IFERROR(W32/V32,0)</f>
        <v>2516.5135135135133</v>
      </c>
      <c r="Y32" s="320">
        <v>93111</v>
      </c>
      <c r="Z32" s="320"/>
      <c r="AA32" s="320"/>
      <c r="AB32" s="320"/>
      <c r="AC32" s="320"/>
      <c r="AD32" s="320">
        <v>93111</v>
      </c>
      <c r="AE32" s="321">
        <f t="shared" ref="AE32:AE42" si="48">IF(AD32=0,0,(IF(Y32&lt;=AD32,Y32,AD32)))</f>
        <v>93111</v>
      </c>
      <c r="AF32" s="317">
        <v>27</v>
      </c>
      <c r="AG32" s="318">
        <f>SUM(AI32:AM32)</f>
        <v>70881</v>
      </c>
      <c r="AH32" s="318">
        <f>IFERROR(AG32/AF32,0)</f>
        <v>2625.2222222222222</v>
      </c>
      <c r="AI32" s="320">
        <v>70881</v>
      </c>
      <c r="AJ32" s="320"/>
      <c r="AK32" s="320"/>
      <c r="AL32" s="320"/>
      <c r="AM32" s="320"/>
      <c r="AN32" s="320">
        <v>70881</v>
      </c>
      <c r="AO32" s="321">
        <f t="shared" ref="AO32:AO42" si="49">IF(AN32=0,0,(IF(AI32&lt;=AN32,AI32,AN32)))</f>
        <v>70881</v>
      </c>
      <c r="AP32" s="317">
        <v>21</v>
      </c>
      <c r="AQ32" s="318">
        <f>SUM(AS32:AW32)</f>
        <v>53297.5</v>
      </c>
      <c r="AR32" s="318">
        <f>IFERROR(AQ32/AP32,0)</f>
        <v>2537.9761904761904</v>
      </c>
      <c r="AS32" s="320">
        <v>53297.5</v>
      </c>
      <c r="AT32" s="320"/>
      <c r="AU32" s="320"/>
      <c r="AV32" s="320"/>
      <c r="AW32" s="320"/>
      <c r="AX32" s="320">
        <v>53297.5</v>
      </c>
      <c r="AY32" s="321">
        <f t="shared" ref="AY32:AY42" si="50">IF(AX32=0,0,(IF(AS32&lt;=AX32,AS32,AX32)))</f>
        <v>53297.5</v>
      </c>
      <c r="AZ32" s="317">
        <v>17</v>
      </c>
      <c r="BA32" s="318">
        <f>SUM(BC32:BG32)</f>
        <v>50977.5</v>
      </c>
      <c r="BB32" s="318">
        <f>IFERROR(BA32/AZ32,0)</f>
        <v>2998.6764705882351</v>
      </c>
      <c r="BC32" s="320">
        <v>50977.5</v>
      </c>
      <c r="BD32" s="320"/>
      <c r="BE32" s="320"/>
      <c r="BF32" s="320"/>
      <c r="BG32" s="320"/>
      <c r="BH32" s="320">
        <v>50997.5</v>
      </c>
      <c r="BI32" s="321">
        <f t="shared" ref="BI32:BI42" si="51">IF(BH32=0,0,(IF(BC32&lt;=BH32,BC32,BH32)))</f>
        <v>50977.5</v>
      </c>
      <c r="BJ32" s="323">
        <v>17</v>
      </c>
      <c r="BK32" s="318">
        <f t="shared" ref="BK32:BK42" si="52">SUM(BM32:BQ32)</f>
        <v>47543.5</v>
      </c>
      <c r="BL32" s="318">
        <f t="shared" ref="BL32:BL42" si="53">IFERROR(BK32/BJ32,0)</f>
        <v>2796.6764705882351</v>
      </c>
      <c r="BM32" s="320">
        <v>47543.5</v>
      </c>
      <c r="BN32" s="320"/>
      <c r="BO32" s="320"/>
      <c r="BP32" s="320"/>
      <c r="BQ32" s="320"/>
      <c r="BR32" s="320">
        <v>47543.5</v>
      </c>
      <c r="BS32" s="321">
        <f t="shared" ref="BS32:BS42" si="54">IF(BR32=0,0,(IF(BM32&lt;=BR32,BM32,BR32)))</f>
        <v>47543.5</v>
      </c>
      <c r="BT32" s="207">
        <v>20</v>
      </c>
      <c r="BU32" s="318">
        <v>49732</v>
      </c>
      <c r="BV32" s="318">
        <f t="shared" ref="BV32:BV42" si="55">IFERROR(BU32/BT32,0)</f>
        <v>2486.6</v>
      </c>
      <c r="BW32" s="208">
        <v>49732</v>
      </c>
      <c r="BX32" s="208"/>
      <c r="BY32" s="208"/>
      <c r="BZ32" s="208"/>
      <c r="CA32" s="208"/>
      <c r="CB32" s="208">
        <v>49732</v>
      </c>
      <c r="CC32" s="367">
        <f t="shared" ref="CC32:CC42" si="56">IF(CB32=0,0,(IF(BW32&lt;=CB32,BW32,CB32)))</f>
        <v>49732</v>
      </c>
    </row>
    <row r="33" spans="1:81" s="316" customFormat="1" ht="15.95" customHeight="1">
      <c r="A33" s="325" t="s">
        <v>157</v>
      </c>
      <c r="B33" s="317">
        <v>65</v>
      </c>
      <c r="C33" s="318">
        <f>SUM(E33:I33)</f>
        <v>27750</v>
      </c>
      <c r="D33" s="318">
        <f>IFERROR(C33/B33,0)</f>
        <v>426.92307692307691</v>
      </c>
      <c r="E33" s="320">
        <v>27750</v>
      </c>
      <c r="F33" s="320"/>
      <c r="G33" s="320"/>
      <c r="H33" s="320"/>
      <c r="I33" s="320"/>
      <c r="J33" s="320">
        <v>27750</v>
      </c>
      <c r="K33" s="321">
        <f t="shared" si="46"/>
        <v>27750</v>
      </c>
      <c r="L33" s="317">
        <v>64</v>
      </c>
      <c r="M33" s="318">
        <f>SUM(O33:S33)</f>
        <v>26250</v>
      </c>
      <c r="N33" s="318">
        <f>IFERROR(M33/L33,0)</f>
        <v>410.15625</v>
      </c>
      <c r="O33" s="320">
        <v>26250</v>
      </c>
      <c r="P33" s="320"/>
      <c r="Q33" s="320"/>
      <c r="R33" s="320"/>
      <c r="S33" s="320"/>
      <c r="T33" s="320">
        <v>26250</v>
      </c>
      <c r="U33" s="321">
        <f t="shared" si="47"/>
        <v>26250</v>
      </c>
      <c r="V33" s="317">
        <v>54</v>
      </c>
      <c r="W33" s="318">
        <f>SUM(Y33:AC33)</f>
        <v>25500</v>
      </c>
      <c r="X33" s="318">
        <f>IFERROR(W33/V33,0)</f>
        <v>472.22222222222223</v>
      </c>
      <c r="Y33" s="320">
        <v>25500</v>
      </c>
      <c r="Z33" s="320"/>
      <c r="AA33" s="320"/>
      <c r="AB33" s="320"/>
      <c r="AC33" s="320"/>
      <c r="AD33" s="320">
        <v>25500</v>
      </c>
      <c r="AE33" s="321">
        <f t="shared" si="48"/>
        <v>25500</v>
      </c>
      <c r="AF33" s="317">
        <v>62</v>
      </c>
      <c r="AG33" s="318">
        <f>SUM(AI33:AM33)</f>
        <v>29000</v>
      </c>
      <c r="AH33" s="318">
        <f>IFERROR(AG33/AF33,0)</f>
        <v>467.74193548387098</v>
      </c>
      <c r="AI33" s="320">
        <v>29000</v>
      </c>
      <c r="AJ33" s="320"/>
      <c r="AK33" s="320"/>
      <c r="AL33" s="320"/>
      <c r="AM33" s="320"/>
      <c r="AN33" s="320">
        <v>29000</v>
      </c>
      <c r="AO33" s="321">
        <f t="shared" si="49"/>
        <v>29000</v>
      </c>
      <c r="AP33" s="317">
        <v>61</v>
      </c>
      <c r="AQ33" s="318">
        <f>SUM(AS33:AW33)</f>
        <v>28500</v>
      </c>
      <c r="AR33" s="318">
        <f>IFERROR(AQ33/AP33,0)</f>
        <v>467.21311475409834</v>
      </c>
      <c r="AS33" s="320">
        <v>28500</v>
      </c>
      <c r="AT33" s="320"/>
      <c r="AU33" s="320"/>
      <c r="AV33" s="320"/>
      <c r="AW33" s="320"/>
      <c r="AX33" s="320">
        <v>28500</v>
      </c>
      <c r="AY33" s="321">
        <f t="shared" si="50"/>
        <v>28500</v>
      </c>
      <c r="AZ33" s="317">
        <v>55</v>
      </c>
      <c r="BA33" s="318">
        <f>SUM(BC33:BG33)</f>
        <v>27500</v>
      </c>
      <c r="BB33" s="318">
        <f>IFERROR(BA33/AZ33,0)</f>
        <v>500</v>
      </c>
      <c r="BC33" s="320">
        <v>27500</v>
      </c>
      <c r="BD33" s="320"/>
      <c r="BE33" s="320"/>
      <c r="BF33" s="320"/>
      <c r="BG33" s="320"/>
      <c r="BH33" s="320">
        <v>27500</v>
      </c>
      <c r="BI33" s="321">
        <f t="shared" si="51"/>
        <v>27500</v>
      </c>
      <c r="BJ33" s="323">
        <v>52</v>
      </c>
      <c r="BK33" s="318">
        <f t="shared" si="52"/>
        <v>25000</v>
      </c>
      <c r="BL33" s="318">
        <f t="shared" si="53"/>
        <v>480.76923076923077</v>
      </c>
      <c r="BM33" s="320">
        <v>25000</v>
      </c>
      <c r="BN33" s="320"/>
      <c r="BO33" s="320"/>
      <c r="BP33" s="320"/>
      <c r="BQ33" s="320"/>
      <c r="BR33" s="320">
        <v>25000</v>
      </c>
      <c r="BS33" s="321">
        <f t="shared" si="54"/>
        <v>25000</v>
      </c>
      <c r="BT33" s="207">
        <v>33</v>
      </c>
      <c r="BU33" s="318">
        <v>16250</v>
      </c>
      <c r="BV33" s="318">
        <f t="shared" si="55"/>
        <v>492.42424242424244</v>
      </c>
      <c r="BW33" s="208">
        <v>16250</v>
      </c>
      <c r="BX33" s="208"/>
      <c r="BY33" s="208"/>
      <c r="BZ33" s="208"/>
      <c r="CA33" s="208"/>
      <c r="CB33" s="208">
        <v>16250</v>
      </c>
      <c r="CC33" s="367">
        <f t="shared" si="56"/>
        <v>16250</v>
      </c>
    </row>
    <row r="34" spans="1:81" s="316" customFormat="1" ht="15.95" customHeight="1">
      <c r="A34" s="325" t="s">
        <v>158</v>
      </c>
      <c r="B34" s="317">
        <v>0</v>
      </c>
      <c r="C34" s="318">
        <f>SUM(E34:I34)</f>
        <v>0</v>
      </c>
      <c r="D34" s="318">
        <f>IFERROR(C34/B34,0)</f>
        <v>0</v>
      </c>
      <c r="E34" s="320">
        <v>0</v>
      </c>
      <c r="F34" s="320"/>
      <c r="G34" s="320"/>
      <c r="H34" s="320"/>
      <c r="I34" s="320"/>
      <c r="J34" s="320">
        <v>0</v>
      </c>
      <c r="K34" s="321">
        <f t="shared" si="46"/>
        <v>0</v>
      </c>
      <c r="L34" s="317">
        <v>0</v>
      </c>
      <c r="M34" s="318">
        <f>SUM(O34:S34)</f>
        <v>0</v>
      </c>
      <c r="N34" s="318">
        <f>IFERROR(M34/L34,0)</f>
        <v>0</v>
      </c>
      <c r="O34" s="320">
        <v>0</v>
      </c>
      <c r="P34" s="320"/>
      <c r="Q34" s="320"/>
      <c r="R34" s="320"/>
      <c r="S34" s="320"/>
      <c r="T34" s="320">
        <v>0</v>
      </c>
      <c r="U34" s="321">
        <f t="shared" si="47"/>
        <v>0</v>
      </c>
      <c r="V34" s="317">
        <v>0</v>
      </c>
      <c r="W34" s="318">
        <f>SUM(Y34:AC34)</f>
        <v>0</v>
      </c>
      <c r="X34" s="318">
        <f>IFERROR(W34/V34,0)</f>
        <v>0</v>
      </c>
      <c r="Y34" s="320"/>
      <c r="Z34" s="320"/>
      <c r="AA34" s="320"/>
      <c r="AB34" s="320"/>
      <c r="AC34" s="320"/>
      <c r="AD34" s="320">
        <v>0</v>
      </c>
      <c r="AE34" s="321">
        <f t="shared" si="48"/>
        <v>0</v>
      </c>
      <c r="AF34" s="317">
        <v>0</v>
      </c>
      <c r="AG34" s="318">
        <f>SUM(AI34:AM34)</f>
        <v>0</v>
      </c>
      <c r="AH34" s="318">
        <f>IFERROR(AG34/AF34,0)</f>
        <v>0</v>
      </c>
      <c r="AI34" s="320">
        <v>0</v>
      </c>
      <c r="AJ34" s="320"/>
      <c r="AK34" s="320"/>
      <c r="AL34" s="320"/>
      <c r="AM34" s="320"/>
      <c r="AN34" s="320">
        <v>0</v>
      </c>
      <c r="AO34" s="321">
        <f t="shared" si="49"/>
        <v>0</v>
      </c>
      <c r="AP34" s="317">
        <v>0</v>
      </c>
      <c r="AQ34" s="318">
        <f>SUM(AS34:AW34)</f>
        <v>0</v>
      </c>
      <c r="AR34" s="318">
        <f>IFERROR(AQ34/AP34,0)</f>
        <v>0</v>
      </c>
      <c r="AS34" s="320">
        <v>0</v>
      </c>
      <c r="AT34" s="320"/>
      <c r="AU34" s="320"/>
      <c r="AV34" s="320"/>
      <c r="AW34" s="320"/>
      <c r="AX34" s="320">
        <v>0</v>
      </c>
      <c r="AY34" s="321">
        <f t="shared" si="50"/>
        <v>0</v>
      </c>
      <c r="AZ34" s="317">
        <v>0</v>
      </c>
      <c r="BA34" s="318">
        <f>SUM(BC34:BG34)</f>
        <v>0</v>
      </c>
      <c r="BB34" s="318">
        <f>IFERROR(BA34/AZ34,0)</f>
        <v>0</v>
      </c>
      <c r="BC34" s="320">
        <v>0</v>
      </c>
      <c r="BD34" s="320"/>
      <c r="BE34" s="320"/>
      <c r="BF34" s="320"/>
      <c r="BG34" s="320"/>
      <c r="BH34" s="320">
        <v>0</v>
      </c>
      <c r="BI34" s="321">
        <f t="shared" si="51"/>
        <v>0</v>
      </c>
      <c r="BJ34" s="323">
        <v>0</v>
      </c>
      <c r="BK34" s="318">
        <f t="shared" si="52"/>
        <v>0</v>
      </c>
      <c r="BL34" s="318">
        <f t="shared" si="53"/>
        <v>0</v>
      </c>
      <c r="BM34" s="320">
        <v>0</v>
      </c>
      <c r="BN34" s="320"/>
      <c r="BO34" s="320"/>
      <c r="BP34" s="320"/>
      <c r="BQ34" s="320"/>
      <c r="BR34" s="320">
        <v>0</v>
      </c>
      <c r="BS34" s="321">
        <f t="shared" si="54"/>
        <v>0</v>
      </c>
      <c r="BT34" s="207">
        <v>0</v>
      </c>
      <c r="BU34" s="318">
        <f t="shared" ref="BU34:BU42" si="57">SUM(BW34:CA34)</f>
        <v>0</v>
      </c>
      <c r="BV34" s="318">
        <f t="shared" si="55"/>
        <v>0</v>
      </c>
      <c r="BW34" s="208">
        <v>0</v>
      </c>
      <c r="BX34" s="208"/>
      <c r="BY34" s="208"/>
      <c r="BZ34" s="208"/>
      <c r="CA34" s="208"/>
      <c r="CB34" s="208">
        <v>0</v>
      </c>
      <c r="CC34" s="367">
        <f t="shared" si="56"/>
        <v>0</v>
      </c>
    </row>
    <row r="35" spans="1:81" s="316" customFormat="1" ht="15.95" customHeight="1">
      <c r="A35" s="325" t="s">
        <v>159</v>
      </c>
      <c r="B35" s="317">
        <v>18</v>
      </c>
      <c r="C35" s="318">
        <f t="shared" ref="C35:C40" si="58">SUM(E35:I35)</f>
        <v>13287</v>
      </c>
      <c r="D35" s="318">
        <f t="shared" ref="D35:D40" si="59">IFERROR(C35/B35,0)</f>
        <v>738.16666666666663</v>
      </c>
      <c r="E35" s="320"/>
      <c r="F35" s="320"/>
      <c r="G35" s="320"/>
      <c r="H35" s="320"/>
      <c r="I35" s="320">
        <v>13287</v>
      </c>
      <c r="J35" s="320">
        <v>11037</v>
      </c>
      <c r="K35" s="321">
        <f t="shared" si="46"/>
        <v>0</v>
      </c>
      <c r="L35" s="317">
        <v>28</v>
      </c>
      <c r="M35" s="318">
        <f t="shared" ref="M35:M40" si="60">SUM(O35:S35)</f>
        <v>20665</v>
      </c>
      <c r="N35" s="318">
        <f t="shared" ref="N35:N40" si="61">IFERROR(M35/L35,0)</f>
        <v>738.03571428571433</v>
      </c>
      <c r="O35" s="320"/>
      <c r="P35" s="320"/>
      <c r="Q35" s="320"/>
      <c r="R35" s="320"/>
      <c r="S35" s="320">
        <v>20665</v>
      </c>
      <c r="T35" s="320">
        <v>18145</v>
      </c>
      <c r="U35" s="321">
        <f t="shared" si="47"/>
        <v>0</v>
      </c>
      <c r="V35" s="317">
        <v>25</v>
      </c>
      <c r="W35" s="318">
        <f t="shared" ref="W35:W40" si="62">SUM(Y35:AC35)</f>
        <v>13902</v>
      </c>
      <c r="X35" s="318">
        <f t="shared" ref="X35:X40" si="63">IFERROR(W35/V35,0)</f>
        <v>556.08000000000004</v>
      </c>
      <c r="Y35" s="320"/>
      <c r="Z35" s="320"/>
      <c r="AA35" s="320"/>
      <c r="AB35" s="320"/>
      <c r="AC35" s="320">
        <v>13902</v>
      </c>
      <c r="AD35" s="320">
        <v>12110</v>
      </c>
      <c r="AE35" s="321">
        <f t="shared" si="48"/>
        <v>0</v>
      </c>
      <c r="AF35" s="317">
        <v>26</v>
      </c>
      <c r="AG35" s="318">
        <f t="shared" ref="AG35:AG40" si="64">SUM(AI35:AM35)</f>
        <v>21985</v>
      </c>
      <c r="AH35" s="318">
        <f t="shared" ref="AH35:AH40" si="65">IFERROR(AG35/AF35,0)</f>
        <v>845.57692307692309</v>
      </c>
      <c r="AI35" s="320"/>
      <c r="AJ35" s="320"/>
      <c r="AK35" s="320"/>
      <c r="AL35" s="320"/>
      <c r="AM35" s="320">
        <v>21985</v>
      </c>
      <c r="AN35" s="320">
        <v>21410</v>
      </c>
      <c r="AO35" s="321">
        <f t="shared" si="49"/>
        <v>0</v>
      </c>
      <c r="AP35" s="317">
        <v>29</v>
      </c>
      <c r="AQ35" s="318">
        <f t="shared" ref="AQ35:AQ40" si="66">SUM(AS35:AW35)</f>
        <v>23817.5</v>
      </c>
      <c r="AR35" s="318">
        <f t="shared" ref="AR35:AR40" si="67">IFERROR(AQ35/AP35,0)</f>
        <v>821.29310344827582</v>
      </c>
      <c r="AS35" s="320"/>
      <c r="AT35" s="320"/>
      <c r="AU35" s="320"/>
      <c r="AV35" s="320"/>
      <c r="AW35" s="320">
        <v>23817.5</v>
      </c>
      <c r="AX35" s="320">
        <v>22442.5</v>
      </c>
      <c r="AY35" s="321">
        <f t="shared" si="50"/>
        <v>0</v>
      </c>
      <c r="AZ35" s="317">
        <v>19</v>
      </c>
      <c r="BA35" s="318">
        <f t="shared" ref="BA35:BA40" si="68">SUM(BC35:BG35)</f>
        <v>13347</v>
      </c>
      <c r="BB35" s="318">
        <f t="shared" ref="BB35:BB40" si="69">IFERROR(BA35/AZ35,0)</f>
        <v>702.47368421052636</v>
      </c>
      <c r="BC35" s="320"/>
      <c r="BD35" s="320"/>
      <c r="BE35" s="320"/>
      <c r="BF35" s="320"/>
      <c r="BG35" s="320">
        <v>13347</v>
      </c>
      <c r="BH35" s="320">
        <v>12326</v>
      </c>
      <c r="BI35" s="321">
        <f t="shared" si="51"/>
        <v>0</v>
      </c>
      <c r="BJ35" s="323">
        <v>17</v>
      </c>
      <c r="BK35" s="318">
        <f t="shared" si="52"/>
        <v>12173</v>
      </c>
      <c r="BL35" s="318">
        <f t="shared" si="53"/>
        <v>716.05882352941171</v>
      </c>
      <c r="BM35" s="320"/>
      <c r="BN35" s="320"/>
      <c r="BO35" s="320"/>
      <c r="BP35" s="320"/>
      <c r="BQ35" s="320">
        <v>12173</v>
      </c>
      <c r="BR35" s="320">
        <v>11273</v>
      </c>
      <c r="BS35" s="321">
        <f t="shared" si="54"/>
        <v>0</v>
      </c>
      <c r="BT35" s="207">
        <v>17</v>
      </c>
      <c r="BU35" s="318">
        <v>14455</v>
      </c>
      <c r="BV35" s="318">
        <f t="shared" si="55"/>
        <v>850.29411764705878</v>
      </c>
      <c r="BW35" s="208"/>
      <c r="BX35" s="208"/>
      <c r="BY35" s="208"/>
      <c r="BZ35" s="208"/>
      <c r="CA35" s="208">
        <v>14455</v>
      </c>
      <c r="CB35" s="208">
        <v>13055</v>
      </c>
      <c r="CC35" s="367">
        <f t="shared" si="56"/>
        <v>0</v>
      </c>
    </row>
    <row r="36" spans="1:81" s="316" customFormat="1" ht="15.95" customHeight="1">
      <c r="A36" s="325" t="s">
        <v>160</v>
      </c>
      <c r="B36" s="317">
        <v>19</v>
      </c>
      <c r="C36" s="318">
        <f t="shared" si="58"/>
        <v>17700</v>
      </c>
      <c r="D36" s="318">
        <f t="shared" si="59"/>
        <v>931.57894736842104</v>
      </c>
      <c r="E36" s="320"/>
      <c r="F36" s="320"/>
      <c r="G36" s="320"/>
      <c r="H36" s="320"/>
      <c r="I36" s="320">
        <v>17700</v>
      </c>
      <c r="J36" s="320">
        <v>17700</v>
      </c>
      <c r="K36" s="321">
        <f t="shared" si="46"/>
        <v>0</v>
      </c>
      <c r="L36" s="317">
        <v>2</v>
      </c>
      <c r="M36" s="318">
        <f t="shared" si="60"/>
        <v>2750</v>
      </c>
      <c r="N36" s="318">
        <f t="shared" si="61"/>
        <v>1375</v>
      </c>
      <c r="O36" s="320"/>
      <c r="P36" s="320"/>
      <c r="Q36" s="320"/>
      <c r="R36" s="320"/>
      <c r="S36" s="320">
        <v>2750</v>
      </c>
      <c r="T36" s="320">
        <v>2750</v>
      </c>
      <c r="U36" s="321">
        <f t="shared" si="47"/>
        <v>0</v>
      </c>
      <c r="V36" s="317">
        <v>1</v>
      </c>
      <c r="W36" s="318">
        <f t="shared" si="62"/>
        <v>2000</v>
      </c>
      <c r="X36" s="318">
        <f t="shared" si="63"/>
        <v>2000</v>
      </c>
      <c r="Y36" s="320"/>
      <c r="Z36" s="320"/>
      <c r="AA36" s="320"/>
      <c r="AB36" s="320"/>
      <c r="AC36" s="320">
        <v>2000</v>
      </c>
      <c r="AD36" s="320">
        <v>2000</v>
      </c>
      <c r="AE36" s="321">
        <f t="shared" si="48"/>
        <v>0</v>
      </c>
      <c r="AF36" s="317">
        <v>1</v>
      </c>
      <c r="AG36" s="318">
        <f t="shared" si="64"/>
        <v>2000</v>
      </c>
      <c r="AH36" s="318">
        <f t="shared" si="65"/>
        <v>2000</v>
      </c>
      <c r="AI36" s="320"/>
      <c r="AJ36" s="320"/>
      <c r="AK36" s="320"/>
      <c r="AL36" s="320"/>
      <c r="AM36" s="320">
        <v>2000</v>
      </c>
      <c r="AN36" s="320">
        <v>2000</v>
      </c>
      <c r="AO36" s="321">
        <f t="shared" si="49"/>
        <v>0</v>
      </c>
      <c r="AP36" s="317">
        <v>0</v>
      </c>
      <c r="AQ36" s="318">
        <f t="shared" si="66"/>
        <v>0</v>
      </c>
      <c r="AR36" s="318">
        <f t="shared" si="67"/>
        <v>0</v>
      </c>
      <c r="AS36" s="320"/>
      <c r="AT36" s="320"/>
      <c r="AU36" s="320"/>
      <c r="AV36" s="320"/>
      <c r="AW36" s="320">
        <v>0</v>
      </c>
      <c r="AX36" s="320">
        <v>0</v>
      </c>
      <c r="AY36" s="321">
        <f t="shared" si="50"/>
        <v>0</v>
      </c>
      <c r="AZ36" s="317">
        <v>0</v>
      </c>
      <c r="BA36" s="318">
        <f t="shared" si="68"/>
        <v>0</v>
      </c>
      <c r="BB36" s="318">
        <f t="shared" si="69"/>
        <v>0</v>
      </c>
      <c r="BC36" s="320"/>
      <c r="BD36" s="320">
        <v>0</v>
      </c>
      <c r="BE36" s="320"/>
      <c r="BF36" s="320"/>
      <c r="BG36" s="320"/>
      <c r="BH36" s="320"/>
      <c r="BI36" s="321">
        <f t="shared" si="51"/>
        <v>0</v>
      </c>
      <c r="BJ36" s="323">
        <v>0</v>
      </c>
      <c r="BK36" s="318">
        <f t="shared" si="52"/>
        <v>0</v>
      </c>
      <c r="BL36" s="318">
        <f t="shared" si="53"/>
        <v>0</v>
      </c>
      <c r="BM36" s="320"/>
      <c r="BN36" s="320">
        <v>0</v>
      </c>
      <c r="BO36" s="320"/>
      <c r="BP36" s="320"/>
      <c r="BQ36" s="320"/>
      <c r="BR36" s="320">
        <v>0</v>
      </c>
      <c r="BS36" s="321">
        <f t="shared" si="54"/>
        <v>0</v>
      </c>
      <c r="BT36" s="207">
        <v>0</v>
      </c>
      <c r="BU36" s="318">
        <v>0</v>
      </c>
      <c r="BV36" s="318">
        <f t="shared" si="55"/>
        <v>0</v>
      </c>
      <c r="BW36" s="208"/>
      <c r="BX36" s="208">
        <v>0</v>
      </c>
      <c r="BY36" s="208"/>
      <c r="BZ36" s="208"/>
      <c r="CA36" s="208"/>
      <c r="CB36" s="208">
        <v>0</v>
      </c>
      <c r="CC36" s="367">
        <f t="shared" si="56"/>
        <v>0</v>
      </c>
    </row>
    <row r="37" spans="1:81" s="316" customFormat="1" ht="15.95" customHeight="1">
      <c r="A37" s="325" t="s">
        <v>161</v>
      </c>
      <c r="B37" s="317">
        <v>51</v>
      </c>
      <c r="C37" s="318">
        <f t="shared" si="58"/>
        <v>58136</v>
      </c>
      <c r="D37" s="318">
        <f t="shared" si="59"/>
        <v>1139.9215686274511</v>
      </c>
      <c r="E37" s="320">
        <v>58136</v>
      </c>
      <c r="F37" s="320"/>
      <c r="G37" s="320"/>
      <c r="H37" s="320"/>
      <c r="I37" s="320"/>
      <c r="J37" s="320">
        <v>58136</v>
      </c>
      <c r="K37" s="321">
        <f t="shared" si="46"/>
        <v>58136</v>
      </c>
      <c r="L37" s="317">
        <v>62</v>
      </c>
      <c r="M37" s="318">
        <f t="shared" si="60"/>
        <v>75262.5</v>
      </c>
      <c r="N37" s="318">
        <f t="shared" si="61"/>
        <v>1213.9112903225807</v>
      </c>
      <c r="O37" s="320">
        <v>75262.5</v>
      </c>
      <c r="P37" s="320"/>
      <c r="Q37" s="320"/>
      <c r="R37" s="320"/>
      <c r="S37" s="320"/>
      <c r="T37" s="320">
        <v>75262.5</v>
      </c>
      <c r="U37" s="321">
        <f t="shared" si="47"/>
        <v>75262.5</v>
      </c>
      <c r="V37" s="317">
        <v>51</v>
      </c>
      <c r="W37" s="318">
        <f t="shared" si="62"/>
        <v>66078</v>
      </c>
      <c r="X37" s="318">
        <f t="shared" si="63"/>
        <v>1295.6470588235295</v>
      </c>
      <c r="Y37" s="320">
        <v>66078</v>
      </c>
      <c r="Z37" s="320"/>
      <c r="AA37" s="320"/>
      <c r="AB37" s="320"/>
      <c r="AC37" s="320"/>
      <c r="AD37" s="320">
        <v>66078</v>
      </c>
      <c r="AE37" s="321">
        <f t="shared" si="48"/>
        <v>66078</v>
      </c>
      <c r="AF37" s="317">
        <v>40</v>
      </c>
      <c r="AG37" s="318">
        <f t="shared" si="64"/>
        <v>49294</v>
      </c>
      <c r="AH37" s="318">
        <f t="shared" si="65"/>
        <v>1232.3499999999999</v>
      </c>
      <c r="AI37" s="320">
        <v>49294</v>
      </c>
      <c r="AJ37" s="320"/>
      <c r="AK37" s="320"/>
      <c r="AL37" s="320"/>
      <c r="AM37" s="320"/>
      <c r="AN37" s="320">
        <v>49294</v>
      </c>
      <c r="AO37" s="321">
        <f t="shared" si="49"/>
        <v>49294</v>
      </c>
      <c r="AP37" s="317">
        <v>28</v>
      </c>
      <c r="AQ37" s="318">
        <f t="shared" si="66"/>
        <v>39084.25</v>
      </c>
      <c r="AR37" s="318">
        <f t="shared" si="67"/>
        <v>1395.8660714285713</v>
      </c>
      <c r="AS37" s="320">
        <v>39084.25</v>
      </c>
      <c r="AT37" s="320"/>
      <c r="AU37" s="320"/>
      <c r="AV37" s="320"/>
      <c r="AW37" s="320"/>
      <c r="AX37" s="320">
        <v>39084.25</v>
      </c>
      <c r="AY37" s="321">
        <f t="shared" si="50"/>
        <v>39084.25</v>
      </c>
      <c r="AZ37" s="317">
        <v>28</v>
      </c>
      <c r="BA37" s="318">
        <f t="shared" si="68"/>
        <v>40425</v>
      </c>
      <c r="BB37" s="318">
        <f t="shared" si="69"/>
        <v>1443.75</v>
      </c>
      <c r="BC37" s="320">
        <v>40425</v>
      </c>
      <c r="BD37" s="320"/>
      <c r="BE37" s="320"/>
      <c r="BF37" s="320"/>
      <c r="BG37" s="320"/>
      <c r="BH37" s="320">
        <v>40425</v>
      </c>
      <c r="BI37" s="321">
        <f t="shared" si="51"/>
        <v>40425</v>
      </c>
      <c r="BJ37" s="323">
        <v>25</v>
      </c>
      <c r="BK37" s="318">
        <f t="shared" si="52"/>
        <v>33836.25</v>
      </c>
      <c r="BL37" s="318">
        <f t="shared" si="53"/>
        <v>1353.45</v>
      </c>
      <c r="BM37" s="320">
        <v>33836.25</v>
      </c>
      <c r="BN37" s="320"/>
      <c r="BO37" s="320"/>
      <c r="BP37" s="320"/>
      <c r="BQ37" s="320"/>
      <c r="BR37" s="320">
        <v>33836.25</v>
      </c>
      <c r="BS37" s="321">
        <f t="shared" si="54"/>
        <v>33836.25</v>
      </c>
      <c r="BT37" s="207">
        <v>19</v>
      </c>
      <c r="BU37" s="318">
        <v>27918</v>
      </c>
      <c r="BV37" s="318">
        <f t="shared" si="55"/>
        <v>1469.3684210526317</v>
      </c>
      <c r="BW37" s="208">
        <v>27918</v>
      </c>
      <c r="BX37" s="208"/>
      <c r="BY37" s="208"/>
      <c r="BZ37" s="208"/>
      <c r="CA37" s="208"/>
      <c r="CB37" s="208">
        <v>27918</v>
      </c>
      <c r="CC37" s="367">
        <f t="shared" si="56"/>
        <v>27918</v>
      </c>
    </row>
    <row r="38" spans="1:81" s="316" customFormat="1" ht="15.95" customHeight="1">
      <c r="A38" s="369" t="s">
        <v>256</v>
      </c>
      <c r="B38" s="317"/>
      <c r="C38" s="318">
        <f t="shared" si="58"/>
        <v>0</v>
      </c>
      <c r="D38" s="318">
        <f t="shared" si="59"/>
        <v>0</v>
      </c>
      <c r="E38" s="320"/>
      <c r="F38" s="320"/>
      <c r="G38" s="320"/>
      <c r="H38" s="320"/>
      <c r="I38" s="320"/>
      <c r="J38" s="320"/>
      <c r="K38" s="321">
        <f t="shared" si="46"/>
        <v>0</v>
      </c>
      <c r="L38" s="317"/>
      <c r="M38" s="318">
        <f t="shared" si="60"/>
        <v>0</v>
      </c>
      <c r="N38" s="318">
        <f t="shared" si="61"/>
        <v>0</v>
      </c>
      <c r="O38" s="320"/>
      <c r="P38" s="320"/>
      <c r="Q38" s="320"/>
      <c r="R38" s="320"/>
      <c r="S38" s="320"/>
      <c r="T38" s="320"/>
      <c r="U38" s="321">
        <f t="shared" si="47"/>
        <v>0</v>
      </c>
      <c r="V38" s="317"/>
      <c r="W38" s="318">
        <f t="shared" si="62"/>
        <v>0</v>
      </c>
      <c r="X38" s="318">
        <f t="shared" si="63"/>
        <v>0</v>
      </c>
      <c r="Y38" s="320"/>
      <c r="Z38" s="320"/>
      <c r="AA38" s="320"/>
      <c r="AB38" s="320"/>
      <c r="AC38" s="320"/>
      <c r="AD38" s="320"/>
      <c r="AE38" s="321">
        <f t="shared" si="48"/>
        <v>0</v>
      </c>
      <c r="AF38" s="317"/>
      <c r="AG38" s="318">
        <f t="shared" si="64"/>
        <v>0</v>
      </c>
      <c r="AH38" s="318">
        <f t="shared" si="65"/>
        <v>0</v>
      </c>
      <c r="AI38" s="320"/>
      <c r="AJ38" s="320"/>
      <c r="AK38" s="320"/>
      <c r="AL38" s="320"/>
      <c r="AM38" s="320"/>
      <c r="AN38" s="320"/>
      <c r="AO38" s="321">
        <f t="shared" si="49"/>
        <v>0</v>
      </c>
      <c r="AP38" s="317"/>
      <c r="AQ38" s="318">
        <f t="shared" si="66"/>
        <v>0</v>
      </c>
      <c r="AR38" s="318">
        <f t="shared" si="67"/>
        <v>0</v>
      </c>
      <c r="AS38" s="320"/>
      <c r="AT38" s="320"/>
      <c r="AU38" s="320"/>
      <c r="AV38" s="320"/>
      <c r="AW38" s="320"/>
      <c r="AX38" s="320"/>
      <c r="AY38" s="321">
        <f t="shared" si="50"/>
        <v>0</v>
      </c>
      <c r="AZ38" s="368">
        <v>0</v>
      </c>
      <c r="BA38" s="318">
        <v>0</v>
      </c>
      <c r="BB38" s="318">
        <f t="shared" si="69"/>
        <v>0</v>
      </c>
      <c r="BC38" s="208"/>
      <c r="BD38" s="208"/>
      <c r="BE38" s="208">
        <v>0</v>
      </c>
      <c r="BF38" s="208"/>
      <c r="BG38" s="208"/>
      <c r="BH38" s="208">
        <v>0</v>
      </c>
      <c r="BI38" s="321">
        <f t="shared" si="51"/>
        <v>0</v>
      </c>
      <c r="BJ38" s="207">
        <v>49</v>
      </c>
      <c r="BK38" s="318">
        <v>214274</v>
      </c>
      <c r="BL38" s="318">
        <f t="shared" si="53"/>
        <v>4372.9387755102043</v>
      </c>
      <c r="BM38" s="208"/>
      <c r="BN38" s="208"/>
      <c r="BO38" s="208">
        <v>214274</v>
      </c>
      <c r="BP38" s="208"/>
      <c r="BQ38" s="208"/>
      <c r="BR38" s="208">
        <v>214274</v>
      </c>
      <c r="BS38" s="321">
        <f t="shared" si="54"/>
        <v>0</v>
      </c>
      <c r="BT38" s="207">
        <v>83</v>
      </c>
      <c r="BU38" s="318">
        <v>390504</v>
      </c>
      <c r="BV38" s="318">
        <f t="shared" si="55"/>
        <v>4704.8674698795185</v>
      </c>
      <c r="BW38" s="208"/>
      <c r="BX38" s="208"/>
      <c r="BY38" s="208">
        <v>390504</v>
      </c>
      <c r="BZ38" s="208"/>
      <c r="CA38" s="208"/>
      <c r="CB38" s="208">
        <v>390504</v>
      </c>
      <c r="CC38" s="367">
        <f t="shared" si="56"/>
        <v>0</v>
      </c>
    </row>
    <row r="39" spans="1:81" s="316" customFormat="1" ht="15.95" customHeight="1">
      <c r="A39" s="214"/>
      <c r="B39" s="317"/>
      <c r="C39" s="318">
        <f t="shared" si="58"/>
        <v>0</v>
      </c>
      <c r="D39" s="318">
        <f t="shared" si="59"/>
        <v>0</v>
      </c>
      <c r="E39" s="320"/>
      <c r="F39" s="320"/>
      <c r="G39" s="320"/>
      <c r="H39" s="320"/>
      <c r="I39" s="320"/>
      <c r="J39" s="320"/>
      <c r="K39" s="321">
        <f t="shared" si="46"/>
        <v>0</v>
      </c>
      <c r="L39" s="317"/>
      <c r="M39" s="318">
        <f t="shared" si="60"/>
        <v>0</v>
      </c>
      <c r="N39" s="318">
        <f t="shared" si="61"/>
        <v>0</v>
      </c>
      <c r="O39" s="320"/>
      <c r="P39" s="320"/>
      <c r="Q39" s="320"/>
      <c r="R39" s="320"/>
      <c r="S39" s="320"/>
      <c r="T39" s="320"/>
      <c r="U39" s="321">
        <f t="shared" si="47"/>
        <v>0</v>
      </c>
      <c r="V39" s="317"/>
      <c r="W39" s="318">
        <f t="shared" si="62"/>
        <v>0</v>
      </c>
      <c r="X39" s="318">
        <f t="shared" si="63"/>
        <v>0</v>
      </c>
      <c r="Y39" s="320"/>
      <c r="Z39" s="320"/>
      <c r="AA39" s="320"/>
      <c r="AB39" s="320"/>
      <c r="AC39" s="320"/>
      <c r="AD39" s="320"/>
      <c r="AE39" s="321">
        <f t="shared" si="48"/>
        <v>0</v>
      </c>
      <c r="AF39" s="317"/>
      <c r="AG39" s="318">
        <f t="shared" si="64"/>
        <v>0</v>
      </c>
      <c r="AH39" s="318">
        <f t="shared" si="65"/>
        <v>0</v>
      </c>
      <c r="AI39" s="320"/>
      <c r="AJ39" s="320"/>
      <c r="AK39" s="320"/>
      <c r="AL39" s="320"/>
      <c r="AM39" s="320"/>
      <c r="AN39" s="320"/>
      <c r="AO39" s="321">
        <f t="shared" si="49"/>
        <v>0</v>
      </c>
      <c r="AP39" s="317"/>
      <c r="AQ39" s="318">
        <f t="shared" si="66"/>
        <v>0</v>
      </c>
      <c r="AR39" s="318">
        <f t="shared" si="67"/>
        <v>0</v>
      </c>
      <c r="AS39" s="320"/>
      <c r="AT39" s="320"/>
      <c r="AU39" s="320"/>
      <c r="AV39" s="320"/>
      <c r="AW39" s="320"/>
      <c r="AX39" s="320"/>
      <c r="AY39" s="321">
        <f t="shared" si="50"/>
        <v>0</v>
      </c>
      <c r="AZ39" s="317"/>
      <c r="BA39" s="318">
        <f t="shared" si="68"/>
        <v>0</v>
      </c>
      <c r="BB39" s="318">
        <f t="shared" si="69"/>
        <v>0</v>
      </c>
      <c r="BC39" s="320"/>
      <c r="BD39" s="320"/>
      <c r="BE39" s="320"/>
      <c r="BF39" s="320"/>
      <c r="BG39" s="320"/>
      <c r="BH39" s="320"/>
      <c r="BI39" s="321">
        <f t="shared" si="51"/>
        <v>0</v>
      </c>
      <c r="BJ39" s="323"/>
      <c r="BK39" s="318">
        <f t="shared" si="52"/>
        <v>0</v>
      </c>
      <c r="BL39" s="318">
        <f t="shared" si="53"/>
        <v>0</v>
      </c>
      <c r="BM39" s="320"/>
      <c r="BN39" s="320"/>
      <c r="BO39" s="320"/>
      <c r="BP39" s="320"/>
      <c r="BQ39" s="320"/>
      <c r="BR39" s="320"/>
      <c r="BS39" s="321">
        <f t="shared" si="54"/>
        <v>0</v>
      </c>
      <c r="BT39" s="207"/>
      <c r="BU39" s="318">
        <f t="shared" si="57"/>
        <v>0</v>
      </c>
      <c r="BV39" s="318">
        <f t="shared" si="55"/>
        <v>0</v>
      </c>
      <c r="BW39" s="208"/>
      <c r="BX39" s="208"/>
      <c r="BY39" s="208"/>
      <c r="BZ39" s="208"/>
      <c r="CA39" s="208"/>
      <c r="CB39" s="208"/>
      <c r="CC39" s="367">
        <f t="shared" si="56"/>
        <v>0</v>
      </c>
    </row>
    <row r="40" spans="1:81" s="316" customFormat="1" ht="15.95" customHeight="1">
      <c r="A40" s="214"/>
      <c r="B40" s="317"/>
      <c r="C40" s="318">
        <f t="shared" si="58"/>
        <v>0</v>
      </c>
      <c r="D40" s="318">
        <f t="shared" si="59"/>
        <v>0</v>
      </c>
      <c r="E40" s="320"/>
      <c r="F40" s="320"/>
      <c r="G40" s="320"/>
      <c r="H40" s="320"/>
      <c r="I40" s="320"/>
      <c r="J40" s="320"/>
      <c r="K40" s="321">
        <f t="shared" si="46"/>
        <v>0</v>
      </c>
      <c r="L40" s="317"/>
      <c r="M40" s="318">
        <f t="shared" si="60"/>
        <v>0</v>
      </c>
      <c r="N40" s="318">
        <f t="shared" si="61"/>
        <v>0</v>
      </c>
      <c r="O40" s="320"/>
      <c r="P40" s="320"/>
      <c r="Q40" s="320"/>
      <c r="R40" s="320"/>
      <c r="S40" s="320"/>
      <c r="T40" s="320"/>
      <c r="U40" s="321">
        <f t="shared" si="47"/>
        <v>0</v>
      </c>
      <c r="V40" s="317"/>
      <c r="W40" s="318">
        <f t="shared" si="62"/>
        <v>0</v>
      </c>
      <c r="X40" s="318">
        <f t="shared" si="63"/>
        <v>0</v>
      </c>
      <c r="Y40" s="320"/>
      <c r="Z40" s="320"/>
      <c r="AA40" s="320"/>
      <c r="AB40" s="320"/>
      <c r="AC40" s="320"/>
      <c r="AD40" s="320"/>
      <c r="AE40" s="321">
        <f t="shared" si="48"/>
        <v>0</v>
      </c>
      <c r="AF40" s="317"/>
      <c r="AG40" s="318">
        <f t="shared" si="64"/>
        <v>0</v>
      </c>
      <c r="AH40" s="318">
        <f t="shared" si="65"/>
        <v>0</v>
      </c>
      <c r="AI40" s="320"/>
      <c r="AJ40" s="320"/>
      <c r="AK40" s="320"/>
      <c r="AL40" s="320"/>
      <c r="AM40" s="320"/>
      <c r="AN40" s="320"/>
      <c r="AO40" s="321">
        <f t="shared" si="49"/>
        <v>0</v>
      </c>
      <c r="AP40" s="317"/>
      <c r="AQ40" s="318">
        <f t="shared" si="66"/>
        <v>0</v>
      </c>
      <c r="AR40" s="318">
        <f t="shared" si="67"/>
        <v>0</v>
      </c>
      <c r="AS40" s="320"/>
      <c r="AT40" s="320"/>
      <c r="AU40" s="320"/>
      <c r="AV40" s="320"/>
      <c r="AW40" s="320"/>
      <c r="AX40" s="320"/>
      <c r="AY40" s="321">
        <f t="shared" si="50"/>
        <v>0</v>
      </c>
      <c r="AZ40" s="317"/>
      <c r="BA40" s="318">
        <f t="shared" si="68"/>
        <v>0</v>
      </c>
      <c r="BB40" s="318">
        <f t="shared" si="69"/>
        <v>0</v>
      </c>
      <c r="BC40" s="320"/>
      <c r="BD40" s="320"/>
      <c r="BE40" s="320"/>
      <c r="BF40" s="320"/>
      <c r="BG40" s="320"/>
      <c r="BH40" s="320"/>
      <c r="BI40" s="321">
        <f t="shared" si="51"/>
        <v>0</v>
      </c>
      <c r="BJ40" s="323"/>
      <c r="BK40" s="318">
        <f t="shared" si="52"/>
        <v>0</v>
      </c>
      <c r="BL40" s="318">
        <f t="shared" si="53"/>
        <v>0</v>
      </c>
      <c r="BM40" s="320"/>
      <c r="BN40" s="320"/>
      <c r="BO40" s="320"/>
      <c r="BP40" s="320"/>
      <c r="BQ40" s="320"/>
      <c r="BR40" s="320"/>
      <c r="BS40" s="321">
        <f t="shared" si="54"/>
        <v>0</v>
      </c>
      <c r="BT40" s="207"/>
      <c r="BU40" s="318">
        <f t="shared" si="57"/>
        <v>0</v>
      </c>
      <c r="BV40" s="318">
        <f t="shared" si="55"/>
        <v>0</v>
      </c>
      <c r="BW40" s="208"/>
      <c r="BX40" s="208"/>
      <c r="BY40" s="208"/>
      <c r="BZ40" s="208"/>
      <c r="CA40" s="208"/>
      <c r="CB40" s="208"/>
      <c r="CC40" s="367">
        <f t="shared" si="56"/>
        <v>0</v>
      </c>
    </row>
    <row r="41" spans="1:81" s="316" customFormat="1" ht="15.95" customHeight="1">
      <c r="A41" s="214"/>
      <c r="B41" s="317"/>
      <c r="C41" s="318">
        <f>SUM(E41:I41)</f>
        <v>0</v>
      </c>
      <c r="D41" s="318">
        <f>IFERROR(C41/B41,0)</f>
        <v>0</v>
      </c>
      <c r="E41" s="320"/>
      <c r="F41" s="320"/>
      <c r="G41" s="320"/>
      <c r="H41" s="320"/>
      <c r="I41" s="320"/>
      <c r="J41" s="320"/>
      <c r="K41" s="321">
        <f t="shared" si="46"/>
        <v>0</v>
      </c>
      <c r="L41" s="317"/>
      <c r="M41" s="318">
        <f>SUM(O41:S41)</f>
        <v>0</v>
      </c>
      <c r="N41" s="318">
        <f>IFERROR(M41/L41,0)</f>
        <v>0</v>
      </c>
      <c r="O41" s="320"/>
      <c r="P41" s="320"/>
      <c r="Q41" s="320"/>
      <c r="R41" s="320"/>
      <c r="S41" s="320"/>
      <c r="T41" s="320"/>
      <c r="U41" s="321">
        <f t="shared" si="47"/>
        <v>0</v>
      </c>
      <c r="V41" s="317"/>
      <c r="W41" s="318">
        <f>SUM(Y41:AC41)</f>
        <v>0</v>
      </c>
      <c r="X41" s="318">
        <f>IFERROR(W41/V41,0)</f>
        <v>0</v>
      </c>
      <c r="Y41" s="320"/>
      <c r="Z41" s="320"/>
      <c r="AA41" s="320"/>
      <c r="AB41" s="320"/>
      <c r="AC41" s="320"/>
      <c r="AD41" s="320"/>
      <c r="AE41" s="321">
        <f t="shared" si="48"/>
        <v>0</v>
      </c>
      <c r="AF41" s="317"/>
      <c r="AG41" s="318">
        <f>SUM(AI41:AM41)</f>
        <v>0</v>
      </c>
      <c r="AH41" s="318">
        <f>IFERROR(AG41/AF41,0)</f>
        <v>0</v>
      </c>
      <c r="AI41" s="320"/>
      <c r="AJ41" s="320"/>
      <c r="AK41" s="320"/>
      <c r="AL41" s="320"/>
      <c r="AM41" s="320"/>
      <c r="AN41" s="320"/>
      <c r="AO41" s="321">
        <f t="shared" si="49"/>
        <v>0</v>
      </c>
      <c r="AP41" s="317"/>
      <c r="AQ41" s="318">
        <f>SUM(AS41:AW41)</f>
        <v>0</v>
      </c>
      <c r="AR41" s="318">
        <f>IFERROR(AQ41/AP41,0)</f>
        <v>0</v>
      </c>
      <c r="AS41" s="320"/>
      <c r="AT41" s="320"/>
      <c r="AU41" s="320"/>
      <c r="AV41" s="320"/>
      <c r="AW41" s="320"/>
      <c r="AX41" s="320"/>
      <c r="AY41" s="321">
        <f t="shared" si="50"/>
        <v>0</v>
      </c>
      <c r="AZ41" s="317"/>
      <c r="BA41" s="318">
        <f>SUM(BC41:BG41)</f>
        <v>0</v>
      </c>
      <c r="BB41" s="318">
        <f>IFERROR(BA41/AZ41,0)</f>
        <v>0</v>
      </c>
      <c r="BC41" s="320"/>
      <c r="BD41" s="320"/>
      <c r="BE41" s="320"/>
      <c r="BF41" s="320"/>
      <c r="BG41" s="320"/>
      <c r="BH41" s="320"/>
      <c r="BI41" s="321">
        <f t="shared" si="51"/>
        <v>0</v>
      </c>
      <c r="BJ41" s="323"/>
      <c r="BK41" s="318">
        <f t="shared" si="52"/>
        <v>0</v>
      </c>
      <c r="BL41" s="318">
        <f t="shared" si="53"/>
        <v>0</v>
      </c>
      <c r="BM41" s="320"/>
      <c r="BN41" s="320"/>
      <c r="BO41" s="320"/>
      <c r="BP41" s="320"/>
      <c r="BQ41" s="320"/>
      <c r="BR41" s="320"/>
      <c r="BS41" s="321">
        <f t="shared" si="54"/>
        <v>0</v>
      </c>
      <c r="BT41" s="207"/>
      <c r="BU41" s="318">
        <f t="shared" si="57"/>
        <v>0</v>
      </c>
      <c r="BV41" s="318">
        <f t="shared" si="55"/>
        <v>0</v>
      </c>
      <c r="BW41" s="208"/>
      <c r="BX41" s="208"/>
      <c r="BY41" s="208"/>
      <c r="BZ41" s="208"/>
      <c r="CA41" s="208"/>
      <c r="CB41" s="208"/>
      <c r="CC41" s="367">
        <f t="shared" si="56"/>
        <v>0</v>
      </c>
    </row>
    <row r="42" spans="1:81" s="316" customFormat="1" ht="15.95" customHeight="1">
      <c r="A42" s="214"/>
      <c r="B42" s="317"/>
      <c r="C42" s="318">
        <f>SUM(E42:I42)</f>
        <v>0</v>
      </c>
      <c r="D42" s="318">
        <f>IFERROR(C42/B42,0)</f>
        <v>0</v>
      </c>
      <c r="E42" s="320"/>
      <c r="F42" s="320"/>
      <c r="G42" s="320"/>
      <c r="H42" s="320"/>
      <c r="I42" s="320"/>
      <c r="J42" s="320"/>
      <c r="K42" s="321">
        <f t="shared" si="46"/>
        <v>0</v>
      </c>
      <c r="L42" s="317"/>
      <c r="M42" s="318">
        <f>SUM(O42:S42)</f>
        <v>0</v>
      </c>
      <c r="N42" s="318">
        <f>IFERROR(M42/L42,0)</f>
        <v>0</v>
      </c>
      <c r="O42" s="320"/>
      <c r="P42" s="320"/>
      <c r="Q42" s="320"/>
      <c r="R42" s="320"/>
      <c r="S42" s="320"/>
      <c r="T42" s="320"/>
      <c r="U42" s="321">
        <f t="shared" si="47"/>
        <v>0</v>
      </c>
      <c r="V42" s="317"/>
      <c r="W42" s="318">
        <f>SUM(Y42:AC42)</f>
        <v>0</v>
      </c>
      <c r="X42" s="318">
        <f>IFERROR(W42/V42,0)</f>
        <v>0</v>
      </c>
      <c r="Y42" s="320"/>
      <c r="Z42" s="320"/>
      <c r="AA42" s="320"/>
      <c r="AB42" s="320"/>
      <c r="AC42" s="320"/>
      <c r="AD42" s="320"/>
      <c r="AE42" s="321">
        <f t="shared" si="48"/>
        <v>0</v>
      </c>
      <c r="AF42" s="317"/>
      <c r="AG42" s="318">
        <f>SUM(AI42:AM42)</f>
        <v>0</v>
      </c>
      <c r="AH42" s="318">
        <f>IFERROR(AG42/AF42,0)</f>
        <v>0</v>
      </c>
      <c r="AI42" s="320"/>
      <c r="AJ42" s="320"/>
      <c r="AK42" s="320"/>
      <c r="AL42" s="320"/>
      <c r="AM42" s="320"/>
      <c r="AN42" s="320"/>
      <c r="AO42" s="321">
        <f t="shared" si="49"/>
        <v>0</v>
      </c>
      <c r="AP42" s="317"/>
      <c r="AQ42" s="318">
        <f>SUM(AS42:AW42)</f>
        <v>0</v>
      </c>
      <c r="AR42" s="318">
        <f>IFERROR(AQ42/AP42,0)</f>
        <v>0</v>
      </c>
      <c r="AS42" s="320"/>
      <c r="AT42" s="320"/>
      <c r="AU42" s="320"/>
      <c r="AV42" s="320"/>
      <c r="AW42" s="320"/>
      <c r="AX42" s="320"/>
      <c r="AY42" s="321">
        <f t="shared" si="50"/>
        <v>0</v>
      </c>
      <c r="AZ42" s="317"/>
      <c r="BA42" s="318">
        <f>SUM(BC42:BG42)</f>
        <v>0</v>
      </c>
      <c r="BB42" s="318">
        <f>IFERROR(BA42/AZ42,0)</f>
        <v>0</v>
      </c>
      <c r="BC42" s="320"/>
      <c r="BD42" s="320"/>
      <c r="BE42" s="320"/>
      <c r="BF42" s="320"/>
      <c r="BG42" s="320"/>
      <c r="BH42" s="320"/>
      <c r="BI42" s="321">
        <f t="shared" si="51"/>
        <v>0</v>
      </c>
      <c r="BJ42" s="323"/>
      <c r="BK42" s="318">
        <f t="shared" si="52"/>
        <v>0</v>
      </c>
      <c r="BL42" s="318">
        <f t="shared" si="53"/>
        <v>0</v>
      </c>
      <c r="BM42" s="320"/>
      <c r="BN42" s="320"/>
      <c r="BO42" s="320"/>
      <c r="BP42" s="320"/>
      <c r="BQ42" s="320"/>
      <c r="BR42" s="320"/>
      <c r="BS42" s="321">
        <f t="shared" si="54"/>
        <v>0</v>
      </c>
      <c r="BT42" s="207"/>
      <c r="BU42" s="318">
        <f t="shared" si="57"/>
        <v>0</v>
      </c>
      <c r="BV42" s="318">
        <f t="shared" si="55"/>
        <v>0</v>
      </c>
      <c r="BW42" s="208"/>
      <c r="BX42" s="208"/>
      <c r="BY42" s="208"/>
      <c r="BZ42" s="208"/>
      <c r="CA42" s="208"/>
      <c r="CB42" s="208"/>
      <c r="CC42" s="367">
        <f t="shared" si="56"/>
        <v>0</v>
      </c>
    </row>
    <row r="43" spans="1:81" s="316" customFormat="1" ht="15.95" customHeight="1">
      <c r="A43" s="327" t="s">
        <v>153</v>
      </c>
      <c r="B43" s="317"/>
      <c r="C43" s="318"/>
      <c r="D43" s="318"/>
      <c r="E43" s="320"/>
      <c r="F43" s="320"/>
      <c r="G43" s="320"/>
      <c r="H43" s="320"/>
      <c r="I43" s="320"/>
      <c r="J43" s="320"/>
      <c r="K43" s="321"/>
      <c r="L43" s="317"/>
      <c r="M43" s="318"/>
      <c r="N43" s="318"/>
      <c r="O43" s="320"/>
      <c r="P43" s="320"/>
      <c r="Q43" s="320"/>
      <c r="R43" s="320"/>
      <c r="S43" s="320"/>
      <c r="T43" s="320"/>
      <c r="U43" s="321"/>
      <c r="V43" s="317"/>
      <c r="W43" s="318"/>
      <c r="X43" s="318"/>
      <c r="Y43" s="320"/>
      <c r="Z43" s="320"/>
      <c r="AA43" s="320"/>
      <c r="AB43" s="320"/>
      <c r="AC43" s="320"/>
      <c r="AD43" s="320"/>
      <c r="AE43" s="321"/>
      <c r="AF43" s="317"/>
      <c r="AG43" s="318"/>
      <c r="AH43" s="318"/>
      <c r="AI43" s="320"/>
      <c r="AJ43" s="320"/>
      <c r="AK43" s="320"/>
      <c r="AL43" s="320"/>
      <c r="AM43" s="320"/>
      <c r="AN43" s="320"/>
      <c r="AO43" s="321"/>
      <c r="AP43" s="317"/>
      <c r="AQ43" s="318"/>
      <c r="AR43" s="318"/>
      <c r="AS43" s="320"/>
      <c r="AT43" s="320"/>
      <c r="AU43" s="320"/>
      <c r="AV43" s="320"/>
      <c r="AW43" s="320"/>
      <c r="AX43" s="320"/>
      <c r="AY43" s="321"/>
      <c r="AZ43" s="317"/>
      <c r="BA43" s="318"/>
      <c r="BB43" s="318"/>
      <c r="BC43" s="320"/>
      <c r="BD43" s="320"/>
      <c r="BE43" s="320"/>
      <c r="BF43" s="320"/>
      <c r="BG43" s="320"/>
      <c r="BH43" s="320"/>
      <c r="BI43" s="321"/>
      <c r="BJ43" s="317"/>
      <c r="BK43" s="318"/>
      <c r="BL43" s="318"/>
      <c r="BM43" s="320"/>
      <c r="BN43" s="320"/>
      <c r="BO43" s="320"/>
      <c r="BP43" s="320"/>
      <c r="BQ43" s="320"/>
      <c r="BR43" s="320"/>
      <c r="BS43" s="321"/>
      <c r="BT43" s="317"/>
      <c r="BU43" s="318"/>
      <c r="BV43" s="318"/>
      <c r="BW43" s="320"/>
      <c r="BX43" s="320"/>
      <c r="BY43" s="320"/>
      <c r="BZ43" s="320"/>
      <c r="CA43" s="320"/>
      <c r="CB43" s="320"/>
      <c r="CC43" s="321"/>
    </row>
    <row r="44" spans="1:81" s="316" customFormat="1" ht="15.95" customHeight="1">
      <c r="A44" s="328" t="s">
        <v>162</v>
      </c>
      <c r="B44" s="329">
        <f>SUM(B$31:B43)</f>
        <v>189</v>
      </c>
      <c r="C44" s="318">
        <f>SUM(C$31:C43)</f>
        <v>205388.5</v>
      </c>
      <c r="D44" s="318">
        <f>IFERROR(C44/B44,0)</f>
        <v>1086.7116402116403</v>
      </c>
      <c r="E44" s="330">
        <f>SUM(E$31:E43)</f>
        <v>174401.5</v>
      </c>
      <c r="F44" s="330">
        <f>SUM(F$31:F43)</f>
        <v>0</v>
      </c>
      <c r="G44" s="330">
        <f>SUM(G$31:G43)</f>
        <v>0</v>
      </c>
      <c r="H44" s="330">
        <f>SUM(H$31:H43)</f>
        <v>0</v>
      </c>
      <c r="I44" s="330">
        <f>SUM(I$31:I43)</f>
        <v>30987</v>
      </c>
      <c r="J44" s="330">
        <f>SUM(J$31:J43)</f>
        <v>203138.5</v>
      </c>
      <c r="K44" s="321">
        <f>SUM(K$31:K43)</f>
        <v>174401.5</v>
      </c>
      <c r="L44" s="329">
        <f>SUM(L$31:L43)</f>
        <v>192</v>
      </c>
      <c r="M44" s="318">
        <f>SUM(M$31:M43)</f>
        <v>223841.5</v>
      </c>
      <c r="N44" s="318">
        <f>IFERROR(M44/L44,0)</f>
        <v>1165.8411458333333</v>
      </c>
      <c r="O44" s="330">
        <f>SUM(O$31:O43)</f>
        <v>200426.5</v>
      </c>
      <c r="P44" s="330">
        <f>SUM(P$31:P43)</f>
        <v>0</v>
      </c>
      <c r="Q44" s="330">
        <f>SUM(Q$31:Q43)</f>
        <v>0</v>
      </c>
      <c r="R44" s="330">
        <f>SUM(R$31:R43)</f>
        <v>0</v>
      </c>
      <c r="S44" s="330">
        <f>SUM(S$31:S43)</f>
        <v>23415</v>
      </c>
      <c r="T44" s="330">
        <f>SUM(T$31:T43)</f>
        <v>221321.5</v>
      </c>
      <c r="U44" s="321">
        <f>SUM(U$31:U43)</f>
        <v>200426.5</v>
      </c>
      <c r="V44" s="329">
        <f>SUM(V$31:V43)</f>
        <v>168</v>
      </c>
      <c r="W44" s="318">
        <f>SUM(W$31:W43)</f>
        <v>200591</v>
      </c>
      <c r="X44" s="318">
        <f>IFERROR(W44/V44,0)</f>
        <v>1193.9940476190477</v>
      </c>
      <c r="Y44" s="330">
        <f>SUM(Y$31:Y43)</f>
        <v>184689</v>
      </c>
      <c r="Z44" s="330">
        <f>SUM(Z$31:Z43)</f>
        <v>0</v>
      </c>
      <c r="AA44" s="330">
        <f>SUM(AA$31:AA43)</f>
        <v>0</v>
      </c>
      <c r="AB44" s="330">
        <f>SUM(AB$31:AB43)</f>
        <v>0</v>
      </c>
      <c r="AC44" s="330">
        <f>SUM(AC$31:AC43)</f>
        <v>15902</v>
      </c>
      <c r="AD44" s="330">
        <f>SUM(AD$31:AD43)</f>
        <v>198799</v>
      </c>
      <c r="AE44" s="321">
        <f>SUM(AE$31:AE43)</f>
        <v>184689</v>
      </c>
      <c r="AF44" s="329">
        <f>SUM(AF$31:AF43)</f>
        <v>156</v>
      </c>
      <c r="AG44" s="318">
        <f>SUM(AG$31:AG43)</f>
        <v>173160</v>
      </c>
      <c r="AH44" s="318">
        <f>IFERROR(AG44/AF44,0)</f>
        <v>1110</v>
      </c>
      <c r="AI44" s="330">
        <f>SUM(AI$31:AI43)</f>
        <v>149175</v>
      </c>
      <c r="AJ44" s="330">
        <f>SUM(AJ$31:AJ43)</f>
        <v>0</v>
      </c>
      <c r="AK44" s="330">
        <f>SUM(AK$31:AK43)</f>
        <v>0</v>
      </c>
      <c r="AL44" s="330">
        <f>SUM(AL$31:AL43)</f>
        <v>0</v>
      </c>
      <c r="AM44" s="330">
        <f>SUM(AM$31:AM43)</f>
        <v>23985</v>
      </c>
      <c r="AN44" s="330">
        <f>SUM(AN$31:AN43)</f>
        <v>172585</v>
      </c>
      <c r="AO44" s="321">
        <f>SUM(AO$31:AO43)</f>
        <v>149175</v>
      </c>
      <c r="AP44" s="329">
        <f>SUM(AP$31:AP43)</f>
        <v>139</v>
      </c>
      <c r="AQ44" s="318">
        <f>SUM(AQ$31:AQ43)</f>
        <v>144699.25</v>
      </c>
      <c r="AR44" s="318">
        <f>IFERROR(AQ44/AP44,0)</f>
        <v>1041.0017985611512</v>
      </c>
      <c r="AS44" s="330">
        <f>SUM(AS$31:AS43)</f>
        <v>120881.75</v>
      </c>
      <c r="AT44" s="330">
        <f>SUM(AT$31:AT43)</f>
        <v>0</v>
      </c>
      <c r="AU44" s="330">
        <f>SUM(AU$31:AU43)</f>
        <v>0</v>
      </c>
      <c r="AV44" s="330">
        <f>SUM(AV$31:AV43)</f>
        <v>0</v>
      </c>
      <c r="AW44" s="330">
        <f>SUM(AW$31:AW43)</f>
        <v>23817.5</v>
      </c>
      <c r="AX44" s="330">
        <f>SUM(AX$31:AX43)</f>
        <v>143324.25</v>
      </c>
      <c r="AY44" s="321">
        <f>SUM(AY$31:AY43)</f>
        <v>120881.75</v>
      </c>
      <c r="AZ44" s="329">
        <f>SUM(AZ$31:AZ43)</f>
        <v>119</v>
      </c>
      <c r="BA44" s="318">
        <f>SUM(BA$31:BA43)</f>
        <v>132249.5</v>
      </c>
      <c r="BB44" s="318">
        <f>IFERROR(BA44/AZ44,0)</f>
        <v>1111.3403361344538</v>
      </c>
      <c r="BC44" s="330">
        <f>SUM(BC$31:BC43)</f>
        <v>118902.5</v>
      </c>
      <c r="BD44" s="330">
        <f>SUM(BD$31:BD43)</f>
        <v>0</v>
      </c>
      <c r="BE44" s="330">
        <f>SUM(BE$31:BE43)</f>
        <v>0</v>
      </c>
      <c r="BF44" s="330">
        <f>SUM(BF$31:BF43)</f>
        <v>0</v>
      </c>
      <c r="BG44" s="330">
        <f>SUM(BG$31:BG43)</f>
        <v>13347</v>
      </c>
      <c r="BH44" s="330">
        <f>SUM(BH$31:BH43)</f>
        <v>131248.5</v>
      </c>
      <c r="BI44" s="321">
        <f>SUM(BI$31:BI43)</f>
        <v>118902.5</v>
      </c>
      <c r="BJ44" s="329">
        <f>SUM(BJ$31:BJ43)</f>
        <v>160</v>
      </c>
      <c r="BK44" s="318">
        <f>SUM(BK$31:BK43)</f>
        <v>332826.75</v>
      </c>
      <c r="BL44" s="318">
        <f>IFERROR(BK44/BJ44,0)</f>
        <v>2080.1671875000002</v>
      </c>
      <c r="BM44" s="330">
        <f>SUM(BM$31:BM43)</f>
        <v>106379.75</v>
      </c>
      <c r="BN44" s="330">
        <f>SUM(BN$31:BN43)</f>
        <v>0</v>
      </c>
      <c r="BO44" s="330">
        <f>SUM(BO$31:BO43)</f>
        <v>214274</v>
      </c>
      <c r="BP44" s="330">
        <f>SUM(BP$31:BP43)</f>
        <v>0</v>
      </c>
      <c r="BQ44" s="330">
        <f>SUM(BQ$31:BQ43)</f>
        <v>12173</v>
      </c>
      <c r="BR44" s="330">
        <f>SUM(BR$31:BR43)</f>
        <v>331926.75</v>
      </c>
      <c r="BS44" s="321">
        <f>SUM(BS$31:BS43)</f>
        <v>106379.75</v>
      </c>
      <c r="BT44" s="329">
        <f>SUM(BT$31:BT43)</f>
        <v>172</v>
      </c>
      <c r="BU44" s="318">
        <f>SUM(BU$31:BU43)</f>
        <v>498859</v>
      </c>
      <c r="BV44" s="318">
        <f>IFERROR(BU44/BT44,0)</f>
        <v>2900.3430232558139</v>
      </c>
      <c r="BW44" s="330">
        <f>SUM(BW$31:BW43)</f>
        <v>93900</v>
      </c>
      <c r="BX44" s="330">
        <f>SUM(BX$31:BX43)</f>
        <v>0</v>
      </c>
      <c r="BY44" s="330">
        <f>SUM(BY$31:BY43)</f>
        <v>390504</v>
      </c>
      <c r="BZ44" s="330">
        <f>SUM(BZ$31:BZ43)</f>
        <v>0</v>
      </c>
      <c r="CA44" s="330">
        <f>SUM(CA$31:CA43)</f>
        <v>14455</v>
      </c>
      <c r="CB44" s="330">
        <f>SUM(CB$31:CB43)</f>
        <v>497459</v>
      </c>
      <c r="CC44" s="321">
        <f>SUM(CC$31:CC43)</f>
        <v>93900</v>
      </c>
    </row>
    <row r="45" spans="1:81" s="316" customFormat="1" ht="15.95" customHeight="1">
      <c r="A45" s="322"/>
      <c r="B45" s="317"/>
      <c r="C45" s="318"/>
      <c r="D45" s="318"/>
      <c r="E45" s="320"/>
      <c r="F45" s="320"/>
      <c r="G45" s="320"/>
      <c r="H45" s="320"/>
      <c r="I45" s="320"/>
      <c r="J45" s="320"/>
      <c r="K45" s="321"/>
      <c r="L45" s="317"/>
      <c r="M45" s="318"/>
      <c r="N45" s="318"/>
      <c r="O45" s="320"/>
      <c r="P45" s="320"/>
      <c r="Q45" s="320"/>
      <c r="R45" s="320"/>
      <c r="S45" s="320"/>
      <c r="T45" s="320"/>
      <c r="U45" s="321"/>
      <c r="V45" s="317"/>
      <c r="W45" s="318"/>
      <c r="X45" s="318"/>
      <c r="Y45" s="320"/>
      <c r="Z45" s="320"/>
      <c r="AA45" s="320"/>
      <c r="AB45" s="320"/>
      <c r="AC45" s="320"/>
      <c r="AD45" s="320"/>
      <c r="AE45" s="321"/>
      <c r="AF45" s="317"/>
      <c r="AG45" s="318"/>
      <c r="AH45" s="318"/>
      <c r="AI45" s="320"/>
      <c r="AJ45" s="320"/>
      <c r="AK45" s="320"/>
      <c r="AL45" s="320"/>
      <c r="AM45" s="320"/>
      <c r="AN45" s="320"/>
      <c r="AO45" s="321"/>
      <c r="AP45" s="317"/>
      <c r="AQ45" s="318"/>
      <c r="AR45" s="318"/>
      <c r="AS45" s="320"/>
      <c r="AT45" s="320"/>
      <c r="AU45" s="320"/>
      <c r="AV45" s="320"/>
      <c r="AW45" s="320"/>
      <c r="AX45" s="320"/>
      <c r="AY45" s="321"/>
      <c r="AZ45" s="317"/>
      <c r="BA45" s="318"/>
      <c r="BB45" s="318"/>
      <c r="BC45" s="320"/>
      <c r="BD45" s="320"/>
      <c r="BE45" s="320"/>
      <c r="BF45" s="320"/>
      <c r="BG45" s="320"/>
      <c r="BH45" s="320"/>
      <c r="BI45" s="321"/>
      <c r="BJ45" s="317"/>
      <c r="BK45" s="318"/>
      <c r="BL45" s="318"/>
      <c r="BM45" s="320"/>
      <c r="BN45" s="320"/>
      <c r="BO45" s="320"/>
      <c r="BP45" s="320"/>
      <c r="BQ45" s="320"/>
      <c r="BR45" s="320"/>
      <c r="BS45" s="321"/>
      <c r="BT45" s="317"/>
      <c r="BU45" s="318"/>
      <c r="BV45" s="318"/>
      <c r="BW45" s="320"/>
      <c r="BX45" s="320"/>
      <c r="BY45" s="320"/>
      <c r="BZ45" s="320"/>
      <c r="CA45" s="320"/>
      <c r="CB45" s="320"/>
      <c r="CC45" s="321"/>
    </row>
    <row r="46" spans="1:81" s="316" customFormat="1" ht="15.95" customHeight="1">
      <c r="A46" s="324" t="s">
        <v>163</v>
      </c>
      <c r="B46" s="317"/>
      <c r="C46" s="318"/>
      <c r="D46" s="318"/>
      <c r="E46" s="320"/>
      <c r="F46" s="320"/>
      <c r="G46" s="320"/>
      <c r="H46" s="320"/>
      <c r="I46" s="320"/>
      <c r="J46" s="320"/>
      <c r="K46" s="321"/>
      <c r="L46" s="317"/>
      <c r="M46" s="318"/>
      <c r="N46" s="318"/>
      <c r="O46" s="320"/>
      <c r="P46" s="320"/>
      <c r="Q46" s="320"/>
      <c r="R46" s="320"/>
      <c r="S46" s="320"/>
      <c r="T46" s="320"/>
      <c r="U46" s="321"/>
      <c r="V46" s="317"/>
      <c r="W46" s="318"/>
      <c r="X46" s="318"/>
      <c r="Y46" s="320"/>
      <c r="Z46" s="320"/>
      <c r="AA46" s="320"/>
      <c r="AB46" s="320"/>
      <c r="AC46" s="320"/>
      <c r="AD46" s="320"/>
      <c r="AE46" s="321"/>
      <c r="AF46" s="317"/>
      <c r="AG46" s="318"/>
      <c r="AH46" s="318"/>
      <c r="AI46" s="320"/>
      <c r="AJ46" s="320"/>
      <c r="AK46" s="320"/>
      <c r="AL46" s="320"/>
      <c r="AM46" s="320"/>
      <c r="AN46" s="320"/>
      <c r="AO46" s="321"/>
      <c r="AP46" s="317"/>
      <c r="AQ46" s="318"/>
      <c r="AR46" s="318"/>
      <c r="AS46" s="320"/>
      <c r="AT46" s="320"/>
      <c r="AU46" s="320"/>
      <c r="AV46" s="320"/>
      <c r="AW46" s="320"/>
      <c r="AX46" s="320"/>
      <c r="AY46" s="321"/>
      <c r="AZ46" s="317"/>
      <c r="BA46" s="318"/>
      <c r="BB46" s="318"/>
      <c r="BC46" s="320"/>
      <c r="BD46" s="320"/>
      <c r="BE46" s="320"/>
      <c r="BF46" s="320"/>
      <c r="BG46" s="320"/>
      <c r="BH46" s="320"/>
      <c r="BI46" s="321"/>
      <c r="BJ46" s="317"/>
      <c r="BK46" s="318"/>
      <c r="BL46" s="318"/>
      <c r="BM46" s="320"/>
      <c r="BN46" s="320"/>
      <c r="BO46" s="320"/>
      <c r="BP46" s="320"/>
      <c r="BQ46" s="320"/>
      <c r="BR46" s="320"/>
      <c r="BS46" s="321"/>
      <c r="BT46" s="317"/>
      <c r="BU46" s="318"/>
      <c r="BV46" s="318"/>
      <c r="BW46" s="320"/>
      <c r="BX46" s="320"/>
      <c r="BY46" s="320"/>
      <c r="BZ46" s="320"/>
      <c r="CA46" s="320"/>
      <c r="CB46" s="320"/>
      <c r="CC46" s="321"/>
    </row>
    <row r="47" spans="1:81" s="316" customFormat="1" ht="15.95" customHeight="1">
      <c r="A47" s="325" t="s">
        <v>164</v>
      </c>
      <c r="B47" s="317"/>
      <c r="C47" s="318">
        <f t="shared" ref="C47:C62" si="70">SUM(E47:I47)</f>
        <v>0</v>
      </c>
      <c r="D47" s="318">
        <f t="shared" ref="D47:D62" si="71">IFERROR(C47/B47,0)</f>
        <v>0</v>
      </c>
      <c r="E47" s="320"/>
      <c r="F47" s="320"/>
      <c r="G47" s="320"/>
      <c r="H47" s="320"/>
      <c r="I47" s="320"/>
      <c r="J47" s="320"/>
      <c r="K47" s="321">
        <f t="shared" ref="K47:K62" si="72">IF(J47=0,0,(IF(E47&lt;=J47,E47,J47)))</f>
        <v>0</v>
      </c>
      <c r="L47" s="317">
        <v>2</v>
      </c>
      <c r="M47" s="318">
        <f t="shared" ref="M47:M62" si="73">SUM(O47:S47)</f>
        <v>513</v>
      </c>
      <c r="N47" s="318">
        <f t="shared" ref="N47:N62" si="74">IFERROR(M47/L47,0)</f>
        <v>256.5</v>
      </c>
      <c r="O47" s="320">
        <v>513</v>
      </c>
      <c r="P47" s="320"/>
      <c r="Q47" s="320"/>
      <c r="R47" s="320"/>
      <c r="S47" s="320"/>
      <c r="T47" s="320">
        <v>513</v>
      </c>
      <c r="U47" s="321">
        <f t="shared" ref="U47:U62" si="75">IF(T47=0,0,(IF(O47&lt;=T47,O47,T47)))</f>
        <v>513</v>
      </c>
      <c r="V47" s="317">
        <v>0</v>
      </c>
      <c r="W47" s="318">
        <f t="shared" ref="W47:W62" si="76">SUM(Y47:AC47)</f>
        <v>0</v>
      </c>
      <c r="X47" s="318">
        <f t="shared" ref="X47:X62" si="77">IFERROR(W47/V47,0)</f>
        <v>0</v>
      </c>
      <c r="Y47" s="320"/>
      <c r="Z47" s="320"/>
      <c r="AA47" s="320"/>
      <c r="AB47" s="320"/>
      <c r="AC47" s="320"/>
      <c r="AD47" s="320">
        <v>0</v>
      </c>
      <c r="AE47" s="321">
        <f t="shared" ref="AE47:AE62" si="78">IF(AD47=0,0,(IF(Y47&lt;=AD47,Y47,AD47)))</f>
        <v>0</v>
      </c>
      <c r="AF47" s="317">
        <v>0</v>
      </c>
      <c r="AG47" s="318">
        <f t="shared" ref="AG47:AG59" si="79">SUM(AI47:AM47)</f>
        <v>0</v>
      </c>
      <c r="AH47" s="318">
        <f t="shared" ref="AH47:AH62" si="80">IFERROR(AG47/AF47,0)</f>
        <v>0</v>
      </c>
      <c r="AI47" s="320"/>
      <c r="AJ47" s="320"/>
      <c r="AK47" s="320">
        <v>0</v>
      </c>
      <c r="AL47" s="320"/>
      <c r="AM47" s="320"/>
      <c r="AN47" s="320">
        <v>0</v>
      </c>
      <c r="AO47" s="321">
        <f t="shared" ref="AO47:AO62" si="81">IF(AN47=0,0,(IF(AI47&lt;=AN47,AI47,AN47)))</f>
        <v>0</v>
      </c>
      <c r="AP47" s="317">
        <v>2</v>
      </c>
      <c r="AQ47" s="318">
        <f t="shared" ref="AQ47:AQ51" si="82">SUM(AS47:AW47)</f>
        <v>475.2</v>
      </c>
      <c r="AR47" s="318">
        <f t="shared" ref="AR47:AR59" si="83">IFERROR(AQ47/AP47,0)</f>
        <v>237.6</v>
      </c>
      <c r="AS47" s="320">
        <v>475.2</v>
      </c>
      <c r="AT47" s="320"/>
      <c r="AU47" s="320"/>
      <c r="AV47" s="320"/>
      <c r="AW47" s="320"/>
      <c r="AX47" s="320">
        <v>475.2</v>
      </c>
      <c r="AY47" s="321">
        <f t="shared" ref="AY47:AY62" si="84">IF(AX47=0,0,(IF(AS47&lt;=AX47,AS47,AX47)))</f>
        <v>475.2</v>
      </c>
      <c r="AZ47" s="317">
        <v>2</v>
      </c>
      <c r="BA47" s="318">
        <f t="shared" ref="BA47:BA51" si="85">SUM(BC47:BG47)</f>
        <v>693</v>
      </c>
      <c r="BB47" s="318">
        <f t="shared" ref="BB47:BB59" si="86">IFERROR(BA47/AZ47,0)</f>
        <v>346.5</v>
      </c>
      <c r="BC47" s="320">
        <v>693</v>
      </c>
      <c r="BD47" s="320"/>
      <c r="BE47" s="320"/>
      <c r="BF47" s="320"/>
      <c r="BG47" s="320"/>
      <c r="BH47" s="320">
        <v>693</v>
      </c>
      <c r="BI47" s="321">
        <f t="shared" ref="BI47:BI62" si="87">IF(BH47=0,0,(IF(BC47&lt;=BH47,BC47,BH47)))</f>
        <v>693</v>
      </c>
      <c r="BJ47" s="323">
        <v>0</v>
      </c>
      <c r="BK47" s="318">
        <f t="shared" ref="BK47:BK62" si="88">SUM(BM47:BQ47)</f>
        <v>0</v>
      </c>
      <c r="BL47" s="318">
        <f t="shared" ref="BL47:BL62" si="89">IFERROR(BK47/BJ47,0)</f>
        <v>0</v>
      </c>
      <c r="BM47" s="320">
        <v>0</v>
      </c>
      <c r="BN47" s="320"/>
      <c r="BO47" s="320"/>
      <c r="BP47" s="320"/>
      <c r="BQ47" s="320"/>
      <c r="BR47" s="320">
        <v>0</v>
      </c>
      <c r="BS47" s="321">
        <f t="shared" ref="BS47:BS62" si="90">IF(BR47=0,0,(IF(BM47&lt;=BR47,BM47,BR47)))</f>
        <v>0</v>
      </c>
      <c r="BT47" s="207">
        <v>0</v>
      </c>
      <c r="BU47" s="318">
        <f t="shared" ref="BU47:BU62" si="91">SUM(BW47:CA47)</f>
        <v>0</v>
      </c>
      <c r="BV47" s="318">
        <f t="shared" ref="BV47:BV62" si="92">IFERROR(BU47/BT47,0)</f>
        <v>0</v>
      </c>
      <c r="BW47" s="208">
        <v>0</v>
      </c>
      <c r="BX47" s="208"/>
      <c r="BY47" s="208"/>
      <c r="BZ47" s="208"/>
      <c r="CA47" s="208"/>
      <c r="CB47" s="208">
        <v>0</v>
      </c>
      <c r="CC47" s="367">
        <f t="shared" ref="CC47:CC62" si="93">IF(CB47=0,0,(IF(BW47&lt;=CB47,BW47,CB47)))</f>
        <v>0</v>
      </c>
    </row>
    <row r="48" spans="1:81" s="316" customFormat="1" ht="15.95" customHeight="1">
      <c r="A48" s="325" t="s">
        <v>165</v>
      </c>
      <c r="B48" s="317"/>
      <c r="C48" s="318">
        <f t="shared" si="70"/>
        <v>0</v>
      </c>
      <c r="D48" s="318">
        <f t="shared" si="71"/>
        <v>0</v>
      </c>
      <c r="E48" s="320"/>
      <c r="F48" s="320"/>
      <c r="G48" s="320"/>
      <c r="H48" s="320"/>
      <c r="I48" s="320"/>
      <c r="J48" s="320"/>
      <c r="K48" s="321">
        <f t="shared" si="72"/>
        <v>0</v>
      </c>
      <c r="L48" s="317">
        <v>24</v>
      </c>
      <c r="M48" s="318">
        <f t="shared" si="73"/>
        <v>14733</v>
      </c>
      <c r="N48" s="318">
        <f t="shared" si="74"/>
        <v>613.875</v>
      </c>
      <c r="O48" s="320"/>
      <c r="P48" s="320"/>
      <c r="Q48" s="320"/>
      <c r="R48" s="320">
        <v>14733</v>
      </c>
      <c r="S48" s="320"/>
      <c r="T48" s="320">
        <v>14733</v>
      </c>
      <c r="U48" s="321">
        <f t="shared" si="75"/>
        <v>0</v>
      </c>
      <c r="V48" s="317">
        <v>46</v>
      </c>
      <c r="W48" s="318">
        <f t="shared" si="76"/>
        <v>34471</v>
      </c>
      <c r="X48" s="318">
        <f t="shared" si="77"/>
        <v>749.36956521739125</v>
      </c>
      <c r="Y48" s="320"/>
      <c r="Z48" s="320"/>
      <c r="AA48" s="320"/>
      <c r="AB48" s="320">
        <v>34471</v>
      </c>
      <c r="AC48" s="320"/>
      <c r="AD48" s="320">
        <v>34047</v>
      </c>
      <c r="AE48" s="321">
        <f t="shared" si="78"/>
        <v>0</v>
      </c>
      <c r="AF48" s="317">
        <v>58</v>
      </c>
      <c r="AG48" s="318">
        <f t="shared" si="79"/>
        <v>42570.5</v>
      </c>
      <c r="AH48" s="318">
        <f t="shared" si="80"/>
        <v>733.97413793103453</v>
      </c>
      <c r="AI48" s="320"/>
      <c r="AJ48" s="320"/>
      <c r="AK48" s="320"/>
      <c r="AL48" s="320">
        <v>42570.5</v>
      </c>
      <c r="AM48" s="320"/>
      <c r="AN48" s="320">
        <v>41823.5</v>
      </c>
      <c r="AO48" s="321">
        <f t="shared" si="81"/>
        <v>0</v>
      </c>
      <c r="AP48" s="317">
        <v>77</v>
      </c>
      <c r="AQ48" s="318">
        <f t="shared" si="82"/>
        <v>48584.5</v>
      </c>
      <c r="AR48" s="318">
        <f t="shared" si="83"/>
        <v>630.96753246753246</v>
      </c>
      <c r="AS48" s="320"/>
      <c r="AT48" s="320"/>
      <c r="AU48" s="320"/>
      <c r="AV48" s="320">
        <v>48584.5</v>
      </c>
      <c r="AW48" s="320"/>
      <c r="AX48" s="320">
        <v>47322</v>
      </c>
      <c r="AY48" s="321">
        <f t="shared" si="84"/>
        <v>0</v>
      </c>
      <c r="AZ48" s="317">
        <v>86</v>
      </c>
      <c r="BA48" s="318">
        <f t="shared" si="85"/>
        <v>50442.7</v>
      </c>
      <c r="BB48" s="318">
        <f t="shared" si="86"/>
        <v>586.54302325581386</v>
      </c>
      <c r="BC48" s="320"/>
      <c r="BD48" s="320"/>
      <c r="BE48" s="320"/>
      <c r="BF48" s="320">
        <v>50442.7</v>
      </c>
      <c r="BG48" s="320"/>
      <c r="BH48" s="320">
        <v>48495.199999999997</v>
      </c>
      <c r="BI48" s="321">
        <f t="shared" si="87"/>
        <v>0</v>
      </c>
      <c r="BJ48" s="323">
        <v>99</v>
      </c>
      <c r="BK48" s="318">
        <f t="shared" si="88"/>
        <v>49410.03</v>
      </c>
      <c r="BL48" s="318">
        <f t="shared" si="89"/>
        <v>499.0912121212121</v>
      </c>
      <c r="BM48" s="320"/>
      <c r="BN48" s="320"/>
      <c r="BO48" s="320"/>
      <c r="BP48" s="320">
        <v>49410.03</v>
      </c>
      <c r="BQ48" s="320"/>
      <c r="BR48" s="320">
        <v>47567.03</v>
      </c>
      <c r="BS48" s="321">
        <f t="shared" si="90"/>
        <v>0</v>
      </c>
      <c r="BT48" s="207">
        <v>25</v>
      </c>
      <c r="BU48" s="318">
        <v>8017</v>
      </c>
      <c r="BV48" s="318">
        <f t="shared" si="92"/>
        <v>320.68</v>
      </c>
      <c r="BW48" s="208"/>
      <c r="BX48" s="208"/>
      <c r="BY48" s="208"/>
      <c r="BZ48" s="208">
        <v>8016.5</v>
      </c>
      <c r="CA48" s="208"/>
      <c r="CB48" s="208">
        <v>8016.5</v>
      </c>
      <c r="CC48" s="367">
        <f t="shared" si="93"/>
        <v>0</v>
      </c>
    </row>
    <row r="49" spans="1:81" s="316" customFormat="1" ht="15.95" customHeight="1">
      <c r="A49" s="325" t="s">
        <v>166</v>
      </c>
      <c r="B49" s="317">
        <v>64</v>
      </c>
      <c r="C49" s="318">
        <f t="shared" si="70"/>
        <v>44677.5</v>
      </c>
      <c r="D49" s="318">
        <f t="shared" si="71"/>
        <v>698.0859375</v>
      </c>
      <c r="E49" s="320"/>
      <c r="F49" s="320">
        <v>44677.5</v>
      </c>
      <c r="G49" s="320"/>
      <c r="H49" s="320"/>
      <c r="I49" s="320"/>
      <c r="J49" s="320">
        <v>42285</v>
      </c>
      <c r="K49" s="321">
        <f t="shared" si="72"/>
        <v>0</v>
      </c>
      <c r="L49" s="317">
        <v>74</v>
      </c>
      <c r="M49" s="318">
        <f t="shared" si="73"/>
        <v>50450.5</v>
      </c>
      <c r="N49" s="318">
        <f t="shared" si="74"/>
        <v>681.76351351351354</v>
      </c>
      <c r="O49" s="320">
        <v>0</v>
      </c>
      <c r="P49" s="320">
        <v>50450.5</v>
      </c>
      <c r="Q49" s="320"/>
      <c r="R49" s="320"/>
      <c r="S49" s="320"/>
      <c r="T49" s="320">
        <v>49456.5</v>
      </c>
      <c r="U49" s="321">
        <f t="shared" si="75"/>
        <v>0</v>
      </c>
      <c r="V49" s="317">
        <v>135</v>
      </c>
      <c r="W49" s="318">
        <f t="shared" si="76"/>
        <v>67519</v>
      </c>
      <c r="X49" s="318">
        <f t="shared" si="77"/>
        <v>500.14074074074074</v>
      </c>
      <c r="Y49" s="320"/>
      <c r="Z49" s="320">
        <v>67519</v>
      </c>
      <c r="AA49" s="320"/>
      <c r="AB49" s="320"/>
      <c r="AC49" s="320"/>
      <c r="AD49" s="320">
        <v>67512</v>
      </c>
      <c r="AE49" s="321">
        <f t="shared" si="78"/>
        <v>0</v>
      </c>
      <c r="AF49" s="317">
        <v>102</v>
      </c>
      <c r="AG49" s="318">
        <f t="shared" si="79"/>
        <v>81587.5</v>
      </c>
      <c r="AH49" s="318">
        <f t="shared" si="80"/>
        <v>799.87745098039215</v>
      </c>
      <c r="AI49" s="320"/>
      <c r="AJ49" s="320">
        <v>81587.5</v>
      </c>
      <c r="AK49" s="320"/>
      <c r="AL49" s="320"/>
      <c r="AM49" s="320"/>
      <c r="AN49" s="320">
        <v>81587.5</v>
      </c>
      <c r="AO49" s="321">
        <f t="shared" si="81"/>
        <v>0</v>
      </c>
      <c r="AP49" s="317">
        <v>103</v>
      </c>
      <c r="AQ49" s="318">
        <f t="shared" si="82"/>
        <v>90272.5</v>
      </c>
      <c r="AR49" s="318">
        <f t="shared" si="83"/>
        <v>876.43203883495141</v>
      </c>
      <c r="AS49" s="320"/>
      <c r="AT49" s="320">
        <v>90272.5</v>
      </c>
      <c r="AU49" s="320"/>
      <c r="AV49" s="320"/>
      <c r="AW49" s="320"/>
      <c r="AX49" s="320">
        <v>87561.5</v>
      </c>
      <c r="AY49" s="321">
        <f t="shared" si="84"/>
        <v>0</v>
      </c>
      <c r="AZ49" s="317">
        <v>64</v>
      </c>
      <c r="BA49" s="318">
        <f t="shared" si="85"/>
        <v>62120.5</v>
      </c>
      <c r="BB49" s="318">
        <f t="shared" si="86"/>
        <v>970.6328125</v>
      </c>
      <c r="BC49" s="320"/>
      <c r="BD49" s="320">
        <v>62120.5</v>
      </c>
      <c r="BE49" s="320"/>
      <c r="BF49" s="320"/>
      <c r="BG49" s="320"/>
      <c r="BH49" s="320">
        <v>61680.5</v>
      </c>
      <c r="BI49" s="321">
        <f t="shared" si="87"/>
        <v>0</v>
      </c>
      <c r="BJ49" s="323">
        <v>100</v>
      </c>
      <c r="BK49" s="318">
        <f>SUM(BN49:BQ49)</f>
        <v>82731.25</v>
      </c>
      <c r="BL49" s="318">
        <f t="shared" si="89"/>
        <v>827.3125</v>
      </c>
      <c r="BN49" s="320">
        <v>82731.25</v>
      </c>
      <c r="BO49" s="320"/>
      <c r="BP49" s="320"/>
      <c r="BQ49" s="320"/>
      <c r="BR49" s="320">
        <v>80822.25</v>
      </c>
      <c r="BS49" s="321">
        <f>IF(BR49=0,0,(IF(BN49&lt;=BR49,BN49,BR49)))</f>
        <v>80822.25</v>
      </c>
      <c r="BT49" s="207">
        <v>77</v>
      </c>
      <c r="BU49" s="318">
        <v>68359</v>
      </c>
      <c r="BV49" s="318">
        <f t="shared" si="92"/>
        <v>887.77922077922074</v>
      </c>
      <c r="BX49" s="208">
        <v>68358.5</v>
      </c>
      <c r="BY49" s="208"/>
      <c r="BZ49" s="208"/>
      <c r="CA49" s="208"/>
      <c r="CB49" s="208">
        <v>68358.5</v>
      </c>
      <c r="CC49" s="367">
        <f>IF(CB49=0,0,(IF(BX49&lt;=CB49,BX49,CB49)))</f>
        <v>68358.5</v>
      </c>
    </row>
    <row r="50" spans="1:81" s="316" customFormat="1" ht="15.95" customHeight="1">
      <c r="A50" s="325" t="s">
        <v>167</v>
      </c>
      <c r="B50" s="317">
        <v>17</v>
      </c>
      <c r="C50" s="318">
        <f t="shared" si="70"/>
        <v>34171</v>
      </c>
      <c r="D50" s="318">
        <f t="shared" si="71"/>
        <v>2010.0588235294117</v>
      </c>
      <c r="E50" s="320"/>
      <c r="F50" s="320"/>
      <c r="G50" s="320"/>
      <c r="H50" s="320">
        <v>34171</v>
      </c>
      <c r="I50" s="320"/>
      <c r="J50" s="320">
        <v>30671</v>
      </c>
      <c r="K50" s="321">
        <f t="shared" si="72"/>
        <v>0</v>
      </c>
      <c r="L50" s="317">
        <v>11</v>
      </c>
      <c r="M50" s="318">
        <f t="shared" si="73"/>
        <v>12947.94</v>
      </c>
      <c r="N50" s="318">
        <f t="shared" si="74"/>
        <v>1177.0854545454547</v>
      </c>
      <c r="O50" s="320"/>
      <c r="P50" s="320"/>
      <c r="Q50" s="320"/>
      <c r="R50" s="320">
        <v>12947.94</v>
      </c>
      <c r="S50" s="320"/>
      <c r="T50" s="320">
        <v>12947.94</v>
      </c>
      <c r="U50" s="321">
        <f t="shared" si="75"/>
        <v>0</v>
      </c>
      <c r="V50" s="317">
        <v>26</v>
      </c>
      <c r="W50" s="318">
        <f t="shared" si="76"/>
        <v>17158</v>
      </c>
      <c r="X50" s="318">
        <f t="shared" si="77"/>
        <v>659.92307692307691</v>
      </c>
      <c r="Y50" s="320"/>
      <c r="Z50" s="320"/>
      <c r="AA50" s="320"/>
      <c r="AB50" s="320">
        <v>17158</v>
      </c>
      <c r="AC50" s="320"/>
      <c r="AD50" s="320">
        <v>14662</v>
      </c>
      <c r="AE50" s="321">
        <f t="shared" si="78"/>
        <v>0</v>
      </c>
      <c r="AF50" s="317">
        <v>31</v>
      </c>
      <c r="AG50" s="318">
        <f t="shared" si="79"/>
        <v>46116.65</v>
      </c>
      <c r="AH50" s="318">
        <f t="shared" si="80"/>
        <v>1487.633870967742</v>
      </c>
      <c r="AI50" s="320"/>
      <c r="AJ50" s="320"/>
      <c r="AK50" s="320"/>
      <c r="AL50" s="320">
        <v>46116.65</v>
      </c>
      <c r="AM50" s="320"/>
      <c r="AN50" s="320">
        <v>38116.65</v>
      </c>
      <c r="AO50" s="321">
        <f t="shared" si="81"/>
        <v>0</v>
      </c>
      <c r="AP50" s="317">
        <v>22</v>
      </c>
      <c r="AQ50" s="318">
        <f t="shared" si="82"/>
        <v>61031.98</v>
      </c>
      <c r="AR50" s="318">
        <f t="shared" si="83"/>
        <v>2774.1809090909092</v>
      </c>
      <c r="AS50" s="320"/>
      <c r="AT50" s="320"/>
      <c r="AU50" s="320"/>
      <c r="AV50" s="320">
        <v>61031.98</v>
      </c>
      <c r="AW50" s="320"/>
      <c r="AX50" s="320">
        <v>53031.98</v>
      </c>
      <c r="AY50" s="321">
        <f t="shared" si="84"/>
        <v>0</v>
      </c>
      <c r="AZ50" s="317">
        <v>21</v>
      </c>
      <c r="BA50" s="318">
        <f t="shared" si="85"/>
        <v>47433.37</v>
      </c>
      <c r="BB50" s="318">
        <f t="shared" si="86"/>
        <v>2258.7319047619048</v>
      </c>
      <c r="BC50" s="320"/>
      <c r="BD50" s="320"/>
      <c r="BE50" s="320"/>
      <c r="BF50" s="320">
        <v>47433.37</v>
      </c>
      <c r="BG50" s="320"/>
      <c r="BH50" s="320">
        <v>39433.370000000003</v>
      </c>
      <c r="BI50" s="321">
        <f t="shared" si="87"/>
        <v>0</v>
      </c>
      <c r="BJ50" s="323">
        <v>13</v>
      </c>
      <c r="BK50" s="318">
        <f>SUM(BN50:BQ50)</f>
        <v>25171.67</v>
      </c>
      <c r="BL50" s="318">
        <f t="shared" si="89"/>
        <v>1936.2823076923075</v>
      </c>
      <c r="BN50" s="320"/>
      <c r="BO50" s="320"/>
      <c r="BP50" s="320">
        <v>25171.67</v>
      </c>
      <c r="BQ50" s="320"/>
      <c r="BR50" s="320">
        <v>25171.67</v>
      </c>
      <c r="BS50" s="321">
        <f>IF(BR50=0,0,(IF(BN50&lt;=BR50,BN50,BR50)))</f>
        <v>0</v>
      </c>
      <c r="BT50" s="207">
        <v>21</v>
      </c>
      <c r="BU50" s="318">
        <v>59953</v>
      </c>
      <c r="BV50" s="318">
        <f t="shared" si="92"/>
        <v>2854.9047619047619</v>
      </c>
      <c r="BX50" s="208"/>
      <c r="BY50" s="208"/>
      <c r="BZ50" s="208">
        <v>59952.5</v>
      </c>
      <c r="CA50" s="208"/>
      <c r="CB50" s="208">
        <v>25672.5</v>
      </c>
      <c r="CC50" s="367">
        <f>IF(CB50=0,0,(IF(BX50&lt;=CB50,BX50,CB50)))</f>
        <v>0</v>
      </c>
    </row>
    <row r="51" spans="1:81" s="316" customFormat="1" ht="15.95" customHeight="1">
      <c r="A51" s="325" t="s">
        <v>168</v>
      </c>
      <c r="B51" s="317">
        <v>39</v>
      </c>
      <c r="C51" s="318">
        <f t="shared" si="70"/>
        <v>39403</v>
      </c>
      <c r="D51" s="318">
        <f t="shared" si="71"/>
        <v>1010.3333333333334</v>
      </c>
      <c r="E51" s="320"/>
      <c r="F51" s="320">
        <v>39403</v>
      </c>
      <c r="G51" s="320"/>
      <c r="H51" s="320"/>
      <c r="I51" s="320"/>
      <c r="J51" s="320">
        <v>39403</v>
      </c>
      <c r="K51" s="321">
        <f t="shared" si="72"/>
        <v>0</v>
      </c>
      <c r="L51" s="317">
        <v>114</v>
      </c>
      <c r="M51" s="318">
        <f t="shared" si="73"/>
        <v>41069.5</v>
      </c>
      <c r="N51" s="318">
        <f t="shared" si="74"/>
        <v>360.25877192982455</v>
      </c>
      <c r="O51" s="320"/>
      <c r="P51" s="320">
        <v>41069.5</v>
      </c>
      <c r="Q51" s="320"/>
      <c r="R51" s="320"/>
      <c r="S51" s="320"/>
      <c r="T51" s="320">
        <v>41069.5</v>
      </c>
      <c r="U51" s="321">
        <f t="shared" si="75"/>
        <v>0</v>
      </c>
      <c r="V51" s="317">
        <v>86</v>
      </c>
      <c r="W51" s="318">
        <f t="shared" si="76"/>
        <v>42971</v>
      </c>
      <c r="X51" s="318">
        <f t="shared" si="77"/>
        <v>499.66279069767444</v>
      </c>
      <c r="Y51" s="320"/>
      <c r="Z51" s="320">
        <v>42971</v>
      </c>
      <c r="AA51" s="320"/>
      <c r="AB51" s="320"/>
      <c r="AC51" s="320"/>
      <c r="AD51" s="320">
        <v>39820</v>
      </c>
      <c r="AE51" s="321">
        <f t="shared" si="78"/>
        <v>0</v>
      </c>
      <c r="AF51" s="317">
        <v>53</v>
      </c>
      <c r="AG51" s="318">
        <f t="shared" si="79"/>
        <v>52674</v>
      </c>
      <c r="AH51" s="318">
        <f t="shared" si="80"/>
        <v>993.84905660377353</v>
      </c>
      <c r="AI51" s="320"/>
      <c r="AJ51" s="320">
        <v>52674</v>
      </c>
      <c r="AK51" s="320"/>
      <c r="AL51" s="320"/>
      <c r="AM51" s="320"/>
      <c r="AN51" s="320">
        <v>49155</v>
      </c>
      <c r="AO51" s="321">
        <f t="shared" si="81"/>
        <v>0</v>
      </c>
      <c r="AP51" s="317">
        <v>57</v>
      </c>
      <c r="AQ51" s="318">
        <f t="shared" si="82"/>
        <v>27199.5</v>
      </c>
      <c r="AR51" s="318">
        <f t="shared" si="83"/>
        <v>477.18421052631578</v>
      </c>
      <c r="AS51" s="320"/>
      <c r="AT51" s="320">
        <v>27199.5</v>
      </c>
      <c r="AU51" s="320"/>
      <c r="AV51" s="320"/>
      <c r="AW51" s="320"/>
      <c r="AX51" s="320">
        <v>25949.5</v>
      </c>
      <c r="AY51" s="321">
        <f t="shared" si="84"/>
        <v>0</v>
      </c>
      <c r="AZ51" s="317">
        <v>40</v>
      </c>
      <c r="BA51" s="318">
        <f t="shared" si="85"/>
        <v>44876</v>
      </c>
      <c r="BB51" s="318">
        <f t="shared" si="86"/>
        <v>1121.9000000000001</v>
      </c>
      <c r="BC51" s="320"/>
      <c r="BD51" s="320">
        <v>44876</v>
      </c>
      <c r="BE51" s="320"/>
      <c r="BF51" s="320"/>
      <c r="BG51" s="320"/>
      <c r="BH51" s="320">
        <v>40726</v>
      </c>
      <c r="BI51" s="321">
        <f t="shared" si="87"/>
        <v>0</v>
      </c>
      <c r="BJ51" s="323">
        <v>57</v>
      </c>
      <c r="BK51" s="318">
        <f>SUM(BN51:BQ51)</f>
        <v>38700</v>
      </c>
      <c r="BL51" s="318">
        <f t="shared" si="89"/>
        <v>678.9473684210526</v>
      </c>
      <c r="BN51" s="320">
        <v>38700</v>
      </c>
      <c r="BO51" s="320"/>
      <c r="BP51" s="320"/>
      <c r="BQ51" s="320"/>
      <c r="BR51" s="320">
        <v>38598</v>
      </c>
      <c r="BS51" s="321">
        <f>IF(BR51=0,0,(IF(BN51&lt;=BR51,BN51,BR51)))</f>
        <v>38598</v>
      </c>
      <c r="BT51" s="207">
        <v>49</v>
      </c>
      <c r="BU51" s="318">
        <v>63281</v>
      </c>
      <c r="BV51" s="318"/>
      <c r="BX51" s="208">
        <v>63280.5</v>
      </c>
      <c r="BY51" s="208"/>
      <c r="BZ51" s="208"/>
      <c r="CA51" s="208"/>
      <c r="CB51" s="208">
        <v>63280.5</v>
      </c>
      <c r="CC51" s="367">
        <f>IF(CB51=0,0,(IF(BX51&lt;=CB51,BX51,CB51)))</f>
        <v>63280.5</v>
      </c>
    </row>
    <row r="52" spans="1:81" s="316" customFormat="1" ht="15.95" customHeight="1">
      <c r="A52" s="325" t="s">
        <v>169</v>
      </c>
      <c r="B52" s="317">
        <v>2</v>
      </c>
      <c r="C52" s="318">
        <f t="shared" si="70"/>
        <v>559</v>
      </c>
      <c r="D52" s="318">
        <f t="shared" si="71"/>
        <v>279.5</v>
      </c>
      <c r="E52" s="320">
        <v>559</v>
      </c>
      <c r="F52" s="320"/>
      <c r="G52" s="320"/>
      <c r="H52" s="320"/>
      <c r="I52" s="320"/>
      <c r="J52" s="320">
        <v>559</v>
      </c>
      <c r="K52" s="321">
        <f t="shared" si="72"/>
        <v>559</v>
      </c>
      <c r="L52" s="317">
        <v>2</v>
      </c>
      <c r="M52" s="318">
        <f t="shared" si="73"/>
        <v>982.5</v>
      </c>
      <c r="N52" s="318">
        <f t="shared" si="74"/>
        <v>491.25</v>
      </c>
      <c r="O52" s="320">
        <v>982.5</v>
      </c>
      <c r="P52" s="320"/>
      <c r="Q52" s="320"/>
      <c r="R52" s="320"/>
      <c r="S52" s="320"/>
      <c r="T52" s="320">
        <v>982.5</v>
      </c>
      <c r="U52" s="321">
        <f t="shared" si="75"/>
        <v>982.5</v>
      </c>
      <c r="V52" s="317">
        <v>0</v>
      </c>
      <c r="W52" s="318">
        <f t="shared" si="76"/>
        <v>0</v>
      </c>
      <c r="X52" s="318">
        <f t="shared" si="77"/>
        <v>0</v>
      </c>
      <c r="Y52" s="320"/>
      <c r="Z52" s="320"/>
      <c r="AA52" s="320"/>
      <c r="AB52" s="320"/>
      <c r="AC52" s="320"/>
      <c r="AD52" s="320">
        <v>0</v>
      </c>
      <c r="AE52" s="321">
        <f t="shared" si="78"/>
        <v>0</v>
      </c>
      <c r="AF52" s="317">
        <v>3</v>
      </c>
      <c r="AG52" s="318">
        <f>SUM(AI52:AM52)</f>
        <v>2688</v>
      </c>
      <c r="AH52" s="318">
        <f t="shared" si="80"/>
        <v>896</v>
      </c>
      <c r="AI52" s="320">
        <v>2688</v>
      </c>
      <c r="AJ52" s="320"/>
      <c r="AK52" s="320"/>
      <c r="AM52" s="320"/>
      <c r="AN52" s="320">
        <v>2688</v>
      </c>
      <c r="AO52" s="321">
        <f t="shared" si="81"/>
        <v>2688</v>
      </c>
      <c r="AP52" s="317">
        <v>2</v>
      </c>
      <c r="AQ52" s="318">
        <f>SUM(AS52:AW52)</f>
        <v>2385.9</v>
      </c>
      <c r="AR52" s="318">
        <f t="shared" si="83"/>
        <v>1192.95</v>
      </c>
      <c r="AS52" s="320">
        <v>2385.9</v>
      </c>
      <c r="AT52" s="320"/>
      <c r="AU52" s="320"/>
      <c r="AW52" s="320"/>
      <c r="AX52" s="320">
        <v>2385.9</v>
      </c>
      <c r="AY52" s="321">
        <f t="shared" si="84"/>
        <v>2385.9</v>
      </c>
      <c r="AZ52" s="317">
        <v>0</v>
      </c>
      <c r="BA52" s="318">
        <f>SUM(BC52:BG52)</f>
        <v>0</v>
      </c>
      <c r="BB52" s="318">
        <f t="shared" si="86"/>
        <v>0</v>
      </c>
      <c r="BC52" s="320">
        <v>0</v>
      </c>
      <c r="BD52" s="320"/>
      <c r="BE52" s="320"/>
      <c r="BF52" s="320"/>
      <c r="BG52" s="320"/>
      <c r="BH52" s="320">
        <v>0</v>
      </c>
      <c r="BI52" s="321">
        <f t="shared" si="87"/>
        <v>0</v>
      </c>
      <c r="BJ52" s="323">
        <v>0</v>
      </c>
      <c r="BK52" s="318">
        <f t="shared" si="88"/>
        <v>0</v>
      </c>
      <c r="BL52" s="318">
        <f t="shared" si="89"/>
        <v>0</v>
      </c>
      <c r="BM52" s="320">
        <v>0</v>
      </c>
      <c r="BN52" s="320"/>
      <c r="BO52" s="320"/>
      <c r="BP52" s="320"/>
      <c r="BQ52" s="320"/>
      <c r="BR52" s="320">
        <v>0</v>
      </c>
      <c r="BS52" s="321">
        <f t="shared" si="90"/>
        <v>0</v>
      </c>
      <c r="BT52" s="207">
        <v>2</v>
      </c>
      <c r="BU52" s="318">
        <v>4131</v>
      </c>
      <c r="BV52" s="318">
        <f t="shared" si="92"/>
        <v>2065.5</v>
      </c>
      <c r="BW52" s="208">
        <v>4131</v>
      </c>
      <c r="BX52" s="208"/>
      <c r="BY52" s="208"/>
      <c r="BZ52" s="208"/>
      <c r="CA52" s="208"/>
      <c r="CB52" s="208">
        <v>972</v>
      </c>
      <c r="CC52" s="367">
        <f t="shared" si="93"/>
        <v>972</v>
      </c>
    </row>
    <row r="53" spans="1:81" s="316" customFormat="1" ht="15.95" customHeight="1">
      <c r="A53" s="325" t="s">
        <v>170</v>
      </c>
      <c r="B53" s="317">
        <v>6</v>
      </c>
      <c r="C53" s="318">
        <f t="shared" si="70"/>
        <v>6579</v>
      </c>
      <c r="D53" s="318">
        <f t="shared" si="71"/>
        <v>1096.5</v>
      </c>
      <c r="E53" s="320"/>
      <c r="F53" s="320"/>
      <c r="G53" s="320">
        <v>6579</v>
      </c>
      <c r="H53" s="320"/>
      <c r="I53" s="320"/>
      <c r="J53" s="320">
        <v>5547</v>
      </c>
      <c r="K53" s="321">
        <f t="shared" si="72"/>
        <v>0</v>
      </c>
      <c r="L53" s="317">
        <v>6</v>
      </c>
      <c r="M53" s="318">
        <f t="shared" si="73"/>
        <v>6586</v>
      </c>
      <c r="N53" s="318">
        <f t="shared" si="74"/>
        <v>1097.6666666666667</v>
      </c>
      <c r="O53" s="320"/>
      <c r="P53" s="320"/>
      <c r="Q53" s="320">
        <v>6586</v>
      </c>
      <c r="R53" s="320"/>
      <c r="S53" s="320"/>
      <c r="T53" s="320">
        <v>3690</v>
      </c>
      <c r="U53" s="321">
        <f t="shared" si="75"/>
        <v>0</v>
      </c>
      <c r="V53" s="317">
        <v>4</v>
      </c>
      <c r="W53" s="318">
        <f t="shared" si="76"/>
        <v>6204</v>
      </c>
      <c r="X53" s="318">
        <f t="shared" si="77"/>
        <v>1551</v>
      </c>
      <c r="Y53" s="320"/>
      <c r="Z53" s="320"/>
      <c r="AA53" s="320">
        <v>6204</v>
      </c>
      <c r="AB53" s="320"/>
      <c r="AC53" s="320"/>
      <c r="AD53" s="320">
        <v>5358</v>
      </c>
      <c r="AE53" s="321">
        <f t="shared" si="78"/>
        <v>0</v>
      </c>
      <c r="AF53" s="317">
        <v>8</v>
      </c>
      <c r="AG53" s="318">
        <f t="shared" si="79"/>
        <v>8370</v>
      </c>
      <c r="AH53" s="318">
        <f t="shared" si="80"/>
        <v>1046.25</v>
      </c>
      <c r="AI53" s="320"/>
      <c r="AJ53" s="320"/>
      <c r="AK53" s="320">
        <v>8370</v>
      </c>
      <c r="AL53" s="320"/>
      <c r="AM53" s="320"/>
      <c r="AN53" s="320">
        <v>3762</v>
      </c>
      <c r="AO53" s="321">
        <f t="shared" si="81"/>
        <v>0</v>
      </c>
      <c r="AP53" s="317">
        <v>9</v>
      </c>
      <c r="AQ53" s="318">
        <f t="shared" ref="AQ53:AQ59" si="94">SUM(AS53:AW53)</f>
        <v>12870</v>
      </c>
      <c r="AR53" s="318">
        <f t="shared" si="83"/>
        <v>1430</v>
      </c>
      <c r="AS53" s="320"/>
      <c r="AT53" s="320"/>
      <c r="AU53" s="320">
        <v>12870</v>
      </c>
      <c r="AV53" s="320"/>
      <c r="AW53" s="320"/>
      <c r="AX53" s="320">
        <v>10098</v>
      </c>
      <c r="AY53" s="321">
        <f t="shared" si="84"/>
        <v>0</v>
      </c>
      <c r="AZ53" s="317">
        <v>10</v>
      </c>
      <c r="BA53" s="318">
        <f t="shared" ref="BA53:BA59" si="95">SUM(BC53:BG53)</f>
        <v>12600</v>
      </c>
      <c r="BB53" s="318">
        <f t="shared" si="86"/>
        <v>1260</v>
      </c>
      <c r="BC53" s="320"/>
      <c r="BD53" s="320"/>
      <c r="BE53" s="320">
        <v>12600</v>
      </c>
      <c r="BF53" s="320"/>
      <c r="BG53" s="320"/>
      <c r="BH53" s="320">
        <v>12285</v>
      </c>
      <c r="BI53" s="321">
        <f t="shared" si="87"/>
        <v>0</v>
      </c>
      <c r="BJ53" s="323">
        <v>14</v>
      </c>
      <c r="BK53" s="318">
        <f t="shared" si="88"/>
        <v>22522.5</v>
      </c>
      <c r="BL53" s="318">
        <f t="shared" si="89"/>
        <v>1608.75</v>
      </c>
      <c r="BM53" s="320"/>
      <c r="BN53" s="320"/>
      <c r="BO53" s="320">
        <v>22522.5</v>
      </c>
      <c r="BP53" s="320"/>
      <c r="BQ53" s="320"/>
      <c r="BR53" s="320">
        <v>22027.5</v>
      </c>
      <c r="BS53" s="321">
        <f t="shared" si="90"/>
        <v>0</v>
      </c>
      <c r="BT53" s="207">
        <v>6</v>
      </c>
      <c r="BU53" s="318">
        <v>4257</v>
      </c>
      <c r="BV53" s="318">
        <f t="shared" si="92"/>
        <v>709.5</v>
      </c>
      <c r="BW53" s="208"/>
      <c r="BX53" s="208"/>
      <c r="BY53" s="208">
        <v>4257</v>
      </c>
      <c r="BZ53" s="208"/>
      <c r="CA53" s="208"/>
      <c r="CB53" s="208">
        <v>4257</v>
      </c>
      <c r="CC53" s="367">
        <f t="shared" si="93"/>
        <v>0</v>
      </c>
    </row>
    <row r="54" spans="1:81" s="316" customFormat="1" ht="15.95" customHeight="1">
      <c r="A54" s="325" t="s">
        <v>171</v>
      </c>
      <c r="B54" s="317">
        <v>6</v>
      </c>
      <c r="C54" s="318">
        <f t="shared" si="70"/>
        <v>2895.75</v>
      </c>
      <c r="D54" s="318">
        <f t="shared" si="71"/>
        <v>482.625</v>
      </c>
      <c r="E54" s="320"/>
      <c r="F54" s="320"/>
      <c r="G54" s="320">
        <v>2895.75</v>
      </c>
      <c r="H54" s="320"/>
      <c r="I54" s="320"/>
      <c r="J54" s="320">
        <v>2895.75</v>
      </c>
      <c r="K54" s="321">
        <f t="shared" si="72"/>
        <v>0</v>
      </c>
      <c r="L54" s="317">
        <v>9</v>
      </c>
      <c r="M54" s="318">
        <f t="shared" si="73"/>
        <v>7627.5</v>
      </c>
      <c r="N54" s="318">
        <f t="shared" si="74"/>
        <v>847.5</v>
      </c>
      <c r="O54" s="320"/>
      <c r="P54" s="320"/>
      <c r="Q54" s="320">
        <v>7627.5</v>
      </c>
      <c r="R54" s="320"/>
      <c r="S54" s="320"/>
      <c r="T54" s="320">
        <v>7627.5</v>
      </c>
      <c r="U54" s="321">
        <f t="shared" si="75"/>
        <v>0</v>
      </c>
      <c r="V54" s="317">
        <v>6</v>
      </c>
      <c r="W54" s="318">
        <f t="shared" si="76"/>
        <v>7262</v>
      </c>
      <c r="X54" s="318">
        <f t="shared" si="77"/>
        <v>1210.3333333333333</v>
      </c>
      <c r="Y54" s="320"/>
      <c r="Z54" s="320"/>
      <c r="AA54" s="320">
        <v>7262</v>
      </c>
      <c r="AB54" s="320"/>
      <c r="AC54" s="320"/>
      <c r="AD54" s="320">
        <v>7262</v>
      </c>
      <c r="AE54" s="321">
        <f t="shared" si="78"/>
        <v>0</v>
      </c>
      <c r="AF54" s="317">
        <v>2</v>
      </c>
      <c r="AG54" s="318">
        <f t="shared" si="79"/>
        <v>2520</v>
      </c>
      <c r="AH54" s="318">
        <f t="shared" si="80"/>
        <v>1260</v>
      </c>
      <c r="AI54" s="320"/>
      <c r="AJ54" s="320"/>
      <c r="AK54" s="320">
        <v>2520</v>
      </c>
      <c r="AL54" s="320"/>
      <c r="AM54" s="320"/>
      <c r="AN54" s="320">
        <v>2520</v>
      </c>
      <c r="AO54" s="321">
        <f t="shared" si="81"/>
        <v>0</v>
      </c>
      <c r="AP54" s="317">
        <v>4</v>
      </c>
      <c r="AQ54" s="318">
        <f t="shared" si="94"/>
        <v>1325.25</v>
      </c>
      <c r="AR54" s="318">
        <f t="shared" si="83"/>
        <v>331.3125</v>
      </c>
      <c r="AS54" s="320"/>
      <c r="AT54" s="320"/>
      <c r="AU54" s="320">
        <v>1325.25</v>
      </c>
      <c r="AV54" s="320"/>
      <c r="AW54" s="320"/>
      <c r="AX54" s="320">
        <v>1325.25</v>
      </c>
      <c r="AY54" s="321">
        <f t="shared" si="84"/>
        <v>0</v>
      </c>
      <c r="AZ54" s="317">
        <v>11</v>
      </c>
      <c r="BA54" s="318">
        <f t="shared" si="95"/>
        <v>11422.25</v>
      </c>
      <c r="BB54" s="318">
        <f t="shared" si="86"/>
        <v>1038.3863636363637</v>
      </c>
      <c r="BC54" s="320"/>
      <c r="BD54" s="320"/>
      <c r="BE54" s="320">
        <v>11422.25</v>
      </c>
      <c r="BF54" s="320"/>
      <c r="BG54" s="320"/>
      <c r="BH54" s="320">
        <v>11422.25</v>
      </c>
      <c r="BI54" s="321">
        <f t="shared" si="87"/>
        <v>0</v>
      </c>
      <c r="BJ54" s="323">
        <v>5</v>
      </c>
      <c r="BK54" s="318">
        <f t="shared" si="88"/>
        <v>5278</v>
      </c>
      <c r="BL54" s="318">
        <f t="shared" si="89"/>
        <v>1055.5999999999999</v>
      </c>
      <c r="BM54" s="320"/>
      <c r="BN54" s="320"/>
      <c r="BO54" s="320">
        <v>5278</v>
      </c>
      <c r="BP54" s="320"/>
      <c r="BQ54" s="320"/>
      <c r="BR54" s="320">
        <v>5278</v>
      </c>
      <c r="BS54" s="321">
        <f t="shared" si="90"/>
        <v>0</v>
      </c>
      <c r="BT54" s="207">
        <v>5</v>
      </c>
      <c r="BU54" s="318">
        <v>11340</v>
      </c>
      <c r="BV54" s="318">
        <f t="shared" si="92"/>
        <v>2268</v>
      </c>
      <c r="BW54" s="208"/>
      <c r="BX54" s="208"/>
      <c r="BY54" s="208">
        <v>11340</v>
      </c>
      <c r="BZ54" s="208"/>
      <c r="CA54" s="208"/>
      <c r="CB54" s="208">
        <v>11340</v>
      </c>
      <c r="CC54" s="367">
        <f t="shared" si="93"/>
        <v>0</v>
      </c>
    </row>
    <row r="55" spans="1:81" s="316" customFormat="1" ht="15.95" customHeight="1">
      <c r="A55" s="325" t="s">
        <v>172</v>
      </c>
      <c r="B55" s="317">
        <v>55</v>
      </c>
      <c r="C55" s="318">
        <f t="shared" si="70"/>
        <v>133007.67999999999</v>
      </c>
      <c r="D55" s="318">
        <f t="shared" si="71"/>
        <v>2418.3214545454543</v>
      </c>
      <c r="E55" s="320"/>
      <c r="F55" s="320"/>
      <c r="G55" s="320"/>
      <c r="H55" s="320"/>
      <c r="I55" s="320">
        <v>133007.67999999999</v>
      </c>
      <c r="J55" s="320">
        <v>127472.68</v>
      </c>
      <c r="K55" s="321">
        <f t="shared" si="72"/>
        <v>0</v>
      </c>
      <c r="L55" s="317">
        <v>51</v>
      </c>
      <c r="M55" s="318">
        <f t="shared" si="73"/>
        <v>113121.38</v>
      </c>
      <c r="N55" s="318">
        <f t="shared" si="74"/>
        <v>2218.0662745098039</v>
      </c>
      <c r="O55" s="320"/>
      <c r="P55" s="320"/>
      <c r="Q55" s="320"/>
      <c r="R55" s="320"/>
      <c r="S55" s="320">
        <v>113121.38</v>
      </c>
      <c r="T55" s="320">
        <v>113121.38</v>
      </c>
      <c r="U55" s="321">
        <f t="shared" si="75"/>
        <v>0</v>
      </c>
      <c r="V55" s="317">
        <v>45</v>
      </c>
      <c r="W55" s="318">
        <f t="shared" si="76"/>
        <v>103654</v>
      </c>
      <c r="X55" s="318">
        <f t="shared" si="77"/>
        <v>2303.4222222222224</v>
      </c>
      <c r="Y55" s="320"/>
      <c r="Z55" s="320"/>
      <c r="AA55" s="320"/>
      <c r="AB55" s="320"/>
      <c r="AC55" s="320">
        <v>103654</v>
      </c>
      <c r="AD55" s="320">
        <v>102054</v>
      </c>
      <c r="AE55" s="321">
        <f t="shared" si="78"/>
        <v>0</v>
      </c>
      <c r="AF55" s="317">
        <v>44</v>
      </c>
      <c r="AG55" s="318">
        <f t="shared" si="79"/>
        <v>115572.68</v>
      </c>
      <c r="AH55" s="318">
        <f t="shared" si="80"/>
        <v>2626.6518181818178</v>
      </c>
      <c r="AI55" s="320"/>
      <c r="AJ55" s="320"/>
      <c r="AK55" s="320"/>
      <c r="AL55" s="320"/>
      <c r="AM55" s="320">
        <v>115572.68</v>
      </c>
      <c r="AN55" s="320">
        <v>115572.68</v>
      </c>
      <c r="AO55" s="321">
        <f t="shared" si="81"/>
        <v>0</v>
      </c>
      <c r="AP55" s="317">
        <v>41</v>
      </c>
      <c r="AQ55" s="318">
        <f t="shared" si="94"/>
        <v>116698.87</v>
      </c>
      <c r="AR55" s="318">
        <f t="shared" si="83"/>
        <v>2846.3139024390243</v>
      </c>
      <c r="AS55" s="320"/>
      <c r="AT55" s="320"/>
      <c r="AU55" s="320"/>
      <c r="AV55" s="320"/>
      <c r="AW55" s="320">
        <v>116698.87</v>
      </c>
      <c r="AX55" s="320">
        <v>116698.87</v>
      </c>
      <c r="AY55" s="321">
        <f t="shared" si="84"/>
        <v>0</v>
      </c>
      <c r="AZ55" s="317">
        <v>39</v>
      </c>
      <c r="BA55" s="318">
        <f t="shared" si="95"/>
        <v>88681.77</v>
      </c>
      <c r="BB55" s="318">
        <f t="shared" si="86"/>
        <v>2273.8915384615384</v>
      </c>
      <c r="BC55" s="320"/>
      <c r="BD55" s="320"/>
      <c r="BE55" s="320"/>
      <c r="BF55" s="320"/>
      <c r="BG55" s="320">
        <v>88681.77</v>
      </c>
      <c r="BH55" s="320">
        <v>88681.77</v>
      </c>
      <c r="BI55" s="321">
        <f t="shared" si="87"/>
        <v>0</v>
      </c>
      <c r="BJ55" s="323">
        <v>35</v>
      </c>
      <c r="BK55" s="318">
        <f t="shared" si="88"/>
        <v>93976.6</v>
      </c>
      <c r="BL55" s="318">
        <f t="shared" si="89"/>
        <v>2685.0457142857144</v>
      </c>
      <c r="BM55" s="320"/>
      <c r="BN55" s="320"/>
      <c r="BO55" s="320"/>
      <c r="BP55" s="320"/>
      <c r="BQ55" s="320">
        <v>93976.6</v>
      </c>
      <c r="BR55" s="320">
        <v>93976.6</v>
      </c>
      <c r="BS55" s="321">
        <f t="shared" si="90"/>
        <v>0</v>
      </c>
      <c r="BT55" s="207">
        <v>41</v>
      </c>
      <c r="BU55" s="318">
        <v>109721</v>
      </c>
      <c r="BV55" s="318">
        <f t="shared" si="92"/>
        <v>2676.1219512195121</v>
      </c>
      <c r="BW55" s="208"/>
      <c r="BX55" s="208"/>
      <c r="BY55" s="208"/>
      <c r="BZ55" s="208"/>
      <c r="CA55" s="208">
        <v>109721.34</v>
      </c>
      <c r="CB55" s="208">
        <v>109721.34</v>
      </c>
      <c r="CC55" s="367">
        <f t="shared" si="93"/>
        <v>0</v>
      </c>
    </row>
    <row r="56" spans="1:81" s="316" customFormat="1" ht="15.95" customHeight="1">
      <c r="A56" s="325" t="s">
        <v>173</v>
      </c>
      <c r="B56" s="317">
        <v>67</v>
      </c>
      <c r="C56" s="318">
        <f t="shared" si="70"/>
        <v>113056.43</v>
      </c>
      <c r="D56" s="318">
        <f t="shared" si="71"/>
        <v>1687.4094029850746</v>
      </c>
      <c r="E56" s="320">
        <v>8354</v>
      </c>
      <c r="F56" s="320">
        <v>1388</v>
      </c>
      <c r="G56" s="320"/>
      <c r="H56" s="320">
        <v>103314.43</v>
      </c>
      <c r="I56" s="320"/>
      <c r="J56" s="320">
        <v>102477.29</v>
      </c>
      <c r="K56" s="321">
        <f t="shared" si="72"/>
        <v>8354</v>
      </c>
      <c r="L56" s="317">
        <v>51</v>
      </c>
      <c r="M56" s="318">
        <f t="shared" si="73"/>
        <v>109398.19</v>
      </c>
      <c r="N56" s="318">
        <f t="shared" si="74"/>
        <v>2145.062549019608</v>
      </c>
      <c r="O56" s="320">
        <v>19392</v>
      </c>
      <c r="P56" s="320">
        <v>2727</v>
      </c>
      <c r="Q56" s="320"/>
      <c r="R56" s="320">
        <v>87279.19</v>
      </c>
      <c r="S56" s="320"/>
      <c r="T56" s="320">
        <v>99517.31</v>
      </c>
      <c r="U56" s="321">
        <f t="shared" si="75"/>
        <v>19392</v>
      </c>
      <c r="V56" s="317">
        <v>52</v>
      </c>
      <c r="W56" s="318">
        <f t="shared" si="76"/>
        <v>117794</v>
      </c>
      <c r="X56" s="318">
        <f t="shared" si="77"/>
        <v>2265.2692307692309</v>
      </c>
      <c r="Y56" s="320">
        <v>22552</v>
      </c>
      <c r="Z56" s="320">
        <v>3051</v>
      </c>
      <c r="AA56" s="320"/>
      <c r="AB56" s="320">
        <v>92191</v>
      </c>
      <c r="AC56" s="320"/>
      <c r="AD56" s="320">
        <v>109082</v>
      </c>
      <c r="AE56" s="321">
        <f t="shared" si="78"/>
        <v>22552</v>
      </c>
      <c r="AF56" s="317">
        <v>54</v>
      </c>
      <c r="AG56" s="318">
        <f t="shared" si="79"/>
        <v>127071.53</v>
      </c>
      <c r="AH56" s="318">
        <f t="shared" si="80"/>
        <v>2353.1764814814815</v>
      </c>
      <c r="AI56" s="320">
        <f>26784+1731</f>
        <v>28515</v>
      </c>
      <c r="AJ56" s="320">
        <v>5883.25</v>
      </c>
      <c r="AK56" s="320"/>
      <c r="AL56" s="320">
        <v>92673.279999999999</v>
      </c>
      <c r="AM56" s="320"/>
      <c r="AN56" s="320">
        <f>119569.03+1731</f>
        <v>121300.03</v>
      </c>
      <c r="AO56" s="321">
        <f t="shared" si="81"/>
        <v>28515</v>
      </c>
      <c r="AP56" s="317">
        <v>42</v>
      </c>
      <c r="AQ56" s="318">
        <f t="shared" si="94"/>
        <v>108432.18</v>
      </c>
      <c r="AR56" s="318">
        <f t="shared" si="83"/>
        <v>2581.7185714285711</v>
      </c>
      <c r="AS56" s="320">
        <v>24432</v>
      </c>
      <c r="AT56" s="320">
        <v>5660</v>
      </c>
      <c r="AU56" s="320"/>
      <c r="AV56" s="320">
        <v>78340.179999999993</v>
      </c>
      <c r="AW56" s="320"/>
      <c r="AX56" s="320">
        <v>97917</v>
      </c>
      <c r="AY56" s="321">
        <f t="shared" si="84"/>
        <v>24432</v>
      </c>
      <c r="AZ56" s="317">
        <v>33</v>
      </c>
      <c r="BA56" s="318">
        <f t="shared" si="95"/>
        <v>59072.86</v>
      </c>
      <c r="BB56" s="318">
        <f t="shared" si="86"/>
        <v>1790.0866666666666</v>
      </c>
      <c r="BC56" s="320">
        <v>8559</v>
      </c>
      <c r="BD56" s="320">
        <v>1665.5</v>
      </c>
      <c r="BE56" s="320"/>
      <c r="BF56" s="320">
        <v>48848.36</v>
      </c>
      <c r="BG56" s="320"/>
      <c r="BH56" s="320">
        <v>54563.11</v>
      </c>
      <c r="BI56" s="321">
        <f t="shared" si="87"/>
        <v>8559</v>
      </c>
      <c r="BJ56" s="323">
        <v>34</v>
      </c>
      <c r="BK56" s="318">
        <f t="shared" si="88"/>
        <v>84597.41</v>
      </c>
      <c r="BL56" s="318">
        <f t="shared" si="89"/>
        <v>2488.1591176470588</v>
      </c>
      <c r="BM56" s="320">
        <v>14175</v>
      </c>
      <c r="BN56" s="320">
        <v>2717</v>
      </c>
      <c r="BO56" s="320"/>
      <c r="BP56" s="320">
        <v>67705.41</v>
      </c>
      <c r="BQ56" s="320"/>
      <c r="BR56" s="320">
        <v>79367.41</v>
      </c>
      <c r="BS56" s="321">
        <f t="shared" si="90"/>
        <v>14175</v>
      </c>
      <c r="BT56" s="207">
        <v>36</v>
      </c>
      <c r="BU56" s="318">
        <v>89297</v>
      </c>
      <c r="BV56" s="318">
        <f t="shared" si="92"/>
        <v>2480.4722222222222</v>
      </c>
      <c r="BW56" s="208">
        <v>23386.5</v>
      </c>
      <c r="BX56" s="208">
        <v>4732.25</v>
      </c>
      <c r="BY56" s="208"/>
      <c r="BZ56" s="208">
        <v>61177.85</v>
      </c>
      <c r="CA56" s="208"/>
      <c r="CB56" s="208">
        <v>81416.100000000006</v>
      </c>
      <c r="CC56" s="367">
        <f t="shared" si="93"/>
        <v>23386.5</v>
      </c>
    </row>
    <row r="57" spans="1:81" s="316" customFormat="1" ht="15.95" customHeight="1">
      <c r="A57" s="325" t="s">
        <v>174</v>
      </c>
      <c r="B57" s="317"/>
      <c r="C57" s="318"/>
      <c r="D57" s="318"/>
      <c r="E57" s="320"/>
      <c r="F57" s="320"/>
      <c r="G57" s="320"/>
      <c r="H57" s="320"/>
      <c r="I57" s="320"/>
      <c r="J57" s="320"/>
      <c r="K57" s="321">
        <f t="shared" si="72"/>
        <v>0</v>
      </c>
      <c r="L57" s="317"/>
      <c r="M57" s="318">
        <f t="shared" si="73"/>
        <v>0</v>
      </c>
      <c r="N57" s="318">
        <f t="shared" si="74"/>
        <v>0</v>
      </c>
      <c r="O57" s="320"/>
      <c r="P57" s="320"/>
      <c r="Q57" s="320"/>
      <c r="R57" s="320"/>
      <c r="S57" s="320"/>
      <c r="T57" s="320"/>
      <c r="U57" s="321">
        <f t="shared" si="75"/>
        <v>0</v>
      </c>
      <c r="V57" s="317">
        <v>38</v>
      </c>
      <c r="W57" s="318">
        <f t="shared" si="76"/>
        <v>8142</v>
      </c>
      <c r="X57" s="318">
        <f t="shared" si="77"/>
        <v>214.26315789473685</v>
      </c>
      <c r="Y57" s="320"/>
      <c r="Z57" s="320"/>
      <c r="AA57" s="320"/>
      <c r="AB57" s="320">
        <v>8142</v>
      </c>
      <c r="AC57" s="320"/>
      <c r="AD57" s="320">
        <v>7381</v>
      </c>
      <c r="AE57" s="321">
        <f t="shared" si="78"/>
        <v>0</v>
      </c>
      <c r="AF57" s="317">
        <v>48</v>
      </c>
      <c r="AG57" s="318">
        <f t="shared" si="79"/>
        <v>10504</v>
      </c>
      <c r="AH57" s="318">
        <f t="shared" si="80"/>
        <v>218.83333333333334</v>
      </c>
      <c r="AI57" s="320">
        <f>8621+568.5</f>
        <v>9189.5</v>
      </c>
      <c r="AK57" s="320"/>
      <c r="AL57" s="320">
        <f>473.75+840.75</f>
        <v>1314.5</v>
      </c>
      <c r="AM57" s="320"/>
      <c r="AN57" s="320">
        <v>10037</v>
      </c>
      <c r="AO57" s="321">
        <f t="shared" si="81"/>
        <v>9189.5</v>
      </c>
      <c r="AP57" s="317">
        <v>44</v>
      </c>
      <c r="AQ57" s="318">
        <f t="shared" si="94"/>
        <v>9948</v>
      </c>
      <c r="AR57" s="318">
        <f t="shared" si="83"/>
        <v>226.09090909090909</v>
      </c>
      <c r="AS57" s="320">
        <v>7924</v>
      </c>
      <c r="AT57" s="316">
        <v>2024</v>
      </c>
      <c r="AU57" s="320"/>
      <c r="AV57" s="320"/>
      <c r="AW57" s="320"/>
      <c r="AX57" s="320">
        <v>9456</v>
      </c>
      <c r="AY57" s="321">
        <f t="shared" si="84"/>
        <v>7924</v>
      </c>
      <c r="AZ57" s="317">
        <v>28</v>
      </c>
      <c r="BA57" s="318">
        <f t="shared" si="95"/>
        <v>7000</v>
      </c>
      <c r="BB57" s="318">
        <f t="shared" si="86"/>
        <v>250</v>
      </c>
      <c r="BC57" s="320">
        <v>5880</v>
      </c>
      <c r="BD57" s="320">
        <v>1120</v>
      </c>
      <c r="BE57" s="320"/>
      <c r="BF57" s="320"/>
      <c r="BG57" s="320"/>
      <c r="BH57" s="320">
        <v>7000</v>
      </c>
      <c r="BI57" s="321">
        <f t="shared" si="87"/>
        <v>5880</v>
      </c>
      <c r="BJ57" s="323">
        <v>42</v>
      </c>
      <c r="BK57" s="318">
        <f t="shared" si="88"/>
        <v>10584</v>
      </c>
      <c r="BL57" s="318">
        <f t="shared" si="89"/>
        <v>252</v>
      </c>
      <c r="BM57" s="320">
        <v>8904</v>
      </c>
      <c r="BN57" s="320">
        <v>1680</v>
      </c>
      <c r="BO57" s="320"/>
      <c r="BP57" s="320"/>
      <c r="BQ57" s="320"/>
      <c r="BR57" s="320">
        <v>10250</v>
      </c>
      <c r="BS57" s="321">
        <f t="shared" si="90"/>
        <v>8904</v>
      </c>
      <c r="BT57" s="207">
        <v>28</v>
      </c>
      <c r="BU57" s="318">
        <v>7168</v>
      </c>
      <c r="BV57" s="318">
        <f t="shared" si="92"/>
        <v>256</v>
      </c>
      <c r="BW57" s="208">
        <v>6048</v>
      </c>
      <c r="BX57" s="208">
        <v>1120</v>
      </c>
      <c r="BY57" s="208"/>
      <c r="BZ57" s="208"/>
      <c r="CA57" s="208"/>
      <c r="CB57" s="208">
        <v>7168</v>
      </c>
      <c r="CC57" s="367">
        <f t="shared" si="93"/>
        <v>6048</v>
      </c>
    </row>
    <row r="58" spans="1:81" s="316" customFormat="1" ht="15.95" customHeight="1">
      <c r="A58" s="214"/>
      <c r="B58" s="317"/>
      <c r="C58" s="318">
        <f t="shared" ref="C58:C59" si="96">SUM(E58:I58)</f>
        <v>0</v>
      </c>
      <c r="D58" s="318">
        <f t="shared" ref="D58:D59" si="97">IFERROR(C58/B58,0)</f>
        <v>0</v>
      </c>
      <c r="E58" s="320"/>
      <c r="F58" s="320"/>
      <c r="G58" s="320"/>
      <c r="H58" s="320"/>
      <c r="I58" s="320"/>
      <c r="J58" s="320"/>
      <c r="K58" s="321">
        <f t="shared" si="72"/>
        <v>0</v>
      </c>
      <c r="L58" s="317"/>
      <c r="M58" s="318">
        <f t="shared" si="73"/>
        <v>0</v>
      </c>
      <c r="N58" s="318">
        <f t="shared" si="74"/>
        <v>0</v>
      </c>
      <c r="O58" s="320"/>
      <c r="P58" s="320"/>
      <c r="Q58" s="320"/>
      <c r="R58" s="320"/>
      <c r="S58" s="320"/>
      <c r="T58" s="320"/>
      <c r="U58" s="321">
        <f t="shared" si="75"/>
        <v>0</v>
      </c>
      <c r="V58" s="317"/>
      <c r="W58" s="318">
        <f t="shared" si="76"/>
        <v>0</v>
      </c>
      <c r="X58" s="318">
        <f t="shared" si="77"/>
        <v>0</v>
      </c>
      <c r="Y58" s="320"/>
      <c r="Z58" s="320"/>
      <c r="AA58" s="320"/>
      <c r="AB58" s="320"/>
      <c r="AC58" s="320"/>
      <c r="AD58" s="320"/>
      <c r="AE58" s="321">
        <f t="shared" si="78"/>
        <v>0</v>
      </c>
      <c r="AF58" s="317"/>
      <c r="AG58" s="318">
        <f t="shared" si="79"/>
        <v>0</v>
      </c>
      <c r="AH58" s="318">
        <f t="shared" si="80"/>
        <v>0</v>
      </c>
      <c r="AI58" s="320"/>
      <c r="AJ58" s="320"/>
      <c r="AK58" s="320"/>
      <c r="AL58" s="320"/>
      <c r="AM58" s="320"/>
      <c r="AN58" s="320"/>
      <c r="AO58" s="321">
        <f t="shared" si="81"/>
        <v>0</v>
      </c>
      <c r="AP58" s="317"/>
      <c r="AQ58" s="318">
        <f t="shared" si="94"/>
        <v>0</v>
      </c>
      <c r="AR58" s="318">
        <f t="shared" si="83"/>
        <v>0</v>
      </c>
      <c r="AS58" s="320"/>
      <c r="AT58" s="320"/>
      <c r="AU58" s="320"/>
      <c r="AV58" s="320"/>
      <c r="AW58" s="320"/>
      <c r="AX58" s="320"/>
      <c r="AY58" s="321">
        <f t="shared" si="84"/>
        <v>0</v>
      </c>
      <c r="AZ58" s="317"/>
      <c r="BA58" s="318">
        <f t="shared" si="95"/>
        <v>0</v>
      </c>
      <c r="BB58" s="318">
        <f t="shared" si="86"/>
        <v>0</v>
      </c>
      <c r="BC58" s="320"/>
      <c r="BD58" s="320"/>
      <c r="BE58" s="320"/>
      <c r="BF58" s="320"/>
      <c r="BG58" s="320"/>
      <c r="BH58" s="320"/>
      <c r="BI58" s="321">
        <f t="shared" si="87"/>
        <v>0</v>
      </c>
      <c r="BJ58" s="323"/>
      <c r="BK58" s="318">
        <f t="shared" si="88"/>
        <v>0</v>
      </c>
      <c r="BL58" s="318">
        <f t="shared" si="89"/>
        <v>0</v>
      </c>
      <c r="BM58" s="320"/>
      <c r="BN58" s="320"/>
      <c r="BO58" s="320"/>
      <c r="BP58" s="320"/>
      <c r="BQ58" s="320"/>
      <c r="BR58" s="320"/>
      <c r="BS58" s="321">
        <f t="shared" si="90"/>
        <v>0</v>
      </c>
      <c r="BT58" s="207"/>
      <c r="BU58" s="318">
        <f t="shared" si="91"/>
        <v>0</v>
      </c>
      <c r="BV58" s="318">
        <f t="shared" si="92"/>
        <v>0</v>
      </c>
      <c r="BW58" s="208"/>
      <c r="BX58" s="208"/>
      <c r="BY58" s="208"/>
      <c r="BZ58" s="208"/>
      <c r="CA58" s="208"/>
      <c r="CB58" s="208"/>
      <c r="CC58" s="367">
        <f t="shared" si="93"/>
        <v>0</v>
      </c>
    </row>
    <row r="59" spans="1:81" s="316" customFormat="1" ht="15.95" customHeight="1">
      <c r="A59" s="214"/>
      <c r="B59" s="317"/>
      <c r="C59" s="318">
        <f t="shared" si="96"/>
        <v>0</v>
      </c>
      <c r="D59" s="318">
        <f t="shared" si="97"/>
        <v>0</v>
      </c>
      <c r="E59" s="320"/>
      <c r="F59" s="320"/>
      <c r="G59" s="320"/>
      <c r="H59" s="320"/>
      <c r="I59" s="320"/>
      <c r="J59" s="320"/>
      <c r="K59" s="321">
        <f t="shared" si="72"/>
        <v>0</v>
      </c>
      <c r="L59" s="317"/>
      <c r="M59" s="318">
        <f t="shared" si="73"/>
        <v>0</v>
      </c>
      <c r="N59" s="318">
        <f t="shared" si="74"/>
        <v>0</v>
      </c>
      <c r="O59" s="320"/>
      <c r="P59" s="320"/>
      <c r="Q59" s="320"/>
      <c r="R59" s="320"/>
      <c r="S59" s="320"/>
      <c r="T59" s="320"/>
      <c r="U59" s="321">
        <f t="shared" si="75"/>
        <v>0</v>
      </c>
      <c r="V59" s="317"/>
      <c r="W59" s="318">
        <f t="shared" si="76"/>
        <v>0</v>
      </c>
      <c r="X59" s="318">
        <f t="shared" si="77"/>
        <v>0</v>
      </c>
      <c r="Y59" s="320"/>
      <c r="Z59" s="320"/>
      <c r="AA59" s="320"/>
      <c r="AB59" s="320"/>
      <c r="AC59" s="320"/>
      <c r="AD59" s="320"/>
      <c r="AE59" s="321">
        <f t="shared" si="78"/>
        <v>0</v>
      </c>
      <c r="AF59" s="317"/>
      <c r="AG59" s="318">
        <f t="shared" si="79"/>
        <v>0</v>
      </c>
      <c r="AH59" s="318">
        <f t="shared" si="80"/>
        <v>0</v>
      </c>
      <c r="AI59" s="320"/>
      <c r="AJ59" s="320"/>
      <c r="AK59" s="320"/>
      <c r="AL59" s="320"/>
      <c r="AM59" s="320"/>
      <c r="AN59" s="320"/>
      <c r="AO59" s="321">
        <f t="shared" si="81"/>
        <v>0</v>
      </c>
      <c r="AP59" s="317"/>
      <c r="AQ59" s="318">
        <f t="shared" si="94"/>
        <v>0</v>
      </c>
      <c r="AR59" s="318">
        <f t="shared" si="83"/>
        <v>0</v>
      </c>
      <c r="AS59" s="320"/>
      <c r="AT59" s="320"/>
      <c r="AU59" s="320"/>
      <c r="AV59" s="320"/>
      <c r="AW59" s="320"/>
      <c r="AX59" s="320"/>
      <c r="AY59" s="321">
        <f t="shared" si="84"/>
        <v>0</v>
      </c>
      <c r="AZ59" s="317"/>
      <c r="BA59" s="318">
        <f t="shared" si="95"/>
        <v>0</v>
      </c>
      <c r="BB59" s="318">
        <f t="shared" si="86"/>
        <v>0</v>
      </c>
      <c r="BC59" s="320"/>
      <c r="BD59" s="320"/>
      <c r="BE59" s="320"/>
      <c r="BF59" s="320"/>
      <c r="BG59" s="320"/>
      <c r="BH59" s="320"/>
      <c r="BI59" s="321">
        <f t="shared" si="87"/>
        <v>0</v>
      </c>
      <c r="BJ59" s="323"/>
      <c r="BK59" s="318">
        <f t="shared" si="88"/>
        <v>0</v>
      </c>
      <c r="BL59" s="318">
        <f t="shared" si="89"/>
        <v>0</v>
      </c>
      <c r="BM59" s="320"/>
      <c r="BN59" s="320"/>
      <c r="BO59" s="320"/>
      <c r="BP59" s="320"/>
      <c r="BQ59" s="320"/>
      <c r="BR59" s="320"/>
      <c r="BS59" s="321">
        <f t="shared" si="90"/>
        <v>0</v>
      </c>
      <c r="BT59" s="207"/>
      <c r="BU59" s="318">
        <f t="shared" si="91"/>
        <v>0</v>
      </c>
      <c r="BV59" s="318">
        <f t="shared" si="92"/>
        <v>0</v>
      </c>
      <c r="BW59" s="208"/>
      <c r="BX59" s="208"/>
      <c r="BY59" s="208"/>
      <c r="BZ59" s="208"/>
      <c r="CA59" s="208"/>
      <c r="CB59" s="208"/>
      <c r="CC59" s="367">
        <f t="shared" si="93"/>
        <v>0</v>
      </c>
    </row>
    <row r="60" spans="1:81" s="316" customFormat="1" ht="15.95" customHeight="1">
      <c r="A60" s="214"/>
      <c r="B60" s="317"/>
      <c r="C60" s="318">
        <f>SUM(E60:I60)</f>
        <v>0</v>
      </c>
      <c r="D60" s="318">
        <f>IFERROR(C60/B60,0)</f>
        <v>0</v>
      </c>
      <c r="E60" s="320"/>
      <c r="F60" s="320"/>
      <c r="G60" s="320"/>
      <c r="H60" s="320"/>
      <c r="I60" s="320"/>
      <c r="J60" s="320"/>
      <c r="K60" s="321">
        <f t="shared" si="72"/>
        <v>0</v>
      </c>
      <c r="L60" s="317"/>
      <c r="M60" s="318">
        <f>SUM(O60:S60)</f>
        <v>0</v>
      </c>
      <c r="N60" s="318">
        <f>IFERROR(M60/L60,0)</f>
        <v>0</v>
      </c>
      <c r="O60" s="320"/>
      <c r="P60" s="320"/>
      <c r="Q60" s="320"/>
      <c r="R60" s="320"/>
      <c r="S60" s="320"/>
      <c r="T60" s="320"/>
      <c r="U60" s="321">
        <f t="shared" si="75"/>
        <v>0</v>
      </c>
      <c r="V60" s="317"/>
      <c r="W60" s="318">
        <f>SUM(Y60:AC60)</f>
        <v>0</v>
      </c>
      <c r="X60" s="318">
        <f>IFERROR(W60/V60,0)</f>
        <v>0</v>
      </c>
      <c r="Y60" s="320"/>
      <c r="Z60" s="320"/>
      <c r="AA60" s="320"/>
      <c r="AB60" s="320"/>
      <c r="AC60" s="320"/>
      <c r="AD60" s="320"/>
      <c r="AE60" s="321">
        <f t="shared" si="78"/>
        <v>0</v>
      </c>
      <c r="AF60" s="317"/>
      <c r="AG60" s="318">
        <f>SUM(AI60:AM60)</f>
        <v>0</v>
      </c>
      <c r="AH60" s="318">
        <f>IFERROR(AG60/AF60,0)</f>
        <v>0</v>
      </c>
      <c r="AI60" s="320"/>
      <c r="AJ60" s="320"/>
      <c r="AK60" s="320"/>
      <c r="AL60" s="320"/>
      <c r="AM60" s="320"/>
      <c r="AN60" s="320"/>
      <c r="AO60" s="321">
        <f t="shared" si="81"/>
        <v>0</v>
      </c>
      <c r="AP60" s="317"/>
      <c r="AQ60" s="318">
        <f>SUM(AS60:AW60)</f>
        <v>0</v>
      </c>
      <c r="AR60" s="318">
        <f>IFERROR(AQ60/AP60,0)</f>
        <v>0</v>
      </c>
      <c r="AS60" s="320"/>
      <c r="AT60" s="320"/>
      <c r="AU60" s="320"/>
      <c r="AV60" s="320"/>
      <c r="AW60" s="320"/>
      <c r="AX60" s="320"/>
      <c r="AY60" s="321">
        <f t="shared" si="84"/>
        <v>0</v>
      </c>
      <c r="AZ60" s="317"/>
      <c r="BA60" s="318">
        <f>SUM(BC60:BG60)</f>
        <v>0</v>
      </c>
      <c r="BB60" s="318">
        <f>IFERROR(BA60/AZ60,0)</f>
        <v>0</v>
      </c>
      <c r="BC60" s="320"/>
      <c r="BD60" s="320"/>
      <c r="BE60" s="320"/>
      <c r="BF60" s="320"/>
      <c r="BG60" s="320"/>
      <c r="BH60" s="320"/>
      <c r="BI60" s="321">
        <f t="shared" si="87"/>
        <v>0</v>
      </c>
      <c r="BJ60" s="323"/>
      <c r="BK60" s="318">
        <f t="shared" si="88"/>
        <v>0</v>
      </c>
      <c r="BL60" s="318">
        <f t="shared" si="89"/>
        <v>0</v>
      </c>
      <c r="BM60" s="320"/>
      <c r="BN60" s="320"/>
      <c r="BO60" s="320"/>
      <c r="BP60" s="320"/>
      <c r="BQ60" s="320"/>
      <c r="BR60" s="320"/>
      <c r="BS60" s="321">
        <f t="shared" si="90"/>
        <v>0</v>
      </c>
      <c r="BT60" s="207"/>
      <c r="BU60" s="318">
        <f t="shared" si="91"/>
        <v>0</v>
      </c>
      <c r="BV60" s="318">
        <f t="shared" si="92"/>
        <v>0</v>
      </c>
      <c r="BW60" s="208"/>
      <c r="BX60" s="208"/>
      <c r="BY60" s="208"/>
      <c r="BZ60" s="208"/>
      <c r="CA60" s="208"/>
      <c r="CB60" s="208"/>
      <c r="CC60" s="367">
        <f t="shared" si="93"/>
        <v>0</v>
      </c>
    </row>
    <row r="61" spans="1:81" s="316" customFormat="1" ht="15.95" customHeight="1">
      <c r="A61" s="214"/>
      <c r="B61" s="317"/>
      <c r="C61" s="318">
        <f>SUM(E61:I61)</f>
        <v>0</v>
      </c>
      <c r="D61" s="318">
        <f>IFERROR(C61/B61,0)</f>
        <v>0</v>
      </c>
      <c r="E61" s="320"/>
      <c r="F61" s="320"/>
      <c r="G61" s="320"/>
      <c r="H61" s="320"/>
      <c r="I61" s="320"/>
      <c r="J61" s="320"/>
      <c r="K61" s="321">
        <f t="shared" si="72"/>
        <v>0</v>
      </c>
      <c r="L61" s="317"/>
      <c r="M61" s="318">
        <f>SUM(O61:S61)</f>
        <v>0</v>
      </c>
      <c r="N61" s="318">
        <f>IFERROR(M61/L61,0)</f>
        <v>0</v>
      </c>
      <c r="O61" s="320"/>
      <c r="P61" s="320"/>
      <c r="Q61" s="320"/>
      <c r="R61" s="320"/>
      <c r="S61" s="320"/>
      <c r="T61" s="320"/>
      <c r="U61" s="321">
        <f t="shared" si="75"/>
        <v>0</v>
      </c>
      <c r="V61" s="317"/>
      <c r="W61" s="318">
        <f>SUM(Y61:AC61)</f>
        <v>0</v>
      </c>
      <c r="X61" s="318">
        <f>IFERROR(W61/V61,0)</f>
        <v>0</v>
      </c>
      <c r="Y61" s="320"/>
      <c r="Z61" s="320"/>
      <c r="AA61" s="320"/>
      <c r="AB61" s="320"/>
      <c r="AC61" s="320"/>
      <c r="AD61" s="320"/>
      <c r="AE61" s="321">
        <f t="shared" si="78"/>
        <v>0</v>
      </c>
      <c r="AF61" s="317"/>
      <c r="AG61" s="318">
        <f>SUM(AI61:AM61)</f>
        <v>0</v>
      </c>
      <c r="AH61" s="318">
        <f>IFERROR(AG61/AF61,0)</f>
        <v>0</v>
      </c>
      <c r="AI61" s="320"/>
      <c r="AJ61" s="320"/>
      <c r="AK61" s="320"/>
      <c r="AL61" s="320"/>
      <c r="AM61" s="320"/>
      <c r="AN61" s="320"/>
      <c r="AO61" s="321">
        <f t="shared" si="81"/>
        <v>0</v>
      </c>
      <c r="AP61" s="317"/>
      <c r="AQ61" s="318">
        <f>SUM(AS61:AW61)</f>
        <v>0</v>
      </c>
      <c r="AR61" s="318">
        <f>IFERROR(AQ61/AP61,0)</f>
        <v>0</v>
      </c>
      <c r="AS61" s="320"/>
      <c r="AT61" s="320"/>
      <c r="AU61" s="320"/>
      <c r="AV61" s="320"/>
      <c r="AW61" s="320"/>
      <c r="AX61" s="320"/>
      <c r="AY61" s="321">
        <f t="shared" si="84"/>
        <v>0</v>
      </c>
      <c r="AZ61" s="317"/>
      <c r="BA61" s="318">
        <f>SUM(BC61:BG61)</f>
        <v>0</v>
      </c>
      <c r="BB61" s="318">
        <f>IFERROR(BA61/AZ61,0)</f>
        <v>0</v>
      </c>
      <c r="BC61" s="320"/>
      <c r="BD61" s="320"/>
      <c r="BE61" s="320"/>
      <c r="BF61" s="320"/>
      <c r="BG61" s="320"/>
      <c r="BH61" s="320"/>
      <c r="BI61" s="321">
        <f t="shared" si="87"/>
        <v>0</v>
      </c>
      <c r="BJ61" s="323"/>
      <c r="BK61" s="318">
        <f t="shared" si="88"/>
        <v>0</v>
      </c>
      <c r="BL61" s="318">
        <f t="shared" si="89"/>
        <v>0</v>
      </c>
      <c r="BM61" s="320"/>
      <c r="BN61" s="320"/>
      <c r="BO61" s="320"/>
      <c r="BP61" s="320"/>
      <c r="BQ61" s="320"/>
      <c r="BR61" s="320"/>
      <c r="BS61" s="321">
        <f t="shared" si="90"/>
        <v>0</v>
      </c>
      <c r="BT61" s="207"/>
      <c r="BU61" s="318">
        <f t="shared" si="91"/>
        <v>0</v>
      </c>
      <c r="BV61" s="318">
        <f t="shared" si="92"/>
        <v>0</v>
      </c>
      <c r="BW61" s="208"/>
      <c r="BX61" s="208"/>
      <c r="BY61" s="208"/>
      <c r="BZ61" s="208"/>
      <c r="CA61" s="208"/>
      <c r="CB61" s="208"/>
      <c r="CC61" s="367">
        <f t="shared" si="93"/>
        <v>0</v>
      </c>
    </row>
    <row r="62" spans="1:81" s="316" customFormat="1" ht="15.95" customHeight="1">
      <c r="A62" s="214"/>
      <c r="B62" s="317"/>
      <c r="C62" s="318">
        <f t="shared" si="70"/>
        <v>0</v>
      </c>
      <c r="D62" s="318">
        <f t="shared" si="71"/>
        <v>0</v>
      </c>
      <c r="E62" s="320"/>
      <c r="F62" s="320"/>
      <c r="G62" s="320"/>
      <c r="H62" s="320"/>
      <c r="I62" s="320"/>
      <c r="J62" s="320"/>
      <c r="K62" s="321">
        <f t="shared" si="72"/>
        <v>0</v>
      </c>
      <c r="L62" s="317"/>
      <c r="M62" s="318">
        <f t="shared" si="73"/>
        <v>0</v>
      </c>
      <c r="N62" s="318">
        <f t="shared" si="74"/>
        <v>0</v>
      </c>
      <c r="O62" s="320"/>
      <c r="P62" s="320"/>
      <c r="Q62" s="320"/>
      <c r="R62" s="320"/>
      <c r="S62" s="320"/>
      <c r="T62" s="320"/>
      <c r="U62" s="321">
        <f t="shared" si="75"/>
        <v>0</v>
      </c>
      <c r="V62" s="317"/>
      <c r="W62" s="318">
        <f t="shared" si="76"/>
        <v>0</v>
      </c>
      <c r="X62" s="318">
        <f t="shared" si="77"/>
        <v>0</v>
      </c>
      <c r="Y62" s="320"/>
      <c r="Z62" s="320"/>
      <c r="AA62" s="320"/>
      <c r="AB62" s="320"/>
      <c r="AC62" s="320"/>
      <c r="AD62" s="320"/>
      <c r="AE62" s="321">
        <f t="shared" si="78"/>
        <v>0</v>
      </c>
      <c r="AF62" s="317"/>
      <c r="AG62" s="318">
        <f t="shared" ref="AG62" si="98">SUM(AI62:AM62)</f>
        <v>0</v>
      </c>
      <c r="AH62" s="318">
        <f t="shared" si="80"/>
        <v>0</v>
      </c>
      <c r="AI62" s="320"/>
      <c r="AJ62" s="320"/>
      <c r="AK62" s="320"/>
      <c r="AL62" s="320"/>
      <c r="AM62" s="320"/>
      <c r="AN62" s="320"/>
      <c r="AO62" s="321">
        <f t="shared" si="81"/>
        <v>0</v>
      </c>
      <c r="AP62" s="317"/>
      <c r="AQ62" s="318">
        <f t="shared" ref="AQ62" si="99">SUM(AS62:AW62)</f>
        <v>0</v>
      </c>
      <c r="AR62" s="318">
        <f t="shared" ref="AR62" si="100">IFERROR(AQ62/AP62,0)</f>
        <v>0</v>
      </c>
      <c r="AS62" s="320"/>
      <c r="AT62" s="320"/>
      <c r="AU62" s="320"/>
      <c r="AV62" s="320"/>
      <c r="AW62" s="320"/>
      <c r="AX62" s="320"/>
      <c r="AY62" s="321">
        <f t="shared" si="84"/>
        <v>0</v>
      </c>
      <c r="AZ62" s="317"/>
      <c r="BA62" s="318">
        <f t="shared" ref="BA62" si="101">SUM(BC62:BG62)</f>
        <v>0</v>
      </c>
      <c r="BB62" s="318">
        <f t="shared" ref="BB62" si="102">IFERROR(BA62/AZ62,0)</f>
        <v>0</v>
      </c>
      <c r="BC62" s="320"/>
      <c r="BD62" s="320"/>
      <c r="BE62" s="320"/>
      <c r="BF62" s="320"/>
      <c r="BG62" s="320"/>
      <c r="BH62" s="320"/>
      <c r="BI62" s="321">
        <f t="shared" si="87"/>
        <v>0</v>
      </c>
      <c r="BJ62" s="323"/>
      <c r="BK62" s="318">
        <f t="shared" si="88"/>
        <v>0</v>
      </c>
      <c r="BL62" s="318">
        <f t="shared" si="89"/>
        <v>0</v>
      </c>
      <c r="BM62" s="320"/>
      <c r="BN62" s="320"/>
      <c r="BO62" s="320"/>
      <c r="BP62" s="320"/>
      <c r="BQ62" s="320"/>
      <c r="BR62" s="320"/>
      <c r="BS62" s="321">
        <f t="shared" si="90"/>
        <v>0</v>
      </c>
      <c r="BT62" s="207"/>
      <c r="BU62" s="318">
        <f t="shared" si="91"/>
        <v>0</v>
      </c>
      <c r="BV62" s="318">
        <f t="shared" si="92"/>
        <v>0</v>
      </c>
      <c r="BW62" s="208"/>
      <c r="BX62" s="208"/>
      <c r="BY62" s="208"/>
      <c r="BZ62" s="208"/>
      <c r="CA62" s="208"/>
      <c r="CB62" s="208"/>
      <c r="CC62" s="367">
        <f t="shared" si="93"/>
        <v>0</v>
      </c>
    </row>
    <row r="63" spans="1:81" s="316" customFormat="1" ht="15.95" customHeight="1">
      <c r="A63" s="327" t="s">
        <v>153</v>
      </c>
      <c r="B63" s="317"/>
      <c r="C63" s="318"/>
      <c r="D63" s="318"/>
      <c r="E63" s="320"/>
      <c r="F63" s="320"/>
      <c r="G63" s="320"/>
      <c r="H63" s="320"/>
      <c r="I63" s="320"/>
      <c r="J63" s="320"/>
      <c r="K63" s="321"/>
      <c r="L63" s="317"/>
      <c r="M63" s="318"/>
      <c r="N63" s="318"/>
      <c r="O63" s="320"/>
      <c r="P63" s="320"/>
      <c r="Q63" s="320"/>
      <c r="R63" s="320"/>
      <c r="S63" s="320"/>
      <c r="T63" s="320"/>
      <c r="U63" s="321"/>
      <c r="V63" s="317"/>
      <c r="W63" s="318"/>
      <c r="X63" s="318"/>
      <c r="Y63" s="320"/>
      <c r="Z63" s="320"/>
      <c r="AA63" s="320"/>
      <c r="AB63" s="320"/>
      <c r="AC63" s="320"/>
      <c r="AD63" s="320"/>
      <c r="AE63" s="321"/>
      <c r="AF63" s="317"/>
      <c r="AG63" s="318"/>
      <c r="AH63" s="318"/>
      <c r="AI63" s="320"/>
      <c r="AJ63" s="320"/>
      <c r="AK63" s="320"/>
      <c r="AL63" s="320"/>
      <c r="AM63" s="320"/>
      <c r="AN63" s="320"/>
      <c r="AO63" s="321"/>
      <c r="AP63" s="317"/>
      <c r="AQ63" s="318"/>
      <c r="AR63" s="318"/>
      <c r="AS63" s="320"/>
      <c r="AT63" s="320"/>
      <c r="AU63" s="320"/>
      <c r="AV63" s="320"/>
      <c r="AW63" s="320"/>
      <c r="AX63" s="320"/>
      <c r="AY63" s="321"/>
      <c r="AZ63" s="317"/>
      <c r="BA63" s="318"/>
      <c r="BB63" s="318"/>
      <c r="BC63" s="320"/>
      <c r="BD63" s="320"/>
      <c r="BE63" s="320"/>
      <c r="BF63" s="320"/>
      <c r="BG63" s="320"/>
      <c r="BH63" s="320"/>
      <c r="BI63" s="321"/>
      <c r="BJ63" s="317"/>
      <c r="BK63" s="318"/>
      <c r="BL63" s="318"/>
      <c r="BM63" s="320"/>
      <c r="BN63" s="320"/>
      <c r="BO63" s="320"/>
      <c r="BP63" s="320"/>
      <c r="BQ63" s="320"/>
      <c r="BR63" s="320"/>
      <c r="BS63" s="321"/>
      <c r="BT63" s="317"/>
      <c r="BU63" s="318"/>
      <c r="BV63" s="318"/>
      <c r="BW63" s="320"/>
      <c r="BX63" s="320"/>
      <c r="BY63" s="320"/>
      <c r="BZ63" s="320"/>
      <c r="CA63" s="320"/>
      <c r="CB63" s="320"/>
      <c r="CC63" s="321"/>
    </row>
    <row r="64" spans="1:81" s="316" customFormat="1" ht="15.95" customHeight="1">
      <c r="A64" s="328" t="s">
        <v>175</v>
      </c>
      <c r="B64" s="329">
        <f>SUM(B$46:B63)</f>
        <v>256</v>
      </c>
      <c r="C64" s="318">
        <f>SUM(C$46:C63)</f>
        <v>374349.36</v>
      </c>
      <c r="D64" s="318">
        <f>IFERROR(C64/B64,0)</f>
        <v>1462.3021874999999</v>
      </c>
      <c r="E64" s="330">
        <f>SUM(E$46:E63)</f>
        <v>8913</v>
      </c>
      <c r="F64" s="330">
        <f>SUM(F$46:F63)</f>
        <v>85468.5</v>
      </c>
      <c r="G64" s="330">
        <f>SUM(G$46:G63)</f>
        <v>9474.75</v>
      </c>
      <c r="H64" s="330">
        <f>SUM(H$46:H63)</f>
        <v>137485.43</v>
      </c>
      <c r="I64" s="330">
        <f>SUM(I$46:I63)</f>
        <v>133007.67999999999</v>
      </c>
      <c r="J64" s="330">
        <f>SUM(J$46:J63)</f>
        <v>351310.72</v>
      </c>
      <c r="K64" s="321">
        <f>SUM(K$46:K63)</f>
        <v>8913</v>
      </c>
      <c r="L64" s="329">
        <f>SUM(L$46:L63)</f>
        <v>344</v>
      </c>
      <c r="M64" s="318">
        <f>SUM(M$46:M63)</f>
        <v>357429.51</v>
      </c>
      <c r="N64" s="318">
        <f>IFERROR(M64/L64,0)</f>
        <v>1039.0392732558139</v>
      </c>
      <c r="O64" s="330">
        <f>SUM(O$46:O63)</f>
        <v>20887.5</v>
      </c>
      <c r="P64" s="330">
        <f>SUM(P$46:P63)</f>
        <v>94247</v>
      </c>
      <c r="Q64" s="330">
        <f>SUM(Q$46:Q63)</f>
        <v>14213.5</v>
      </c>
      <c r="R64" s="330">
        <f>SUM(R$46:R63)</f>
        <v>114960.13</v>
      </c>
      <c r="S64" s="330">
        <f>SUM(S$46:S63)</f>
        <v>113121.38</v>
      </c>
      <c r="T64" s="330">
        <f>SUM(T$46:T63)</f>
        <v>343658.63</v>
      </c>
      <c r="U64" s="321">
        <f>SUM(U$46:U63)</f>
        <v>20887.5</v>
      </c>
      <c r="V64" s="329">
        <f>SUM(V$46:V63)</f>
        <v>438</v>
      </c>
      <c r="W64" s="318">
        <f>SUM(W$46:W63)</f>
        <v>405175</v>
      </c>
      <c r="X64" s="318">
        <f>IFERROR(W64/V64,0)</f>
        <v>925.05707762557074</v>
      </c>
      <c r="Y64" s="330">
        <f>SUM(Y$46:Y63)</f>
        <v>22552</v>
      </c>
      <c r="Z64" s="330">
        <f>SUM(Z$46:Z63)</f>
        <v>113541</v>
      </c>
      <c r="AA64" s="330">
        <f>SUM(AA$46:AA63)</f>
        <v>13466</v>
      </c>
      <c r="AB64" s="330">
        <f>SUM(AB$46:AB63)</f>
        <v>151962</v>
      </c>
      <c r="AC64" s="330">
        <f>SUM(AC$46:AC63)</f>
        <v>103654</v>
      </c>
      <c r="AD64" s="330">
        <f>SUM(AD$46:AD63)</f>
        <v>387178</v>
      </c>
      <c r="AE64" s="321">
        <f>SUM(AE$46:AE63)</f>
        <v>22552</v>
      </c>
      <c r="AF64" s="329">
        <f>SUM(AF$46:AF63)</f>
        <v>403</v>
      </c>
      <c r="AG64" s="318">
        <f>SUM(AG$46:AG63)</f>
        <v>489674.86</v>
      </c>
      <c r="AH64" s="318">
        <f>IFERROR(AG64/AF64,0)</f>
        <v>1215.0740942928039</v>
      </c>
      <c r="AI64" s="330">
        <f>SUM(AI$46:AI63)</f>
        <v>40392.5</v>
      </c>
      <c r="AJ64" s="330">
        <f>SUM(AJ$46:AJ63)</f>
        <v>140144.75</v>
      </c>
      <c r="AK64" s="330">
        <f>SUM(AK$46:AK63)</f>
        <v>10890</v>
      </c>
      <c r="AL64" s="330">
        <f>SUM(AL$46:AL63)</f>
        <v>182674.93</v>
      </c>
      <c r="AM64" s="330">
        <f>SUM(AM$46:AM63)</f>
        <v>115572.68</v>
      </c>
      <c r="AN64" s="330">
        <f>SUM(AN$46:AN63)</f>
        <v>466562.36</v>
      </c>
      <c r="AO64" s="321">
        <f>SUM(AO$46:AO63)</f>
        <v>40392.5</v>
      </c>
      <c r="AP64" s="329">
        <f>SUM(AP$46:AP63)</f>
        <v>403</v>
      </c>
      <c r="AQ64" s="318">
        <f>SUM(AQ$46:AQ63)</f>
        <v>479223.88</v>
      </c>
      <c r="AR64" s="318">
        <f>IFERROR(AQ64/AP64,0)</f>
        <v>1189.141141439206</v>
      </c>
      <c r="AS64" s="330">
        <f>SUM(AS$46:AS63)</f>
        <v>35217.1</v>
      </c>
      <c r="AT64" s="330">
        <f>SUM(AT$46:AT63)</f>
        <v>125156</v>
      </c>
      <c r="AU64" s="330">
        <f>SUM(AU$46:AU63)</f>
        <v>14195.25</v>
      </c>
      <c r="AV64" s="330">
        <f>SUM(AV$46:AV63)</f>
        <v>187956.66</v>
      </c>
      <c r="AW64" s="330">
        <f>SUM(AW$46:AW63)</f>
        <v>116698.87</v>
      </c>
      <c r="AX64" s="330">
        <f>SUM(AX$46:AX63)</f>
        <v>452221.2</v>
      </c>
      <c r="AY64" s="321">
        <f>SUM(AY$46:AY63)</f>
        <v>35217.1</v>
      </c>
      <c r="AZ64" s="329">
        <f>SUM(AZ$46:AZ63)</f>
        <v>334</v>
      </c>
      <c r="BA64" s="318">
        <f>SUM(BA$46:BA63)</f>
        <v>384342.45</v>
      </c>
      <c r="BB64" s="318">
        <f>IFERROR(BA64/AZ64,0)</f>
        <v>1150.7258982035928</v>
      </c>
      <c r="BC64" s="330">
        <f>SUM(BC$46:BC63)</f>
        <v>15132</v>
      </c>
      <c r="BD64" s="330">
        <f>SUM(BD$46:BD63)</f>
        <v>109782</v>
      </c>
      <c r="BE64" s="330">
        <f>SUM(BE$46:BE63)</f>
        <v>24022.25</v>
      </c>
      <c r="BF64" s="330">
        <f>SUM(BF$46:BF63)</f>
        <v>146724.43</v>
      </c>
      <c r="BG64" s="330">
        <f>SUM(BG$46:BG63)</f>
        <v>88681.77</v>
      </c>
      <c r="BH64" s="330">
        <f>SUM(BH$46:BH63)</f>
        <v>364980.2</v>
      </c>
      <c r="BI64" s="321">
        <f>SUM(BI$46:BI63)</f>
        <v>15132</v>
      </c>
      <c r="BJ64" s="329">
        <f>SUM(BJ$46:BJ63)</f>
        <v>399</v>
      </c>
      <c r="BK64" s="318">
        <f>SUM(BK$46:BK63)</f>
        <v>412971.46000000008</v>
      </c>
      <c r="BL64" s="318">
        <f>IFERROR(BK64/BJ64,0)</f>
        <v>1035.0161904761908</v>
      </c>
      <c r="BM64" s="330">
        <f>SUM(BM$46:BM63)</f>
        <v>23079</v>
      </c>
      <c r="BN64" s="330">
        <f>SUM(BN$46:BN63)</f>
        <v>125828.25</v>
      </c>
      <c r="BO64" s="330">
        <f>SUM(BO$46:BO63)</f>
        <v>27800.5</v>
      </c>
      <c r="BP64" s="330">
        <f>SUM(BP$46:BP63)</f>
        <v>142287.10999999999</v>
      </c>
      <c r="BQ64" s="330">
        <f>SUM(BQ$46:BQ63)</f>
        <v>93976.6</v>
      </c>
      <c r="BR64" s="330">
        <f>SUM(BR$46:BR63)</f>
        <v>403058.46000000008</v>
      </c>
      <c r="BS64" s="321">
        <f>SUM(BS$46:BS63)</f>
        <v>142499.25</v>
      </c>
      <c r="BT64" s="329">
        <f>SUM(BT$46:BT63)</f>
        <v>290</v>
      </c>
      <c r="BU64" s="318">
        <f>SUM(BU$46:BU63)</f>
        <v>425524</v>
      </c>
      <c r="BV64" s="318">
        <f>IFERROR(BU64/BT64,0)</f>
        <v>1467.3241379310346</v>
      </c>
      <c r="BW64" s="330">
        <f>SUM(BW$46:BW63)</f>
        <v>33565.5</v>
      </c>
      <c r="BX64" s="330">
        <f>SUM(BX$46:BX63)</f>
        <v>137491.25</v>
      </c>
      <c r="BY64" s="330">
        <f>SUM(BY$46:BY63)</f>
        <v>15597</v>
      </c>
      <c r="BZ64" s="330">
        <f>SUM(BZ$46:BZ63)</f>
        <v>129146.85</v>
      </c>
      <c r="CA64" s="330">
        <f>SUM(CA$46:CA63)</f>
        <v>109721.34</v>
      </c>
      <c r="CB64" s="330">
        <f>SUM(CB$46:CB63)</f>
        <v>380202.43999999994</v>
      </c>
      <c r="CC64" s="321">
        <f>SUM(CC$46:CC63)</f>
        <v>162045.5</v>
      </c>
    </row>
    <row r="65" spans="1:81" s="316" customFormat="1" ht="15.95" customHeight="1">
      <c r="A65" s="322"/>
      <c r="B65" s="317"/>
      <c r="C65" s="318"/>
      <c r="D65" s="318"/>
      <c r="E65" s="320"/>
      <c r="F65" s="320"/>
      <c r="G65" s="320"/>
      <c r="H65" s="320"/>
      <c r="I65" s="320"/>
      <c r="J65" s="320"/>
      <c r="K65" s="321"/>
      <c r="L65" s="317"/>
      <c r="M65" s="318"/>
      <c r="N65" s="318"/>
      <c r="O65" s="320"/>
      <c r="P65" s="320"/>
      <c r="Q65" s="320"/>
      <c r="R65" s="320"/>
      <c r="S65" s="320"/>
      <c r="T65" s="320"/>
      <c r="U65" s="321"/>
      <c r="V65" s="317"/>
      <c r="W65" s="318"/>
      <c r="X65" s="318"/>
      <c r="Y65" s="320"/>
      <c r="Z65" s="320"/>
      <c r="AA65" s="320"/>
      <c r="AB65" s="320"/>
      <c r="AC65" s="320"/>
      <c r="AD65" s="320"/>
      <c r="AE65" s="321"/>
      <c r="AF65" s="317"/>
      <c r="AG65" s="318"/>
      <c r="AH65" s="318"/>
      <c r="AI65" s="320"/>
      <c r="AJ65" s="320"/>
      <c r="AK65" s="320"/>
      <c r="AL65" s="320"/>
      <c r="AM65" s="320"/>
      <c r="AN65" s="320"/>
      <c r="AO65" s="321"/>
      <c r="AP65" s="317"/>
      <c r="AQ65" s="318"/>
      <c r="AR65" s="318"/>
      <c r="AS65" s="320"/>
      <c r="AT65" s="320"/>
      <c r="AU65" s="320"/>
      <c r="AV65" s="320"/>
      <c r="AW65" s="320"/>
      <c r="AX65" s="320"/>
      <c r="AY65" s="321"/>
      <c r="AZ65" s="317"/>
      <c r="BA65" s="318"/>
      <c r="BB65" s="318"/>
      <c r="BC65" s="320"/>
      <c r="BD65" s="320"/>
      <c r="BE65" s="320"/>
      <c r="BF65" s="320"/>
      <c r="BG65" s="320"/>
      <c r="BH65" s="320"/>
      <c r="BI65" s="321"/>
      <c r="BJ65" s="317"/>
      <c r="BK65" s="318"/>
      <c r="BL65" s="318"/>
      <c r="BM65" s="320"/>
      <c r="BN65" s="320"/>
      <c r="BO65" s="320"/>
      <c r="BP65" s="320"/>
      <c r="BQ65" s="320"/>
      <c r="BR65" s="320"/>
      <c r="BS65" s="321"/>
      <c r="BT65" s="317"/>
      <c r="BU65" s="318"/>
      <c r="BV65" s="318"/>
      <c r="BW65" s="320"/>
      <c r="BX65" s="320"/>
      <c r="BY65" s="320"/>
      <c r="BZ65" s="320"/>
      <c r="CA65" s="320"/>
      <c r="CB65" s="320"/>
      <c r="CC65" s="321"/>
    </row>
    <row r="66" spans="1:81" s="316" customFormat="1" ht="15.95" customHeight="1">
      <c r="A66" s="328" t="s">
        <v>176</v>
      </c>
      <c r="B66" s="329">
        <f>SUM(B29+B44+B64)</f>
        <v>3853</v>
      </c>
      <c r="C66" s="318">
        <f>SUM(C29+C44+C64)</f>
        <v>9306149.9699999988</v>
      </c>
      <c r="D66" s="318">
        <f>IFERROR(C66/B66,0)</f>
        <v>2415.2997586296387</v>
      </c>
      <c r="E66" s="330">
        <f t="shared" ref="E66:M66" si="103">SUM(E29+E44+E64)</f>
        <v>183314.5</v>
      </c>
      <c r="F66" s="330">
        <f t="shared" si="103"/>
        <v>114309.5</v>
      </c>
      <c r="G66" s="330">
        <f t="shared" si="103"/>
        <v>424578.75</v>
      </c>
      <c r="H66" s="330">
        <f t="shared" si="103"/>
        <v>8192771.04</v>
      </c>
      <c r="I66" s="330">
        <f t="shared" si="103"/>
        <v>391176.18</v>
      </c>
      <c r="J66" s="330">
        <f t="shared" si="103"/>
        <v>8539966.8300000001</v>
      </c>
      <c r="K66" s="321">
        <f t="shared" ref="K66" si="104">SUM(K29+K44+K64)</f>
        <v>183314.5</v>
      </c>
      <c r="L66" s="329">
        <f t="shared" si="103"/>
        <v>3731</v>
      </c>
      <c r="M66" s="318">
        <f t="shared" si="103"/>
        <v>8700281.7599999998</v>
      </c>
      <c r="N66" s="318">
        <f>IFERROR(M66/L66,0)</f>
        <v>2331.890045564192</v>
      </c>
      <c r="O66" s="330">
        <f t="shared" ref="O66:W66" si="105">SUM(O29+O44+O64)</f>
        <v>221314</v>
      </c>
      <c r="P66" s="330">
        <f t="shared" si="105"/>
        <v>147764</v>
      </c>
      <c r="Q66" s="330">
        <f t="shared" si="105"/>
        <v>420877.5</v>
      </c>
      <c r="R66" s="330">
        <f t="shared" si="105"/>
        <v>7588745.6299999999</v>
      </c>
      <c r="S66" s="330">
        <f t="shared" si="105"/>
        <v>321580.63</v>
      </c>
      <c r="T66" s="330">
        <f t="shared" si="105"/>
        <v>8047438.8799999999</v>
      </c>
      <c r="U66" s="321">
        <f t="shared" ref="U66" si="106">SUM(U29+U44+U64)</f>
        <v>221314</v>
      </c>
      <c r="V66" s="329">
        <f t="shared" si="105"/>
        <v>4005</v>
      </c>
      <c r="W66" s="318">
        <f t="shared" si="105"/>
        <v>8837917</v>
      </c>
      <c r="X66" s="318">
        <f>IFERROR(W66/V66,0)</f>
        <v>2206.7208489388263</v>
      </c>
      <c r="Y66" s="330">
        <f t="shared" ref="Y66:AG66" si="107">SUM(Y29+Y44+Y64)</f>
        <v>207241</v>
      </c>
      <c r="Z66" s="330">
        <f t="shared" si="107"/>
        <v>126533</v>
      </c>
      <c r="AA66" s="330">
        <f t="shared" si="107"/>
        <v>518850</v>
      </c>
      <c r="AB66" s="330">
        <f t="shared" si="107"/>
        <v>7640743</v>
      </c>
      <c r="AC66" s="330">
        <f t="shared" si="107"/>
        <v>344550</v>
      </c>
      <c r="AD66" s="330">
        <f t="shared" si="107"/>
        <v>8117968</v>
      </c>
      <c r="AE66" s="321">
        <f t="shared" ref="AE66" si="108">SUM(AE29+AE44+AE64)</f>
        <v>207241</v>
      </c>
      <c r="AF66" s="329">
        <f t="shared" si="107"/>
        <v>3803</v>
      </c>
      <c r="AG66" s="318">
        <f t="shared" si="107"/>
        <v>8898695.0799999982</v>
      </c>
      <c r="AH66" s="318">
        <f>IFERROR(AG66/AF66,0)</f>
        <v>2339.914562187746</v>
      </c>
      <c r="AI66" s="330">
        <f t="shared" ref="AI66:AQ66" si="109">SUM(AI29+AI44+AI64)</f>
        <v>189567.5</v>
      </c>
      <c r="AJ66" s="330">
        <f t="shared" si="109"/>
        <v>160144.75</v>
      </c>
      <c r="AK66" s="330">
        <f t="shared" si="109"/>
        <v>523675.8</v>
      </c>
      <c r="AL66" s="330">
        <f t="shared" si="109"/>
        <v>7625069.9299999997</v>
      </c>
      <c r="AM66" s="330">
        <f t="shared" si="109"/>
        <v>400237.10000000003</v>
      </c>
      <c r="AN66" s="330">
        <f t="shared" si="109"/>
        <v>8249079.9800000004</v>
      </c>
      <c r="AO66" s="321">
        <f t="shared" ref="AO66" si="110">SUM(AO29+AO44+AO64)</f>
        <v>189567.5</v>
      </c>
      <c r="AP66" s="329">
        <f t="shared" si="109"/>
        <v>3820</v>
      </c>
      <c r="AQ66" s="318">
        <f t="shared" si="109"/>
        <v>8696694.4100000001</v>
      </c>
      <c r="AR66" s="318">
        <f>IFERROR(AQ66/AP66,0)</f>
        <v>2276.6215732984292</v>
      </c>
      <c r="AS66" s="330">
        <f t="shared" ref="AS66:AX66" si="111">SUM(AS29+AS44+AS64)</f>
        <v>156098.85</v>
      </c>
      <c r="AT66" s="330">
        <f t="shared" si="111"/>
        <v>143588.58000000002</v>
      </c>
      <c r="AU66" s="330">
        <f t="shared" si="111"/>
        <v>591974.94999999995</v>
      </c>
      <c r="AV66" s="330">
        <f t="shared" si="111"/>
        <v>7404349.6600000001</v>
      </c>
      <c r="AW66" s="330">
        <f t="shared" si="111"/>
        <v>400682.37</v>
      </c>
      <c r="AX66" s="330">
        <f t="shared" si="111"/>
        <v>8057337.7300000004</v>
      </c>
      <c r="AY66" s="321">
        <f t="shared" ref="AY66:BA66" si="112">SUM(AY29+AY44+AY64)</f>
        <v>156098.85</v>
      </c>
      <c r="AZ66" s="329">
        <f t="shared" si="112"/>
        <v>3517</v>
      </c>
      <c r="BA66" s="318">
        <f t="shared" si="112"/>
        <v>7533637.0800000001</v>
      </c>
      <c r="BB66" s="318">
        <f>IFERROR(BA66/AZ66,0)</f>
        <v>2142.0634290588569</v>
      </c>
      <c r="BC66" s="330">
        <f t="shared" ref="BC66:BH66" si="113">SUM(BC29+BC44+BC64)</f>
        <v>134034.5</v>
      </c>
      <c r="BD66" s="330">
        <f t="shared" si="113"/>
        <v>129782</v>
      </c>
      <c r="BE66" s="330">
        <f t="shared" si="113"/>
        <v>677164.51</v>
      </c>
      <c r="BF66" s="330">
        <f t="shared" si="113"/>
        <v>6174627.4299999997</v>
      </c>
      <c r="BG66" s="330">
        <f t="shared" si="113"/>
        <v>418028.64</v>
      </c>
      <c r="BH66" s="330">
        <f t="shared" si="113"/>
        <v>6945734.8300000001</v>
      </c>
      <c r="BI66" s="321">
        <f t="shared" ref="BI66:BK66" si="114">SUM(BI29+BI44+BI64)</f>
        <v>134034.5</v>
      </c>
      <c r="BJ66" s="329">
        <f t="shared" si="114"/>
        <v>3256</v>
      </c>
      <c r="BK66" s="318">
        <f t="shared" si="114"/>
        <v>7746454.6100000003</v>
      </c>
      <c r="BL66" s="318">
        <f>IFERROR(BK66/BJ66,0)</f>
        <v>2379.1322512285014</v>
      </c>
      <c r="BM66" s="330">
        <f t="shared" ref="BM66:BR66" si="115">SUM(BM29+BM44+BM64)</f>
        <v>129458.75</v>
      </c>
      <c r="BN66" s="330">
        <f t="shared" si="115"/>
        <v>166068.25</v>
      </c>
      <c r="BO66" s="330">
        <f t="shared" si="115"/>
        <v>824463.69</v>
      </c>
      <c r="BP66" s="330">
        <f t="shared" si="115"/>
        <v>6179428.1100000003</v>
      </c>
      <c r="BQ66" s="330">
        <f t="shared" si="115"/>
        <v>447035.81000000006</v>
      </c>
      <c r="BR66" s="330">
        <f t="shared" si="115"/>
        <v>7317561.4900000002</v>
      </c>
      <c r="BS66" s="321">
        <f t="shared" ref="BS66:BU66" si="116">SUM(BS29+BS44+BS64)</f>
        <v>248879</v>
      </c>
      <c r="BT66" s="329">
        <f t="shared" si="116"/>
        <v>3138</v>
      </c>
      <c r="BU66" s="318">
        <f t="shared" si="116"/>
        <v>8177514.9000000004</v>
      </c>
      <c r="BV66" s="318">
        <f>IFERROR(BU66/BT66,0)</f>
        <v>2605.9639579349905</v>
      </c>
      <c r="BW66" s="330">
        <f t="shared" ref="BW66:CB66" si="117">SUM(BW29+BW44+BW64)</f>
        <v>127465.5</v>
      </c>
      <c r="BX66" s="330">
        <f t="shared" si="117"/>
        <v>177045.25</v>
      </c>
      <c r="BY66" s="330">
        <f t="shared" si="117"/>
        <v>991987.9</v>
      </c>
      <c r="BZ66" s="330">
        <f t="shared" si="117"/>
        <v>6369724.8499999996</v>
      </c>
      <c r="CA66" s="330">
        <f t="shared" si="117"/>
        <v>511289.12</v>
      </c>
      <c r="CB66" s="330">
        <f t="shared" si="117"/>
        <v>7676291.1899999995</v>
      </c>
      <c r="CC66" s="321">
        <f t="shared" ref="CC66" si="118">SUM(CC29+CC44+CC64)</f>
        <v>255945.5</v>
      </c>
    </row>
    <row r="67" spans="1:81" s="316" customFormat="1" ht="15.95" customHeight="1">
      <c r="A67" s="322"/>
      <c r="B67" s="317"/>
      <c r="C67" s="318"/>
      <c r="D67" s="318"/>
      <c r="E67" s="320"/>
      <c r="F67" s="320"/>
      <c r="G67" s="320"/>
      <c r="H67" s="320"/>
      <c r="I67" s="320"/>
      <c r="J67" s="320"/>
      <c r="K67" s="321"/>
      <c r="L67" s="317"/>
      <c r="M67" s="318"/>
      <c r="N67" s="318"/>
      <c r="O67" s="320"/>
      <c r="P67" s="320"/>
      <c r="Q67" s="320"/>
      <c r="R67" s="320"/>
      <c r="S67" s="320"/>
      <c r="T67" s="320"/>
      <c r="U67" s="321"/>
      <c r="V67" s="317"/>
      <c r="W67" s="318"/>
      <c r="X67" s="318"/>
      <c r="Y67" s="320"/>
      <c r="Z67" s="320"/>
      <c r="AA67" s="320"/>
      <c r="AB67" s="320"/>
      <c r="AC67" s="320"/>
      <c r="AD67" s="320"/>
      <c r="AE67" s="321"/>
      <c r="AF67" s="317"/>
      <c r="AG67" s="318"/>
      <c r="AH67" s="318"/>
      <c r="AI67" s="320"/>
      <c r="AJ67" s="320"/>
      <c r="AK67" s="320"/>
      <c r="AL67" s="320"/>
      <c r="AM67" s="320"/>
      <c r="AN67" s="320"/>
      <c r="AO67" s="321"/>
      <c r="AP67" s="317"/>
      <c r="AQ67" s="318"/>
      <c r="AR67" s="318"/>
      <c r="AS67" s="320"/>
      <c r="AT67" s="320"/>
      <c r="AU67" s="320"/>
      <c r="AV67" s="320"/>
      <c r="AW67" s="320"/>
      <c r="AX67" s="320"/>
      <c r="AY67" s="321"/>
      <c r="AZ67" s="317"/>
      <c r="BA67" s="318"/>
      <c r="BB67" s="318"/>
      <c r="BC67" s="320"/>
      <c r="BD67" s="320"/>
      <c r="BE67" s="320"/>
      <c r="BF67" s="320"/>
      <c r="BG67" s="320"/>
      <c r="BH67" s="320"/>
      <c r="BI67" s="321"/>
      <c r="BJ67" s="317"/>
      <c r="BK67" s="318"/>
      <c r="BL67" s="318"/>
      <c r="BM67" s="320"/>
      <c r="BN67" s="320"/>
      <c r="BO67" s="320"/>
      <c r="BP67" s="320"/>
      <c r="BQ67" s="320"/>
      <c r="BR67" s="320"/>
      <c r="BS67" s="321"/>
      <c r="BT67" s="317"/>
      <c r="BU67" s="318"/>
      <c r="BV67" s="318"/>
      <c r="BW67" s="320"/>
      <c r="BX67" s="320"/>
      <c r="BY67" s="320"/>
      <c r="BZ67" s="320"/>
      <c r="CA67" s="320"/>
      <c r="CB67" s="320"/>
      <c r="CC67" s="321"/>
    </row>
    <row r="68" spans="1:81" s="316" customFormat="1" ht="15.95" customHeight="1">
      <c r="A68" s="322" t="s">
        <v>177</v>
      </c>
      <c r="B68" s="317"/>
      <c r="C68" s="318"/>
      <c r="D68" s="318"/>
      <c r="E68" s="320"/>
      <c r="F68" s="320"/>
      <c r="G68" s="320"/>
      <c r="H68" s="320"/>
      <c r="I68" s="320"/>
      <c r="J68" s="320"/>
      <c r="K68" s="321"/>
      <c r="L68" s="317"/>
      <c r="M68" s="318"/>
      <c r="N68" s="318"/>
      <c r="O68" s="320"/>
      <c r="P68" s="320"/>
      <c r="Q68" s="320"/>
      <c r="R68" s="320"/>
      <c r="S68" s="320"/>
      <c r="T68" s="320"/>
      <c r="U68" s="321"/>
      <c r="V68" s="317"/>
      <c r="W68" s="318"/>
      <c r="X68" s="318"/>
      <c r="Y68" s="320"/>
      <c r="Z68" s="320"/>
      <c r="AA68" s="320"/>
      <c r="AB68" s="320"/>
      <c r="AC68" s="320"/>
      <c r="AD68" s="320"/>
      <c r="AE68" s="321"/>
      <c r="AF68" s="317"/>
      <c r="AG68" s="318"/>
      <c r="AH68" s="318"/>
      <c r="AI68" s="320"/>
      <c r="AJ68" s="320"/>
      <c r="AK68" s="320"/>
      <c r="AL68" s="320"/>
      <c r="AM68" s="320"/>
      <c r="AN68" s="320"/>
      <c r="AO68" s="321"/>
      <c r="AP68" s="317"/>
      <c r="AQ68" s="318"/>
      <c r="AR68" s="318"/>
      <c r="AS68" s="320"/>
      <c r="AT68" s="320"/>
      <c r="AU68" s="320"/>
      <c r="AV68" s="320"/>
      <c r="AW68" s="320"/>
      <c r="AX68" s="320"/>
      <c r="AY68" s="321"/>
      <c r="AZ68" s="317"/>
      <c r="BA68" s="318"/>
      <c r="BB68" s="318"/>
      <c r="BC68" s="320"/>
      <c r="BD68" s="320"/>
      <c r="BE68" s="320"/>
      <c r="BF68" s="320"/>
      <c r="BG68" s="320"/>
      <c r="BH68" s="320"/>
      <c r="BI68" s="321"/>
      <c r="BJ68" s="317"/>
      <c r="BK68" s="318"/>
      <c r="BL68" s="318"/>
      <c r="BM68" s="320"/>
      <c r="BN68" s="320"/>
      <c r="BO68" s="320"/>
      <c r="BP68" s="320"/>
      <c r="BQ68" s="320"/>
      <c r="BR68" s="320"/>
      <c r="BS68" s="321"/>
      <c r="BT68" s="317"/>
      <c r="BU68" s="318"/>
      <c r="BV68" s="318"/>
      <c r="BW68" s="320"/>
      <c r="BX68" s="320"/>
      <c r="BY68" s="320"/>
      <c r="BZ68" s="320"/>
      <c r="CA68" s="320"/>
      <c r="CB68" s="320"/>
      <c r="CC68" s="321"/>
    </row>
    <row r="69" spans="1:81" s="316" customFormat="1" ht="15.95" customHeight="1">
      <c r="A69" s="322"/>
      <c r="B69" s="317"/>
      <c r="C69" s="318"/>
      <c r="D69" s="318"/>
      <c r="E69" s="320"/>
      <c r="F69" s="320"/>
      <c r="G69" s="320"/>
      <c r="H69" s="320"/>
      <c r="I69" s="320"/>
      <c r="J69" s="320"/>
      <c r="K69" s="321"/>
      <c r="L69" s="317"/>
      <c r="M69" s="318"/>
      <c r="N69" s="318"/>
      <c r="O69" s="320"/>
      <c r="P69" s="320"/>
      <c r="Q69" s="320"/>
      <c r="R69" s="320"/>
      <c r="S69" s="320"/>
      <c r="T69" s="320"/>
      <c r="U69" s="321"/>
      <c r="V69" s="317"/>
      <c r="W69" s="318"/>
      <c r="X69" s="318"/>
      <c r="Y69" s="320"/>
      <c r="Z69" s="320"/>
      <c r="AA69" s="320"/>
      <c r="AB69" s="320"/>
      <c r="AC69" s="320"/>
      <c r="AD69" s="320"/>
      <c r="AE69" s="321"/>
      <c r="AF69" s="317"/>
      <c r="AG69" s="318"/>
      <c r="AH69" s="318"/>
      <c r="AI69" s="320"/>
      <c r="AJ69" s="320"/>
      <c r="AK69" s="320"/>
      <c r="AL69" s="320"/>
      <c r="AM69" s="320"/>
      <c r="AN69" s="320"/>
      <c r="AO69" s="321"/>
      <c r="AP69" s="317"/>
      <c r="AQ69" s="318"/>
      <c r="AR69" s="318"/>
      <c r="AS69" s="320"/>
      <c r="AT69" s="320"/>
      <c r="AU69" s="320"/>
      <c r="AV69" s="320"/>
      <c r="AW69" s="320"/>
      <c r="AX69" s="320"/>
      <c r="AY69" s="321"/>
      <c r="AZ69" s="317"/>
      <c r="BA69" s="318"/>
      <c r="BB69" s="318"/>
      <c r="BC69" s="320"/>
      <c r="BD69" s="320"/>
      <c r="BE69" s="320"/>
      <c r="BF69" s="320"/>
      <c r="BG69" s="320"/>
      <c r="BH69" s="320"/>
      <c r="BI69" s="321"/>
      <c r="BJ69" s="317"/>
      <c r="BK69" s="318"/>
      <c r="BL69" s="318"/>
      <c r="BM69" s="320"/>
      <c r="BN69" s="320"/>
      <c r="BO69" s="320"/>
      <c r="BP69" s="320"/>
      <c r="BQ69" s="320"/>
      <c r="BR69" s="320"/>
      <c r="BS69" s="321"/>
      <c r="BT69" s="317"/>
      <c r="BU69" s="318"/>
      <c r="BV69" s="318"/>
      <c r="BW69" s="320"/>
      <c r="BX69" s="320"/>
      <c r="BY69" s="320"/>
      <c r="BZ69" s="320"/>
      <c r="CA69" s="320"/>
      <c r="CB69" s="320"/>
      <c r="CC69" s="321"/>
    </row>
    <row r="70" spans="1:81" s="316" customFormat="1" ht="15.95" customHeight="1">
      <c r="A70" s="324" t="s">
        <v>142</v>
      </c>
      <c r="B70" s="317"/>
      <c r="C70" s="318"/>
      <c r="D70" s="318"/>
      <c r="E70" s="320"/>
      <c r="F70" s="320"/>
      <c r="G70" s="320"/>
      <c r="H70" s="320"/>
      <c r="I70" s="320"/>
      <c r="J70" s="320"/>
      <c r="K70" s="321"/>
      <c r="L70" s="317"/>
      <c r="M70" s="318"/>
      <c r="N70" s="318"/>
      <c r="O70" s="320"/>
      <c r="P70" s="320"/>
      <c r="Q70" s="320"/>
      <c r="R70" s="320"/>
      <c r="S70" s="320"/>
      <c r="T70" s="320"/>
      <c r="U70" s="321"/>
      <c r="V70" s="317"/>
      <c r="W70" s="318"/>
      <c r="X70" s="318"/>
      <c r="Y70" s="320"/>
      <c r="Z70" s="320"/>
      <c r="AA70" s="320"/>
      <c r="AB70" s="320"/>
      <c r="AC70" s="320"/>
      <c r="AD70" s="320"/>
      <c r="AE70" s="321"/>
      <c r="AF70" s="317"/>
      <c r="AG70" s="318"/>
      <c r="AH70" s="318"/>
      <c r="AI70" s="320"/>
      <c r="AJ70" s="320"/>
      <c r="AK70" s="320"/>
      <c r="AL70" s="320"/>
      <c r="AM70" s="320"/>
      <c r="AN70" s="320"/>
      <c r="AO70" s="321"/>
      <c r="AP70" s="317"/>
      <c r="AQ70" s="318"/>
      <c r="AR70" s="318"/>
      <c r="AS70" s="320"/>
      <c r="AT70" s="320"/>
      <c r="AU70" s="320"/>
      <c r="AV70" s="320"/>
      <c r="AW70" s="320"/>
      <c r="AX70" s="320"/>
      <c r="AY70" s="321"/>
      <c r="AZ70" s="317"/>
      <c r="BA70" s="318"/>
      <c r="BB70" s="318"/>
      <c r="BC70" s="320"/>
      <c r="BD70" s="320"/>
      <c r="BE70" s="320"/>
      <c r="BF70" s="320"/>
      <c r="BG70" s="320"/>
      <c r="BH70" s="320"/>
      <c r="BI70" s="321"/>
      <c r="BJ70" s="317"/>
      <c r="BK70" s="318"/>
      <c r="BL70" s="318"/>
      <c r="BM70" s="320"/>
      <c r="BN70" s="320"/>
      <c r="BO70" s="320"/>
      <c r="BP70" s="320"/>
      <c r="BQ70" s="320"/>
      <c r="BR70" s="320"/>
      <c r="BS70" s="321"/>
      <c r="BT70" s="317"/>
      <c r="BU70" s="318"/>
      <c r="BV70" s="318"/>
      <c r="BW70" s="320"/>
      <c r="BX70" s="320"/>
      <c r="BY70" s="320"/>
      <c r="BZ70" s="320"/>
      <c r="CA70" s="320"/>
      <c r="CB70" s="320"/>
      <c r="CC70" s="321"/>
    </row>
    <row r="71" spans="1:81" s="316" customFormat="1" ht="15.95" customHeight="1">
      <c r="A71" s="325" t="s">
        <v>178</v>
      </c>
      <c r="B71" s="317">
        <v>121</v>
      </c>
      <c r="C71" s="318">
        <f t="shared" ref="C71:C78" si="119">SUM(E71:I71)</f>
        <v>115253.7</v>
      </c>
      <c r="D71" s="318">
        <f t="shared" ref="D71:D78" si="120">IFERROR(C71/B71,0)</f>
        <v>952.50991735537184</v>
      </c>
      <c r="E71" s="320"/>
      <c r="F71" s="320"/>
      <c r="G71" s="320">
        <v>115253.7</v>
      </c>
      <c r="H71" s="320"/>
      <c r="I71" s="320"/>
      <c r="J71" s="320">
        <v>91109.92</v>
      </c>
      <c r="K71" s="321">
        <f t="shared" ref="K71:K78" si="121">IF(J71=0,0,(IF(E71&lt;=J71,E71,J71)))</f>
        <v>0</v>
      </c>
      <c r="L71" s="317">
        <v>114</v>
      </c>
      <c r="M71" s="318">
        <f t="shared" ref="M71:M78" si="122">SUM(O71:S71)</f>
        <v>107906.25</v>
      </c>
      <c r="N71" s="318">
        <f t="shared" ref="N71:N78" si="123">IFERROR(M71/L71,0)</f>
        <v>946.54605263157896</v>
      </c>
      <c r="O71" s="320"/>
      <c r="P71" s="320"/>
      <c r="Q71" s="320">
        <v>107906.25</v>
      </c>
      <c r="R71" s="320"/>
      <c r="S71" s="320"/>
      <c r="T71" s="320">
        <v>92040.25</v>
      </c>
      <c r="U71" s="321">
        <f t="shared" ref="U71:U78" si="124">IF(T71=0,0,(IF(O71&lt;=T71,O71,T71)))</f>
        <v>0</v>
      </c>
      <c r="V71" s="317">
        <v>77</v>
      </c>
      <c r="W71" s="318">
        <f t="shared" ref="W71:W78" si="125">SUM(Y71:AC71)</f>
        <v>101500</v>
      </c>
      <c r="X71" s="318">
        <f t="shared" ref="X71:X78" si="126">IFERROR(W71/V71,0)</f>
        <v>1318.1818181818182</v>
      </c>
      <c r="Y71" s="320"/>
      <c r="Z71" s="320"/>
      <c r="AA71" s="320">
        <v>101500</v>
      </c>
      <c r="AB71" s="320"/>
      <c r="AC71" s="320"/>
      <c r="AD71" s="320">
        <v>98684</v>
      </c>
      <c r="AE71" s="321">
        <f t="shared" ref="AE71:AE78" si="127">IF(AD71=0,0,(IF(Y71&lt;=AD71,Y71,AD71)))</f>
        <v>0</v>
      </c>
      <c r="AF71" s="317">
        <v>39</v>
      </c>
      <c r="AG71" s="318">
        <f t="shared" ref="AG71:AG78" si="128">SUM(AI71:AM71)</f>
        <v>53643.59</v>
      </c>
      <c r="AH71" s="318">
        <f t="shared" ref="AH71:AH78" si="129">IFERROR(AG71/AF71,0)</f>
        <v>1375.4766666666667</v>
      </c>
      <c r="AI71" s="320"/>
      <c r="AJ71" s="320"/>
      <c r="AK71" s="320">
        <v>53643.59</v>
      </c>
      <c r="AL71" s="320"/>
      <c r="AM71" s="320"/>
      <c r="AN71" s="320">
        <v>48646.35</v>
      </c>
      <c r="AO71" s="321">
        <f t="shared" ref="AO71:AO78" si="130">IF(AN71=0,0,(IF(AI71&lt;=AN71,AI71,AN71)))</f>
        <v>0</v>
      </c>
      <c r="AP71" s="317">
        <v>18</v>
      </c>
      <c r="AQ71" s="318">
        <f t="shared" ref="AQ71:AQ76" si="131">SUM(AS71:AW71)</f>
        <v>15562.26</v>
      </c>
      <c r="AR71" s="318">
        <f t="shared" ref="AR71:AR76" si="132">IFERROR(AQ71/AP71,0)</f>
        <v>864.57</v>
      </c>
      <c r="AS71" s="320"/>
      <c r="AT71" s="320"/>
      <c r="AU71" s="320">
        <v>15562.26</v>
      </c>
      <c r="AV71" s="320"/>
      <c r="AW71" s="320"/>
      <c r="AX71" s="320">
        <v>13306.26</v>
      </c>
      <c r="AY71" s="321">
        <f t="shared" ref="AY71:AY78" si="133">IF(AX71=0,0,(IF(AS71&lt;=AX71,AS71,AX71)))</f>
        <v>0</v>
      </c>
      <c r="AZ71" s="317">
        <v>17</v>
      </c>
      <c r="BA71" s="318">
        <f t="shared" ref="BA71:BA76" si="134">SUM(BC71:BG71)</f>
        <v>14973.99</v>
      </c>
      <c r="BB71" s="318">
        <f t="shared" ref="BB71:BB76" si="135">IFERROR(BA71/AZ71,0)</f>
        <v>880.82294117647052</v>
      </c>
      <c r="BC71" s="320"/>
      <c r="BD71" s="320"/>
      <c r="BE71" s="320">
        <v>14973.99</v>
      </c>
      <c r="BF71" s="320"/>
      <c r="BG71" s="320"/>
      <c r="BH71" s="320">
        <v>12297.99</v>
      </c>
      <c r="BI71" s="321">
        <f t="shared" ref="BI71:BI78" si="136">IF(BH71=0,0,(IF(BC71&lt;=BH71,BC71,BH71)))</f>
        <v>0</v>
      </c>
      <c r="BJ71" s="323">
        <v>16</v>
      </c>
      <c r="BK71" s="318">
        <f t="shared" ref="BK71:BK78" si="137">SUM(BM71:BQ71)</f>
        <v>17160</v>
      </c>
      <c r="BL71" s="318">
        <f t="shared" ref="BL71:BL78" si="138">IFERROR(BK71/BJ71,0)</f>
        <v>1072.5</v>
      </c>
      <c r="BM71" s="320"/>
      <c r="BN71" s="320"/>
      <c r="BO71" s="320">
        <v>17160</v>
      </c>
      <c r="BP71" s="320"/>
      <c r="BQ71" s="320"/>
      <c r="BR71" s="320">
        <v>13220</v>
      </c>
      <c r="BS71" s="321">
        <f t="shared" ref="BS71:BS78" si="139">IF(BR71=0,0,(IF(BM71&lt;=BR71,BM71,BR71)))</f>
        <v>0</v>
      </c>
      <c r="BT71" s="207">
        <v>22</v>
      </c>
      <c r="BU71" s="318">
        <v>19118</v>
      </c>
      <c r="BV71" s="318">
        <f t="shared" ref="BV71:BV78" si="140">IFERROR(BU71/BT71,0)</f>
        <v>869</v>
      </c>
      <c r="BW71" s="208"/>
      <c r="BX71" s="208"/>
      <c r="BY71" s="208">
        <v>19118</v>
      </c>
      <c r="BZ71" s="208"/>
      <c r="CA71" s="208"/>
      <c r="CB71" s="208">
        <v>19118</v>
      </c>
      <c r="CC71" s="367">
        <f t="shared" ref="CC71:CC78" si="141">IF(CB71=0,0,(IF(BW71&lt;=CB71,BW71,CB71)))</f>
        <v>0</v>
      </c>
    </row>
    <row r="72" spans="1:81" s="316" customFormat="1" ht="15.95" customHeight="1">
      <c r="A72" s="325" t="s">
        <v>179</v>
      </c>
      <c r="B72" s="317">
        <v>67</v>
      </c>
      <c r="C72" s="318">
        <f t="shared" si="119"/>
        <v>74794</v>
      </c>
      <c r="D72" s="318">
        <f t="shared" si="120"/>
        <v>1116.3283582089553</v>
      </c>
      <c r="E72" s="320"/>
      <c r="F72" s="320">
        <v>18699</v>
      </c>
      <c r="G72" s="320"/>
      <c r="H72" s="320">
        <v>56095</v>
      </c>
      <c r="I72" s="320"/>
      <c r="J72" s="320">
        <v>66937</v>
      </c>
      <c r="K72" s="321">
        <f t="shared" si="121"/>
        <v>0</v>
      </c>
      <c r="L72" s="317">
        <v>53</v>
      </c>
      <c r="M72" s="318">
        <f t="shared" si="122"/>
        <v>63294.22</v>
      </c>
      <c r="N72" s="318">
        <f t="shared" si="123"/>
        <v>1194.2305660377358</v>
      </c>
      <c r="O72" s="320"/>
      <c r="P72" s="320">
        <v>15823.56</v>
      </c>
      <c r="Q72" s="320"/>
      <c r="R72" s="320">
        <v>47470.66</v>
      </c>
      <c r="S72" s="320"/>
      <c r="T72" s="320">
        <v>60358.71</v>
      </c>
      <c r="U72" s="321">
        <f t="shared" si="124"/>
        <v>0</v>
      </c>
      <c r="V72" s="317">
        <v>59</v>
      </c>
      <c r="W72" s="318">
        <f t="shared" si="125"/>
        <v>71118</v>
      </c>
      <c r="X72" s="318">
        <f t="shared" si="126"/>
        <v>1205.3898305084747</v>
      </c>
      <c r="Y72" s="320"/>
      <c r="Z72" s="320">
        <v>17779</v>
      </c>
      <c r="AA72" s="320"/>
      <c r="AB72" s="320">
        <v>53339</v>
      </c>
      <c r="AC72" s="320"/>
      <c r="AD72" s="320">
        <v>58616</v>
      </c>
      <c r="AE72" s="321">
        <f t="shared" si="127"/>
        <v>0</v>
      </c>
      <c r="AF72" s="317">
        <v>53</v>
      </c>
      <c r="AG72" s="318">
        <f t="shared" si="128"/>
        <v>61076</v>
      </c>
      <c r="AH72" s="318">
        <f t="shared" si="129"/>
        <v>1152.3773584905659</v>
      </c>
      <c r="AI72" s="320"/>
      <c r="AJ72" s="320">
        <v>15269</v>
      </c>
      <c r="AK72" s="320"/>
      <c r="AL72" s="320">
        <v>45807</v>
      </c>
      <c r="AM72" s="320"/>
      <c r="AN72" s="320">
        <v>53264.53</v>
      </c>
      <c r="AO72" s="321">
        <f t="shared" si="130"/>
        <v>0</v>
      </c>
      <c r="AP72" s="317">
        <v>59</v>
      </c>
      <c r="AQ72" s="318">
        <f t="shared" si="131"/>
        <v>67474.19</v>
      </c>
      <c r="AR72" s="318">
        <f t="shared" si="132"/>
        <v>1143.6303389830509</v>
      </c>
      <c r="AS72" s="320"/>
      <c r="AT72">
        <v>16868.55</v>
      </c>
      <c r="AU72" s="320"/>
      <c r="AV72">
        <v>50605.64</v>
      </c>
      <c r="AW72" s="320"/>
      <c r="AX72" s="320">
        <v>62973.54</v>
      </c>
      <c r="AY72" s="321">
        <f t="shared" si="133"/>
        <v>0</v>
      </c>
      <c r="AZ72" s="317">
        <v>28</v>
      </c>
      <c r="BA72" s="318">
        <f t="shared" si="134"/>
        <v>21747.5</v>
      </c>
      <c r="BB72" s="318">
        <f t="shared" si="135"/>
        <v>776.69642857142856</v>
      </c>
      <c r="BC72" s="320"/>
      <c r="BD72" s="320"/>
      <c r="BE72" s="320"/>
      <c r="BF72" s="320">
        <v>21747.5</v>
      </c>
      <c r="BG72" s="320"/>
      <c r="BH72" s="320">
        <v>17992.5</v>
      </c>
      <c r="BI72" s="321">
        <f t="shared" si="136"/>
        <v>0</v>
      </c>
      <c r="BJ72" s="323">
        <v>32</v>
      </c>
      <c r="BK72" s="318">
        <f t="shared" si="137"/>
        <v>43353.75</v>
      </c>
      <c r="BL72" s="318">
        <f t="shared" si="138"/>
        <v>1354.8046875</v>
      </c>
      <c r="BM72" s="320"/>
      <c r="BN72" s="320"/>
      <c r="BO72" s="320"/>
      <c r="BP72" s="320">
        <v>43353.75</v>
      </c>
      <c r="BQ72" s="320"/>
      <c r="BR72" s="320">
        <v>37315</v>
      </c>
      <c r="BS72" s="321">
        <f t="shared" si="139"/>
        <v>0</v>
      </c>
      <c r="BT72" s="207">
        <v>33</v>
      </c>
      <c r="BU72" s="318">
        <v>50550</v>
      </c>
      <c r="BV72" s="318">
        <f t="shared" si="140"/>
        <v>1531.8181818181818</v>
      </c>
      <c r="BW72" s="208"/>
      <c r="BX72" s="208"/>
      <c r="BY72" s="208"/>
      <c r="BZ72" s="208">
        <v>50550</v>
      </c>
      <c r="CA72" s="208"/>
      <c r="CB72" s="208">
        <v>50550</v>
      </c>
      <c r="CC72" s="367">
        <f t="shared" si="141"/>
        <v>0</v>
      </c>
    </row>
    <row r="73" spans="1:81" s="316" customFormat="1" ht="15.95" customHeight="1">
      <c r="A73" s="325" t="s">
        <v>180</v>
      </c>
      <c r="B73" s="317">
        <v>41</v>
      </c>
      <c r="C73" s="318">
        <f t="shared" si="119"/>
        <v>54026.59</v>
      </c>
      <c r="D73" s="318">
        <f t="shared" si="120"/>
        <v>1317.7217073170732</v>
      </c>
      <c r="E73" s="320"/>
      <c r="F73" s="320"/>
      <c r="G73" s="320">
        <v>54026.59</v>
      </c>
      <c r="H73" s="320"/>
      <c r="I73" s="320"/>
      <c r="J73" s="320">
        <v>52302.48</v>
      </c>
      <c r="K73" s="321">
        <f t="shared" si="121"/>
        <v>0</v>
      </c>
      <c r="L73" s="317">
        <v>29</v>
      </c>
      <c r="M73" s="318">
        <f t="shared" si="122"/>
        <v>38038.1</v>
      </c>
      <c r="N73" s="318">
        <f t="shared" si="123"/>
        <v>1311.6586206896552</v>
      </c>
      <c r="O73" s="320"/>
      <c r="P73" s="320"/>
      <c r="Q73" s="320">
        <v>38038.1</v>
      </c>
      <c r="R73" s="320"/>
      <c r="S73" s="320">
        <v>0</v>
      </c>
      <c r="T73" s="320">
        <v>38038.1</v>
      </c>
      <c r="U73" s="321">
        <f t="shared" si="124"/>
        <v>0</v>
      </c>
      <c r="V73" s="317">
        <v>17</v>
      </c>
      <c r="W73" s="318">
        <f t="shared" si="125"/>
        <v>26530</v>
      </c>
      <c r="X73" s="318">
        <f t="shared" si="126"/>
        <v>1560.5882352941176</v>
      </c>
      <c r="Y73" s="320"/>
      <c r="Z73" s="320"/>
      <c r="AA73" s="320">
        <v>26530</v>
      </c>
      <c r="AB73" s="320"/>
      <c r="AC73" s="320"/>
      <c r="AD73" s="320">
        <v>26530</v>
      </c>
      <c r="AE73" s="321">
        <f t="shared" si="127"/>
        <v>0</v>
      </c>
      <c r="AF73" s="317">
        <v>29</v>
      </c>
      <c r="AG73" s="318">
        <f t="shared" si="128"/>
        <v>40580.400000000001</v>
      </c>
      <c r="AH73" s="318">
        <f t="shared" si="129"/>
        <v>1399.3241379310346</v>
      </c>
      <c r="AI73" s="320"/>
      <c r="AJ73" s="320"/>
      <c r="AK73" s="320">
        <v>40580.400000000001</v>
      </c>
      <c r="AL73" s="320"/>
      <c r="AM73" s="320"/>
      <c r="AN73" s="320">
        <v>40580.400000000001</v>
      </c>
      <c r="AO73" s="321">
        <f t="shared" si="130"/>
        <v>0</v>
      </c>
      <c r="AP73" s="317">
        <v>35</v>
      </c>
      <c r="AQ73" s="318">
        <f t="shared" si="131"/>
        <v>65786.320000000007</v>
      </c>
      <c r="AR73" s="318">
        <f t="shared" si="132"/>
        <v>1879.6091428571431</v>
      </c>
      <c r="AS73" s="320"/>
      <c r="AT73" s="320"/>
      <c r="AU73" s="320">
        <v>65786.320000000007</v>
      </c>
      <c r="AV73" s="320"/>
      <c r="AW73" s="320"/>
      <c r="AX73" s="320">
        <v>63336.13</v>
      </c>
      <c r="AY73" s="321">
        <f t="shared" si="133"/>
        <v>0</v>
      </c>
      <c r="AZ73" s="317">
        <v>16</v>
      </c>
      <c r="BA73" s="318">
        <f t="shared" si="134"/>
        <v>21786.93</v>
      </c>
      <c r="BB73" s="318">
        <f t="shared" si="135"/>
        <v>1361.683125</v>
      </c>
      <c r="BC73" s="320"/>
      <c r="BD73" s="320"/>
      <c r="BE73" s="320">
        <v>21786.93</v>
      </c>
      <c r="BF73" s="320"/>
      <c r="BG73" s="320"/>
      <c r="BH73" s="320">
        <v>19669.48</v>
      </c>
      <c r="BI73" s="321">
        <f t="shared" si="136"/>
        <v>0</v>
      </c>
      <c r="BJ73" s="323">
        <v>14</v>
      </c>
      <c r="BK73" s="318">
        <f t="shared" si="137"/>
        <v>20562.11</v>
      </c>
      <c r="BL73" s="318">
        <f t="shared" si="138"/>
        <v>1468.7221428571429</v>
      </c>
      <c r="BM73" s="320"/>
      <c r="BN73" s="320"/>
      <c r="BO73" s="320">
        <v>20562.11</v>
      </c>
      <c r="BP73" s="320"/>
      <c r="BQ73" s="320"/>
      <c r="BR73" s="320">
        <v>19932.11</v>
      </c>
      <c r="BS73" s="321">
        <f t="shared" si="139"/>
        <v>0</v>
      </c>
      <c r="BT73" s="207">
        <v>20</v>
      </c>
      <c r="BU73" s="318">
        <v>37080</v>
      </c>
      <c r="BV73" s="318">
        <f t="shared" si="140"/>
        <v>1854</v>
      </c>
      <c r="BW73" s="208"/>
      <c r="BX73" s="208"/>
      <c r="BY73" s="208">
        <v>37080.43</v>
      </c>
      <c r="BZ73" s="208"/>
      <c r="CA73" s="208"/>
      <c r="CB73" s="208">
        <v>34481.93</v>
      </c>
      <c r="CC73" s="367">
        <f t="shared" si="141"/>
        <v>0</v>
      </c>
    </row>
    <row r="74" spans="1:81" s="316" customFormat="1" ht="15.95" customHeight="1">
      <c r="A74" s="214"/>
      <c r="B74" s="317"/>
      <c r="C74" s="318">
        <f t="shared" si="119"/>
        <v>0</v>
      </c>
      <c r="D74" s="318">
        <f t="shared" si="120"/>
        <v>0</v>
      </c>
      <c r="E74" s="320"/>
      <c r="F74" s="320"/>
      <c r="G74" s="320"/>
      <c r="H74" s="320"/>
      <c r="I74" s="320"/>
      <c r="J74" s="320"/>
      <c r="K74" s="321">
        <f t="shared" si="121"/>
        <v>0</v>
      </c>
      <c r="L74" s="317"/>
      <c r="M74" s="318">
        <f t="shared" si="122"/>
        <v>0</v>
      </c>
      <c r="N74" s="318">
        <f t="shared" si="123"/>
        <v>0</v>
      </c>
      <c r="O74" s="320"/>
      <c r="P74" s="320"/>
      <c r="Q74" s="320"/>
      <c r="R74" s="320"/>
      <c r="S74" s="320"/>
      <c r="T74" s="320"/>
      <c r="U74" s="321">
        <f t="shared" si="124"/>
        <v>0</v>
      </c>
      <c r="V74" s="317"/>
      <c r="W74" s="318">
        <f t="shared" si="125"/>
        <v>0</v>
      </c>
      <c r="X74" s="318">
        <f t="shared" si="126"/>
        <v>0</v>
      </c>
      <c r="Y74" s="320"/>
      <c r="Z74" s="320"/>
      <c r="AA74" s="320"/>
      <c r="AB74" s="320"/>
      <c r="AC74" s="320"/>
      <c r="AD74" s="320"/>
      <c r="AE74" s="321">
        <f t="shared" si="127"/>
        <v>0</v>
      </c>
      <c r="AF74" s="317"/>
      <c r="AG74" s="318">
        <f t="shared" si="128"/>
        <v>0</v>
      </c>
      <c r="AH74" s="318">
        <f t="shared" si="129"/>
        <v>0</v>
      </c>
      <c r="AI74" s="320"/>
      <c r="AJ74" s="320"/>
      <c r="AK74" s="320"/>
      <c r="AL74" s="320"/>
      <c r="AM74" s="320"/>
      <c r="AN74" s="320"/>
      <c r="AO74" s="321">
        <f t="shared" si="130"/>
        <v>0</v>
      </c>
      <c r="AP74" s="317"/>
      <c r="AQ74" s="318">
        <f t="shared" si="131"/>
        <v>0</v>
      </c>
      <c r="AR74" s="318">
        <f t="shared" si="132"/>
        <v>0</v>
      </c>
      <c r="AS74" s="320"/>
      <c r="AT74" s="320"/>
      <c r="AU74" s="320"/>
      <c r="AV74" s="320"/>
      <c r="AW74" s="320"/>
      <c r="AX74" s="320"/>
      <c r="AY74" s="321">
        <f t="shared" si="133"/>
        <v>0</v>
      </c>
      <c r="AZ74" s="317"/>
      <c r="BA74" s="318">
        <f t="shared" si="134"/>
        <v>0</v>
      </c>
      <c r="BB74" s="318">
        <f t="shared" si="135"/>
        <v>0</v>
      </c>
      <c r="BC74" s="320"/>
      <c r="BD74" s="320"/>
      <c r="BE74" s="320"/>
      <c r="BF74" s="320"/>
      <c r="BG74" s="320"/>
      <c r="BH74" s="320"/>
      <c r="BI74" s="321">
        <f t="shared" si="136"/>
        <v>0</v>
      </c>
      <c r="BJ74" s="323"/>
      <c r="BK74" s="318">
        <f t="shared" si="137"/>
        <v>0</v>
      </c>
      <c r="BL74" s="318">
        <f t="shared" si="138"/>
        <v>0</v>
      </c>
      <c r="BM74" s="320"/>
      <c r="BN74" s="320"/>
      <c r="BO74" s="320"/>
      <c r="BP74" s="320"/>
      <c r="BQ74" s="320"/>
      <c r="BR74" s="320"/>
      <c r="BS74" s="321">
        <f t="shared" si="139"/>
        <v>0</v>
      </c>
      <c r="BT74" s="207"/>
      <c r="BU74" s="318">
        <f t="shared" ref="BU74:BU78" si="142">SUM(BW74:CA74)</f>
        <v>0</v>
      </c>
      <c r="BV74" s="318">
        <f t="shared" si="140"/>
        <v>0</v>
      </c>
      <c r="BW74" s="208"/>
      <c r="BX74" s="208"/>
      <c r="BY74" s="208"/>
      <c r="BZ74" s="208"/>
      <c r="CA74" s="208"/>
      <c r="CB74" s="208"/>
      <c r="CC74" s="367">
        <f t="shared" si="141"/>
        <v>0</v>
      </c>
    </row>
    <row r="75" spans="1:81" s="316" customFormat="1" ht="15.95" customHeight="1">
      <c r="A75" s="214"/>
      <c r="B75" s="317"/>
      <c r="C75" s="318">
        <f t="shared" si="119"/>
        <v>0</v>
      </c>
      <c r="D75" s="318">
        <f t="shared" si="120"/>
        <v>0</v>
      </c>
      <c r="E75" s="320"/>
      <c r="F75" s="320"/>
      <c r="G75" s="320"/>
      <c r="H75" s="320"/>
      <c r="I75" s="320"/>
      <c r="J75" s="320"/>
      <c r="K75" s="321">
        <f t="shared" si="121"/>
        <v>0</v>
      </c>
      <c r="L75" s="317"/>
      <c r="M75" s="318">
        <f t="shared" si="122"/>
        <v>0</v>
      </c>
      <c r="N75" s="318">
        <f t="shared" si="123"/>
        <v>0</v>
      </c>
      <c r="O75" s="320"/>
      <c r="P75" s="320"/>
      <c r="Q75" s="320"/>
      <c r="R75" s="320"/>
      <c r="S75" s="320"/>
      <c r="T75" s="320"/>
      <c r="U75" s="321">
        <f t="shared" si="124"/>
        <v>0</v>
      </c>
      <c r="V75" s="317"/>
      <c r="W75" s="318">
        <f t="shared" si="125"/>
        <v>0</v>
      </c>
      <c r="X75" s="318">
        <f t="shared" si="126"/>
        <v>0</v>
      </c>
      <c r="Y75" s="320"/>
      <c r="Z75" s="320"/>
      <c r="AA75" s="320"/>
      <c r="AB75" s="320"/>
      <c r="AC75" s="320"/>
      <c r="AD75" s="320"/>
      <c r="AE75" s="321">
        <f t="shared" si="127"/>
        <v>0</v>
      </c>
      <c r="AF75" s="317"/>
      <c r="AG75" s="318">
        <f t="shared" si="128"/>
        <v>0</v>
      </c>
      <c r="AH75" s="318">
        <f t="shared" si="129"/>
        <v>0</v>
      </c>
      <c r="AI75" s="320"/>
      <c r="AJ75" s="320"/>
      <c r="AK75" s="320"/>
      <c r="AL75" s="320"/>
      <c r="AM75" s="320"/>
      <c r="AN75" s="320"/>
      <c r="AO75" s="321">
        <f t="shared" si="130"/>
        <v>0</v>
      </c>
      <c r="AP75" s="317"/>
      <c r="AQ75" s="318">
        <f t="shared" si="131"/>
        <v>0</v>
      </c>
      <c r="AR75" s="318">
        <f t="shared" si="132"/>
        <v>0</v>
      </c>
      <c r="AS75" s="320"/>
      <c r="AT75" s="320"/>
      <c r="AU75" s="320"/>
      <c r="AV75" s="320"/>
      <c r="AW75" s="320"/>
      <c r="AX75" s="320"/>
      <c r="AY75" s="321">
        <f t="shared" si="133"/>
        <v>0</v>
      </c>
      <c r="AZ75" s="317"/>
      <c r="BA75" s="318">
        <f t="shared" si="134"/>
        <v>0</v>
      </c>
      <c r="BB75" s="318">
        <f t="shared" si="135"/>
        <v>0</v>
      </c>
      <c r="BC75" s="320"/>
      <c r="BD75" s="320"/>
      <c r="BE75" s="320"/>
      <c r="BF75" s="320"/>
      <c r="BG75" s="320"/>
      <c r="BH75" s="320"/>
      <c r="BI75" s="321">
        <f t="shared" si="136"/>
        <v>0</v>
      </c>
      <c r="BJ75" s="323"/>
      <c r="BK75" s="318">
        <f t="shared" si="137"/>
        <v>0</v>
      </c>
      <c r="BL75" s="318">
        <f t="shared" si="138"/>
        <v>0</v>
      </c>
      <c r="BM75" s="320"/>
      <c r="BN75" s="320"/>
      <c r="BO75" s="320"/>
      <c r="BP75" s="320"/>
      <c r="BQ75" s="320"/>
      <c r="BR75" s="320"/>
      <c r="BS75" s="321">
        <f t="shared" si="139"/>
        <v>0</v>
      </c>
      <c r="BT75" s="207"/>
      <c r="BU75" s="318">
        <f t="shared" si="142"/>
        <v>0</v>
      </c>
      <c r="BV75" s="318">
        <f t="shared" si="140"/>
        <v>0</v>
      </c>
      <c r="BW75" s="208"/>
      <c r="BX75" s="208"/>
      <c r="BY75" s="208"/>
      <c r="BZ75" s="208"/>
      <c r="CA75" s="208"/>
      <c r="CB75" s="208"/>
      <c r="CC75" s="367">
        <f t="shared" si="141"/>
        <v>0</v>
      </c>
    </row>
    <row r="76" spans="1:81" s="316" customFormat="1" ht="15.95" customHeight="1">
      <c r="A76" s="214"/>
      <c r="B76" s="317"/>
      <c r="C76" s="318">
        <f t="shared" si="119"/>
        <v>0</v>
      </c>
      <c r="D76" s="318">
        <f t="shared" si="120"/>
        <v>0</v>
      </c>
      <c r="E76" s="320"/>
      <c r="F76" s="320"/>
      <c r="G76" s="320"/>
      <c r="H76" s="320"/>
      <c r="I76" s="320"/>
      <c r="J76" s="320"/>
      <c r="K76" s="321">
        <f t="shared" si="121"/>
        <v>0</v>
      </c>
      <c r="L76" s="317"/>
      <c r="M76" s="318">
        <f t="shared" si="122"/>
        <v>0</v>
      </c>
      <c r="N76" s="318">
        <f t="shared" si="123"/>
        <v>0</v>
      </c>
      <c r="O76" s="320"/>
      <c r="P76" s="320"/>
      <c r="Q76" s="320"/>
      <c r="R76" s="320"/>
      <c r="S76" s="320"/>
      <c r="T76" s="320"/>
      <c r="U76" s="321">
        <f t="shared" si="124"/>
        <v>0</v>
      </c>
      <c r="V76" s="317"/>
      <c r="W76" s="318">
        <f t="shared" si="125"/>
        <v>0</v>
      </c>
      <c r="X76" s="318">
        <f t="shared" si="126"/>
        <v>0</v>
      </c>
      <c r="Y76" s="320"/>
      <c r="Z76" s="320"/>
      <c r="AA76" s="320"/>
      <c r="AB76" s="320"/>
      <c r="AC76" s="320"/>
      <c r="AD76" s="320"/>
      <c r="AE76" s="321">
        <f t="shared" si="127"/>
        <v>0</v>
      </c>
      <c r="AF76" s="317"/>
      <c r="AG76" s="318">
        <f t="shared" si="128"/>
        <v>0</v>
      </c>
      <c r="AH76" s="318">
        <f t="shared" si="129"/>
        <v>0</v>
      </c>
      <c r="AI76" s="320"/>
      <c r="AJ76" s="320"/>
      <c r="AK76" s="320"/>
      <c r="AL76" s="320"/>
      <c r="AM76" s="320"/>
      <c r="AN76" s="320"/>
      <c r="AO76" s="321">
        <f t="shared" si="130"/>
        <v>0</v>
      </c>
      <c r="AP76" s="317"/>
      <c r="AQ76" s="318">
        <f t="shared" si="131"/>
        <v>0</v>
      </c>
      <c r="AR76" s="318">
        <f t="shared" si="132"/>
        <v>0</v>
      </c>
      <c r="AS76" s="320"/>
      <c r="AT76" s="320"/>
      <c r="AU76" s="320"/>
      <c r="AV76" s="320"/>
      <c r="AW76" s="320"/>
      <c r="AX76" s="320"/>
      <c r="AY76" s="321">
        <f t="shared" si="133"/>
        <v>0</v>
      </c>
      <c r="AZ76" s="317"/>
      <c r="BA76" s="318">
        <f t="shared" si="134"/>
        <v>0</v>
      </c>
      <c r="BB76" s="318">
        <f t="shared" si="135"/>
        <v>0</v>
      </c>
      <c r="BC76" s="320"/>
      <c r="BD76" s="320"/>
      <c r="BE76" s="320"/>
      <c r="BF76" s="320"/>
      <c r="BG76" s="320"/>
      <c r="BH76" s="320"/>
      <c r="BI76" s="321">
        <f t="shared" si="136"/>
        <v>0</v>
      </c>
      <c r="BJ76" s="323"/>
      <c r="BK76" s="318">
        <f t="shared" si="137"/>
        <v>0</v>
      </c>
      <c r="BL76" s="318">
        <f t="shared" si="138"/>
        <v>0</v>
      </c>
      <c r="BM76" s="320"/>
      <c r="BN76" s="320"/>
      <c r="BO76" s="320"/>
      <c r="BP76" s="320"/>
      <c r="BQ76" s="320"/>
      <c r="BR76" s="320"/>
      <c r="BS76" s="321">
        <f t="shared" si="139"/>
        <v>0</v>
      </c>
      <c r="BT76" s="207"/>
      <c r="BU76" s="318">
        <f t="shared" si="142"/>
        <v>0</v>
      </c>
      <c r="BV76" s="318">
        <f t="shared" si="140"/>
        <v>0</v>
      </c>
      <c r="BW76" s="208"/>
      <c r="BX76" s="208"/>
      <c r="BY76" s="208"/>
      <c r="BZ76" s="208"/>
      <c r="CA76" s="208"/>
      <c r="CB76" s="208"/>
      <c r="CC76" s="367">
        <f t="shared" si="141"/>
        <v>0</v>
      </c>
    </row>
    <row r="77" spans="1:81" s="316" customFormat="1" ht="15.95" customHeight="1">
      <c r="A77" s="214"/>
      <c r="B77" s="317"/>
      <c r="C77" s="318">
        <f>SUM(E77:I77)</f>
        <v>0</v>
      </c>
      <c r="D77" s="318">
        <f>IFERROR(C77/B77,0)</f>
        <v>0</v>
      </c>
      <c r="E77" s="320"/>
      <c r="F77" s="320"/>
      <c r="G77" s="320"/>
      <c r="H77" s="320"/>
      <c r="I77" s="320"/>
      <c r="J77" s="320"/>
      <c r="K77" s="321">
        <f t="shared" si="121"/>
        <v>0</v>
      </c>
      <c r="L77" s="317"/>
      <c r="M77" s="318">
        <f>SUM(O77:S77)</f>
        <v>0</v>
      </c>
      <c r="N77" s="318">
        <f>IFERROR(M77/L77,0)</f>
        <v>0</v>
      </c>
      <c r="O77" s="320"/>
      <c r="P77" s="320"/>
      <c r="Q77" s="320"/>
      <c r="R77" s="320"/>
      <c r="S77" s="320"/>
      <c r="T77" s="320"/>
      <c r="U77" s="321">
        <f t="shared" si="124"/>
        <v>0</v>
      </c>
      <c r="V77" s="317"/>
      <c r="W77" s="318">
        <f>SUM(Y77:AC77)</f>
        <v>0</v>
      </c>
      <c r="X77" s="318">
        <f>IFERROR(W77/V77,0)</f>
        <v>0</v>
      </c>
      <c r="Y77" s="320"/>
      <c r="Z77" s="320"/>
      <c r="AA77" s="320"/>
      <c r="AB77" s="320"/>
      <c r="AC77" s="320"/>
      <c r="AD77" s="320"/>
      <c r="AE77" s="321">
        <f t="shared" si="127"/>
        <v>0</v>
      </c>
      <c r="AF77" s="317"/>
      <c r="AG77" s="318">
        <f>SUM(AI77:AM77)</f>
        <v>0</v>
      </c>
      <c r="AH77" s="318">
        <f>IFERROR(AG77/AF77,0)</f>
        <v>0</v>
      </c>
      <c r="AI77" s="320"/>
      <c r="AJ77" s="320"/>
      <c r="AK77" s="320"/>
      <c r="AL77" s="320"/>
      <c r="AM77" s="320"/>
      <c r="AN77" s="320"/>
      <c r="AO77" s="321">
        <f t="shared" si="130"/>
        <v>0</v>
      </c>
      <c r="AP77" s="317"/>
      <c r="AQ77" s="318">
        <f>SUM(AS77:AW77)</f>
        <v>0</v>
      </c>
      <c r="AR77" s="318">
        <f>IFERROR(AQ77/AP77,0)</f>
        <v>0</v>
      </c>
      <c r="AS77" s="320"/>
      <c r="AT77" s="320"/>
      <c r="AU77" s="320"/>
      <c r="AV77" s="320"/>
      <c r="AW77" s="320"/>
      <c r="AX77" s="320"/>
      <c r="AY77" s="321">
        <f t="shared" si="133"/>
        <v>0</v>
      </c>
      <c r="AZ77" s="317"/>
      <c r="BA77" s="318">
        <f>SUM(BC77:BG77)</f>
        <v>0</v>
      </c>
      <c r="BB77" s="318">
        <f>IFERROR(BA77/AZ77,0)</f>
        <v>0</v>
      </c>
      <c r="BC77" s="320"/>
      <c r="BD77" s="320"/>
      <c r="BE77" s="320"/>
      <c r="BF77" s="320"/>
      <c r="BG77" s="320"/>
      <c r="BH77" s="320"/>
      <c r="BI77" s="321">
        <f t="shared" si="136"/>
        <v>0</v>
      </c>
      <c r="BJ77" s="323"/>
      <c r="BK77" s="318">
        <f t="shared" si="137"/>
        <v>0</v>
      </c>
      <c r="BL77" s="318">
        <f t="shared" si="138"/>
        <v>0</v>
      </c>
      <c r="BM77" s="320"/>
      <c r="BN77" s="320"/>
      <c r="BO77" s="320"/>
      <c r="BP77" s="320"/>
      <c r="BQ77" s="320"/>
      <c r="BR77" s="320"/>
      <c r="BS77" s="321">
        <f t="shared" si="139"/>
        <v>0</v>
      </c>
      <c r="BT77" s="207"/>
      <c r="BU77" s="318">
        <f t="shared" si="142"/>
        <v>0</v>
      </c>
      <c r="BV77" s="318">
        <f t="shared" si="140"/>
        <v>0</v>
      </c>
      <c r="BW77" s="208"/>
      <c r="BX77" s="208"/>
      <c r="BY77" s="208"/>
      <c r="BZ77" s="208"/>
      <c r="CA77" s="208"/>
      <c r="CB77" s="208"/>
      <c r="CC77" s="367">
        <f t="shared" si="141"/>
        <v>0</v>
      </c>
    </row>
    <row r="78" spans="1:81" s="316" customFormat="1" ht="15.95" customHeight="1">
      <c r="A78" s="214"/>
      <c r="B78" s="317"/>
      <c r="C78" s="318">
        <f t="shared" si="119"/>
        <v>0</v>
      </c>
      <c r="D78" s="318">
        <f t="shared" si="120"/>
        <v>0</v>
      </c>
      <c r="E78" s="320"/>
      <c r="F78" s="320"/>
      <c r="G78" s="320"/>
      <c r="H78" s="320"/>
      <c r="I78" s="320"/>
      <c r="J78" s="320"/>
      <c r="K78" s="321">
        <f t="shared" si="121"/>
        <v>0</v>
      </c>
      <c r="L78" s="317"/>
      <c r="M78" s="318">
        <f t="shared" si="122"/>
        <v>0</v>
      </c>
      <c r="N78" s="318">
        <f t="shared" si="123"/>
        <v>0</v>
      </c>
      <c r="O78" s="320"/>
      <c r="P78" s="320"/>
      <c r="Q78" s="320"/>
      <c r="R78" s="320"/>
      <c r="S78" s="320"/>
      <c r="T78" s="320"/>
      <c r="U78" s="321">
        <f t="shared" si="124"/>
        <v>0</v>
      </c>
      <c r="V78" s="317"/>
      <c r="W78" s="318">
        <f t="shared" si="125"/>
        <v>0</v>
      </c>
      <c r="X78" s="318">
        <f t="shared" si="126"/>
        <v>0</v>
      </c>
      <c r="Y78" s="320"/>
      <c r="Z78" s="320"/>
      <c r="AA78" s="320"/>
      <c r="AB78" s="320"/>
      <c r="AC78" s="320"/>
      <c r="AD78" s="320"/>
      <c r="AE78" s="321">
        <f t="shared" si="127"/>
        <v>0</v>
      </c>
      <c r="AF78" s="317"/>
      <c r="AG78" s="318">
        <f t="shared" si="128"/>
        <v>0</v>
      </c>
      <c r="AH78" s="318">
        <f t="shared" si="129"/>
        <v>0</v>
      </c>
      <c r="AI78" s="320"/>
      <c r="AJ78" s="320"/>
      <c r="AK78" s="320"/>
      <c r="AL78" s="320"/>
      <c r="AM78" s="320"/>
      <c r="AN78" s="320"/>
      <c r="AO78" s="321">
        <f t="shared" si="130"/>
        <v>0</v>
      </c>
      <c r="AP78" s="317"/>
      <c r="AQ78" s="318">
        <f t="shared" ref="AQ78" si="143">SUM(AS78:AW78)</f>
        <v>0</v>
      </c>
      <c r="AR78" s="318">
        <f t="shared" ref="AR78" si="144">IFERROR(AQ78/AP78,0)</f>
        <v>0</v>
      </c>
      <c r="AS78" s="320"/>
      <c r="AT78" s="320"/>
      <c r="AU78" s="320"/>
      <c r="AV78" s="320"/>
      <c r="AW78" s="320"/>
      <c r="AX78" s="320"/>
      <c r="AY78" s="321">
        <f t="shared" si="133"/>
        <v>0</v>
      </c>
      <c r="AZ78" s="317"/>
      <c r="BA78" s="318">
        <f t="shared" ref="BA78" si="145">SUM(BC78:BG78)</f>
        <v>0</v>
      </c>
      <c r="BB78" s="318">
        <f t="shared" ref="BB78" si="146">IFERROR(BA78/AZ78,0)</f>
        <v>0</v>
      </c>
      <c r="BC78" s="320"/>
      <c r="BD78" s="320"/>
      <c r="BE78" s="320"/>
      <c r="BF78" s="320"/>
      <c r="BG78" s="320"/>
      <c r="BH78" s="320"/>
      <c r="BI78" s="321">
        <f t="shared" si="136"/>
        <v>0</v>
      </c>
      <c r="BJ78" s="323"/>
      <c r="BK78" s="318">
        <f t="shared" si="137"/>
        <v>0</v>
      </c>
      <c r="BL78" s="318">
        <f t="shared" si="138"/>
        <v>0</v>
      </c>
      <c r="BM78" s="320"/>
      <c r="BN78" s="320"/>
      <c r="BO78" s="320"/>
      <c r="BP78" s="320"/>
      <c r="BQ78" s="320"/>
      <c r="BR78" s="320"/>
      <c r="BS78" s="321">
        <f t="shared" si="139"/>
        <v>0</v>
      </c>
      <c r="BT78" s="207"/>
      <c r="BU78" s="318">
        <f t="shared" si="142"/>
        <v>0</v>
      </c>
      <c r="BV78" s="318">
        <f t="shared" si="140"/>
        <v>0</v>
      </c>
      <c r="BW78" s="208"/>
      <c r="BX78" s="208"/>
      <c r="BY78" s="208"/>
      <c r="BZ78" s="208"/>
      <c r="CA78" s="208"/>
      <c r="CB78" s="208"/>
      <c r="CC78" s="367">
        <f t="shared" si="141"/>
        <v>0</v>
      </c>
    </row>
    <row r="79" spans="1:81" s="316" customFormat="1" ht="15.95" customHeight="1">
      <c r="A79" s="327" t="s">
        <v>153</v>
      </c>
      <c r="B79" s="317"/>
      <c r="C79" s="318"/>
      <c r="D79" s="318"/>
      <c r="E79" s="320"/>
      <c r="F79" s="320"/>
      <c r="G79" s="320"/>
      <c r="H79" s="320"/>
      <c r="I79" s="320"/>
      <c r="J79" s="320"/>
      <c r="K79" s="321"/>
      <c r="L79" s="317"/>
      <c r="M79" s="318"/>
      <c r="N79" s="318"/>
      <c r="O79" s="320"/>
      <c r="P79" s="320"/>
      <c r="Q79" s="320"/>
      <c r="R79" s="320"/>
      <c r="S79" s="320"/>
      <c r="T79" s="320"/>
      <c r="U79" s="321"/>
      <c r="V79" s="317"/>
      <c r="W79" s="318"/>
      <c r="X79" s="318"/>
      <c r="Y79" s="320"/>
      <c r="Z79" s="320"/>
      <c r="AA79" s="320"/>
      <c r="AB79" s="320"/>
      <c r="AC79" s="320"/>
      <c r="AD79" s="320"/>
      <c r="AE79" s="321"/>
      <c r="AF79" s="317"/>
      <c r="AG79" s="318"/>
      <c r="AH79" s="318"/>
      <c r="AI79" s="320"/>
      <c r="AJ79" s="320"/>
      <c r="AK79" s="320"/>
      <c r="AL79" s="320"/>
      <c r="AM79" s="320"/>
      <c r="AN79" s="320"/>
      <c r="AO79" s="321"/>
      <c r="AP79" s="317"/>
      <c r="AQ79" s="318"/>
      <c r="AR79" s="318"/>
      <c r="AS79" s="320"/>
      <c r="AT79" s="320"/>
      <c r="AU79" s="320"/>
      <c r="AV79" s="320"/>
      <c r="AW79" s="320"/>
      <c r="AX79" s="320"/>
      <c r="AY79" s="321"/>
      <c r="AZ79" s="317"/>
      <c r="BA79" s="318"/>
      <c r="BB79" s="318"/>
      <c r="BC79" s="320"/>
      <c r="BD79" s="320"/>
      <c r="BE79" s="320"/>
      <c r="BF79" s="320"/>
      <c r="BG79" s="320"/>
      <c r="BH79" s="320"/>
      <c r="BI79" s="321"/>
      <c r="BJ79" s="317"/>
      <c r="BK79" s="318"/>
      <c r="BL79" s="318"/>
      <c r="BM79" s="320"/>
      <c r="BN79" s="320"/>
      <c r="BO79" s="320"/>
      <c r="BP79" s="320"/>
      <c r="BQ79" s="320"/>
      <c r="BR79" s="320"/>
      <c r="BS79" s="321"/>
      <c r="BT79" s="317"/>
      <c r="BU79" s="318"/>
      <c r="BV79" s="318"/>
      <c r="BW79" s="320"/>
      <c r="BX79" s="320"/>
      <c r="BY79" s="320"/>
      <c r="BZ79" s="320"/>
      <c r="CA79" s="320"/>
      <c r="CB79" s="320"/>
      <c r="CC79" s="321"/>
    </row>
    <row r="80" spans="1:81" s="316" customFormat="1" ht="15.95" customHeight="1">
      <c r="A80" s="328" t="s">
        <v>154</v>
      </c>
      <c r="B80" s="329">
        <f>SUM(B$70:B79)</f>
        <v>229</v>
      </c>
      <c r="C80" s="318">
        <f>SUM(C$70:C79)</f>
        <v>244074.29</v>
      </c>
      <c r="D80" s="318">
        <f>IFERROR(C80/B80,0)</f>
        <v>1065.8265938864629</v>
      </c>
      <c r="E80" s="330">
        <f>SUM(E$70:E79)</f>
        <v>0</v>
      </c>
      <c r="F80" s="330">
        <f>SUM(F$70:F79)</f>
        <v>18699</v>
      </c>
      <c r="G80" s="330">
        <f>SUM(G$70:G79)</f>
        <v>169280.28999999998</v>
      </c>
      <c r="H80" s="330">
        <f>SUM(H$70:H79)</f>
        <v>56095</v>
      </c>
      <c r="I80" s="330">
        <f>SUM(I$70:I79)</f>
        <v>0</v>
      </c>
      <c r="J80" s="330">
        <f>SUM(J$70:J79)</f>
        <v>210349.4</v>
      </c>
      <c r="K80" s="321">
        <f>SUM(K$70:K79)</f>
        <v>0</v>
      </c>
      <c r="L80" s="329">
        <f>SUM(L$70:L79)</f>
        <v>196</v>
      </c>
      <c r="M80" s="318">
        <f>SUM(M$70:M79)</f>
        <v>209238.57</v>
      </c>
      <c r="N80" s="318">
        <f>IFERROR(M80/L80,0)</f>
        <v>1067.543724489796</v>
      </c>
      <c r="O80" s="330">
        <f>SUM(O$70:O79)</f>
        <v>0</v>
      </c>
      <c r="P80" s="330">
        <f>SUM(P$70:P79)</f>
        <v>15823.56</v>
      </c>
      <c r="Q80" s="330">
        <f>SUM(Q$70:Q79)</f>
        <v>145944.35</v>
      </c>
      <c r="R80" s="330">
        <f>SUM(R$70:R79)</f>
        <v>47470.66</v>
      </c>
      <c r="S80" s="330">
        <f>SUM(S$70:S79)</f>
        <v>0</v>
      </c>
      <c r="T80" s="330">
        <f>SUM(T$70:T79)</f>
        <v>190437.06</v>
      </c>
      <c r="U80" s="321">
        <f>SUM(U$70:U79)</f>
        <v>0</v>
      </c>
      <c r="V80" s="329">
        <f>SUM(V$70:V79)</f>
        <v>153</v>
      </c>
      <c r="W80" s="318">
        <f>SUM(W$70:W79)</f>
        <v>199148</v>
      </c>
      <c r="X80" s="318">
        <f>IFERROR(W80/V80,0)</f>
        <v>1301.6209150326797</v>
      </c>
      <c r="Y80" s="330">
        <f>SUM(Y$70:Y79)</f>
        <v>0</v>
      </c>
      <c r="Z80" s="330">
        <f>SUM(Z$70:Z79)</f>
        <v>17779</v>
      </c>
      <c r="AA80" s="330">
        <f>SUM(AA$70:AA79)</f>
        <v>128030</v>
      </c>
      <c r="AB80" s="330">
        <f>SUM(AB$70:AB79)</f>
        <v>53339</v>
      </c>
      <c r="AC80" s="330">
        <f>SUM(AC$70:AC79)</f>
        <v>0</v>
      </c>
      <c r="AD80" s="330">
        <f>SUM(AD$70:AD79)</f>
        <v>183830</v>
      </c>
      <c r="AE80" s="321">
        <f>SUM(AE$70:AE79)</f>
        <v>0</v>
      </c>
      <c r="AF80" s="329">
        <f>SUM(AF$70:AF79)</f>
        <v>121</v>
      </c>
      <c r="AG80" s="318">
        <f>SUM(AG$70:AG79)</f>
        <v>155299.99</v>
      </c>
      <c r="AH80" s="318">
        <f>IFERROR(AG80/AF80,0)</f>
        <v>1283.4709917355372</v>
      </c>
      <c r="AI80" s="330">
        <f>SUM(AI$70:AI79)</f>
        <v>0</v>
      </c>
      <c r="AJ80" s="330">
        <f>SUM(AJ$70:AJ79)</f>
        <v>15269</v>
      </c>
      <c r="AK80" s="330">
        <f>SUM(AK$70:AK79)</f>
        <v>94223.989999999991</v>
      </c>
      <c r="AL80" s="330">
        <f>SUM(AL$70:AL79)</f>
        <v>45807</v>
      </c>
      <c r="AM80" s="330">
        <f>SUM(AM$70:AM79)</f>
        <v>0</v>
      </c>
      <c r="AN80" s="330">
        <f>SUM(AN$70:AN79)</f>
        <v>142491.28</v>
      </c>
      <c r="AO80" s="321">
        <f>SUM(AO$70:AO79)</f>
        <v>0</v>
      </c>
      <c r="AP80" s="329">
        <f>SUM(AP$70:AP79)</f>
        <v>112</v>
      </c>
      <c r="AQ80" s="318">
        <f>SUM(AQ$70:AQ79)</f>
        <v>148822.77000000002</v>
      </c>
      <c r="AR80" s="318">
        <f>IFERROR(AQ80/AP80,0)</f>
        <v>1328.7747321428574</v>
      </c>
      <c r="AS80" s="330">
        <f>SUM(AS$70:AS79)</f>
        <v>0</v>
      </c>
      <c r="AT80" s="330">
        <f>SUM(AT$70:AT79)</f>
        <v>16868.55</v>
      </c>
      <c r="AU80" s="330">
        <f>SUM(AU$70:AU79)</f>
        <v>81348.58</v>
      </c>
      <c r="AV80" s="330">
        <f>SUM(AV$70:AV79)</f>
        <v>50605.64</v>
      </c>
      <c r="AW80" s="330">
        <f>SUM(AW$70:AW79)</f>
        <v>0</v>
      </c>
      <c r="AX80" s="330">
        <f>SUM(AX$70:AX79)</f>
        <v>139615.93</v>
      </c>
      <c r="AY80" s="321">
        <f>SUM(AY$70:AY79)</f>
        <v>0</v>
      </c>
      <c r="AZ80" s="329">
        <f>SUM(AZ$70:AZ79)</f>
        <v>61</v>
      </c>
      <c r="BA80" s="318">
        <f>SUM(BA$70:BA79)</f>
        <v>58508.42</v>
      </c>
      <c r="BB80" s="318">
        <f>IFERROR(BA80/AZ80,0)</f>
        <v>959.1544262295082</v>
      </c>
      <c r="BC80" s="330">
        <f>SUM(BC$70:BC79)</f>
        <v>0</v>
      </c>
      <c r="BD80" s="330">
        <f>SUM(BD$70:BD79)</f>
        <v>0</v>
      </c>
      <c r="BE80" s="330">
        <f>SUM(BE$70:BE79)</f>
        <v>36760.92</v>
      </c>
      <c r="BF80" s="330">
        <f>SUM(BF$70:BF79)</f>
        <v>21747.5</v>
      </c>
      <c r="BG80" s="330">
        <f>SUM(BG$70:BG79)</f>
        <v>0</v>
      </c>
      <c r="BH80" s="330">
        <f>SUM(BH$70:BH79)</f>
        <v>49959.97</v>
      </c>
      <c r="BI80" s="321">
        <f>SUM(BI$70:BI79)</f>
        <v>0</v>
      </c>
      <c r="BJ80" s="329">
        <f>SUM(BJ$70:BJ79)</f>
        <v>62</v>
      </c>
      <c r="BK80" s="318">
        <f>SUM(BK$70:BK79)</f>
        <v>81075.86</v>
      </c>
      <c r="BL80" s="318">
        <f>IFERROR(BK80/BJ80,0)</f>
        <v>1307.6751612903226</v>
      </c>
      <c r="BM80" s="330">
        <f>SUM(BM$70:BM79)</f>
        <v>0</v>
      </c>
      <c r="BN80" s="330">
        <f>SUM(BN$70:BN79)</f>
        <v>0</v>
      </c>
      <c r="BO80" s="330">
        <f>SUM(BO$70:BO79)</f>
        <v>37722.11</v>
      </c>
      <c r="BP80" s="330">
        <f>SUM(BP$70:BP79)</f>
        <v>43353.75</v>
      </c>
      <c r="BQ80" s="330">
        <f>SUM(BQ$70:BQ79)</f>
        <v>0</v>
      </c>
      <c r="BR80" s="330">
        <f>SUM(BR$70:BR79)</f>
        <v>70467.11</v>
      </c>
      <c r="BS80" s="321">
        <f>SUM(BS$70:BS79)</f>
        <v>0</v>
      </c>
      <c r="BT80" s="329">
        <f>SUM(BT$70:BT79)</f>
        <v>75</v>
      </c>
      <c r="BU80" s="318">
        <f>SUM(BU$70:BU79)</f>
        <v>106748</v>
      </c>
      <c r="BV80" s="318">
        <f>IFERROR(BU80/BT80,0)</f>
        <v>1423.3066666666666</v>
      </c>
      <c r="BW80" s="330">
        <f>SUM(BW$70:BW79)</f>
        <v>0</v>
      </c>
      <c r="BX80" s="330">
        <f>SUM(BX$70:BX79)</f>
        <v>0</v>
      </c>
      <c r="BY80" s="330">
        <f>SUM(BY$70:BY79)</f>
        <v>56198.43</v>
      </c>
      <c r="BZ80" s="330">
        <f>SUM(BZ$70:BZ79)</f>
        <v>50550</v>
      </c>
      <c r="CA80" s="330">
        <f>SUM(CA$70:CA79)</f>
        <v>0</v>
      </c>
      <c r="CB80" s="330">
        <f>SUM(CB$70:CB79)</f>
        <v>104149.93</v>
      </c>
      <c r="CC80" s="321">
        <f>SUM(CC$70:CC79)</f>
        <v>0</v>
      </c>
    </row>
    <row r="81" spans="1:81" s="316" customFormat="1" ht="15.95" customHeight="1">
      <c r="A81" s="322"/>
      <c r="B81" s="317"/>
      <c r="C81" s="318"/>
      <c r="D81" s="318"/>
      <c r="E81" s="320"/>
      <c r="F81" s="320"/>
      <c r="G81" s="320"/>
      <c r="H81" s="320"/>
      <c r="I81" s="320"/>
      <c r="J81" s="320"/>
      <c r="K81" s="321"/>
      <c r="L81" s="317"/>
      <c r="M81" s="318"/>
      <c r="N81" s="318"/>
      <c r="O81" s="320"/>
      <c r="P81" s="320"/>
      <c r="Q81" s="320"/>
      <c r="R81" s="320"/>
      <c r="S81" s="320"/>
      <c r="T81" s="320"/>
      <c r="U81" s="321"/>
      <c r="V81" s="317"/>
      <c r="W81" s="318"/>
      <c r="X81" s="318"/>
      <c r="Y81" s="320"/>
      <c r="Z81" s="320"/>
      <c r="AA81" s="320"/>
      <c r="AB81" s="320"/>
      <c r="AC81" s="320"/>
      <c r="AD81" s="320"/>
      <c r="AE81" s="321"/>
      <c r="AF81" s="317"/>
      <c r="AG81" s="318"/>
      <c r="AH81" s="318"/>
      <c r="AI81" s="320"/>
      <c r="AJ81" s="320"/>
      <c r="AK81" s="320"/>
      <c r="AL81" s="320"/>
      <c r="AM81" s="320"/>
      <c r="AN81" s="320"/>
      <c r="AO81" s="321"/>
      <c r="AP81" s="317"/>
      <c r="AQ81" s="318"/>
      <c r="AR81" s="318"/>
      <c r="AS81" s="320"/>
      <c r="AT81" s="320"/>
      <c r="AU81" s="320"/>
      <c r="AV81" s="320"/>
      <c r="AW81" s="320"/>
      <c r="AX81" s="320"/>
      <c r="AY81" s="321"/>
      <c r="AZ81" s="317"/>
      <c r="BA81" s="318"/>
      <c r="BB81" s="318"/>
      <c r="BC81" s="320"/>
      <c r="BD81" s="320"/>
      <c r="BE81" s="320"/>
      <c r="BF81" s="320"/>
      <c r="BG81" s="320"/>
      <c r="BH81" s="320"/>
      <c r="BI81" s="321"/>
      <c r="BJ81" s="317"/>
      <c r="BK81" s="318"/>
      <c r="BL81" s="318"/>
      <c r="BM81" s="320"/>
      <c r="BN81" s="320"/>
      <c r="BO81" s="320"/>
      <c r="BP81" s="320"/>
      <c r="BQ81" s="320"/>
      <c r="BR81" s="320"/>
      <c r="BS81" s="321"/>
      <c r="BT81" s="317"/>
      <c r="BU81" s="318"/>
      <c r="BV81" s="318"/>
      <c r="BW81" s="320"/>
      <c r="BX81" s="320"/>
      <c r="BY81" s="320"/>
      <c r="BZ81" s="320"/>
      <c r="CA81" s="320"/>
      <c r="CB81" s="320"/>
      <c r="CC81" s="321"/>
    </row>
    <row r="82" spans="1:81" s="316" customFormat="1" ht="15.95" customHeight="1">
      <c r="A82" s="324" t="s">
        <v>155</v>
      </c>
      <c r="B82" s="317"/>
      <c r="C82" s="318"/>
      <c r="D82" s="318"/>
      <c r="E82" s="320"/>
      <c r="F82" s="320"/>
      <c r="G82" s="320"/>
      <c r="H82" s="320"/>
      <c r="I82" s="320"/>
      <c r="J82" s="320"/>
      <c r="K82" s="321"/>
      <c r="L82" s="317"/>
      <c r="M82" s="318"/>
      <c r="N82" s="318"/>
      <c r="O82" s="320"/>
      <c r="P82" s="320"/>
      <c r="Q82" s="320"/>
      <c r="R82" s="320"/>
      <c r="S82" s="320"/>
      <c r="T82" s="320"/>
      <c r="U82" s="321"/>
      <c r="V82" s="317"/>
      <c r="W82" s="318"/>
      <c r="X82" s="318"/>
      <c r="Y82" s="320"/>
      <c r="Z82" s="320"/>
      <c r="AA82" s="320"/>
      <c r="AB82" s="320"/>
      <c r="AC82" s="320"/>
      <c r="AD82" s="320"/>
      <c r="AE82" s="321"/>
      <c r="AF82" s="317"/>
      <c r="AG82" s="318"/>
      <c r="AH82" s="318"/>
      <c r="AI82" s="320"/>
      <c r="AJ82" s="320"/>
      <c r="AK82" s="320"/>
      <c r="AL82" s="320"/>
      <c r="AM82" s="320"/>
      <c r="AN82" s="320"/>
      <c r="AO82" s="321"/>
      <c r="AP82" s="317"/>
      <c r="AQ82" s="318"/>
      <c r="AR82" s="318"/>
      <c r="AS82" s="320"/>
      <c r="AT82" s="320"/>
      <c r="AU82" s="320"/>
      <c r="AV82" s="320"/>
      <c r="AW82" s="320"/>
      <c r="AX82" s="320"/>
      <c r="AY82" s="321"/>
      <c r="AZ82" s="317"/>
      <c r="BA82" s="318"/>
      <c r="BB82" s="318"/>
      <c r="BC82" s="320"/>
      <c r="BD82" s="320"/>
      <c r="BE82" s="320"/>
      <c r="BF82" s="320"/>
      <c r="BG82" s="320"/>
      <c r="BH82" s="320"/>
      <c r="BI82" s="321"/>
      <c r="BJ82" s="317"/>
      <c r="BK82" s="318"/>
      <c r="BL82" s="318"/>
      <c r="BM82" s="320"/>
      <c r="BN82" s="320"/>
      <c r="BO82" s="320"/>
      <c r="BP82" s="320"/>
      <c r="BQ82" s="320"/>
      <c r="BR82" s="320"/>
      <c r="BS82" s="321"/>
      <c r="BT82" s="317"/>
      <c r="BU82" s="318"/>
      <c r="BV82" s="318"/>
      <c r="BW82" s="320"/>
      <c r="BX82" s="320"/>
      <c r="BY82" s="320"/>
      <c r="BZ82" s="320"/>
      <c r="CA82" s="320"/>
      <c r="CB82" s="320"/>
      <c r="CC82" s="321"/>
    </row>
    <row r="83" spans="1:81" s="316" customFormat="1" ht="15.95" customHeight="1">
      <c r="A83" s="325" t="s">
        <v>181</v>
      </c>
      <c r="B83" s="317"/>
      <c r="C83" s="318">
        <f t="shared" ref="C83:C95" si="147">SUM(E83:I83)</f>
        <v>0</v>
      </c>
      <c r="D83" s="318">
        <f t="shared" ref="D83:D95" si="148">IFERROR(C83/B83,0)</f>
        <v>0</v>
      </c>
      <c r="E83" s="320"/>
      <c r="F83" s="320"/>
      <c r="G83" s="320"/>
      <c r="H83" s="320"/>
      <c r="I83" s="320"/>
      <c r="J83" s="320"/>
      <c r="K83" s="321">
        <f t="shared" ref="K83:K107" si="149">IF(J83=0,0,(IF(E83&lt;=J83,E83,J83)))</f>
        <v>0</v>
      </c>
      <c r="L83" s="317">
        <v>14</v>
      </c>
      <c r="M83" s="318">
        <f t="shared" ref="M83:M95" si="150">SUM(O83:S83)</f>
        <v>44865.25</v>
      </c>
      <c r="N83" s="318">
        <f t="shared" ref="N83:N95" si="151">IFERROR(M83/L83,0)</f>
        <v>3204.6607142857142</v>
      </c>
      <c r="O83" s="331">
        <v>39579</v>
      </c>
      <c r="P83" s="331">
        <v>5286.25</v>
      </c>
      <c r="Q83" s="331"/>
      <c r="R83" s="331"/>
      <c r="S83" s="331"/>
      <c r="T83" s="331">
        <v>28305.75</v>
      </c>
      <c r="U83" s="321">
        <f t="shared" ref="U83:U107" si="152">IF(T83=0,0,(IF(O83&lt;=T83,O83,T83)))</f>
        <v>28305.75</v>
      </c>
      <c r="V83" s="317">
        <v>17</v>
      </c>
      <c r="W83" s="318">
        <f t="shared" ref="W83:W96" si="153">SUM(Y83:AC83)</f>
        <v>49450.5</v>
      </c>
      <c r="X83" s="318">
        <f t="shared" ref="X83:X96" si="154">IFERROR(W83/V83,0)</f>
        <v>2908.8529411764707</v>
      </c>
      <c r="Y83" s="320">
        <v>43070</v>
      </c>
      <c r="Z83" s="320">
        <v>6380.5</v>
      </c>
      <c r="AA83" s="320"/>
      <c r="AB83" s="320"/>
      <c r="AC83" s="320"/>
      <c r="AD83" s="320">
        <v>35036</v>
      </c>
      <c r="AE83" s="321">
        <f t="shared" ref="AE83:AE107" si="155">IF(AD83=0,0,(IF(Y83&lt;=AD83,Y83,AD83)))</f>
        <v>35036</v>
      </c>
      <c r="AF83" s="317">
        <v>20</v>
      </c>
      <c r="AG83" s="318">
        <f t="shared" ref="AG83:AG107" si="156">SUM(AI83:AM83)</f>
        <v>60057.7</v>
      </c>
      <c r="AH83" s="318">
        <f t="shared" ref="AH83:AH107" si="157">IFERROR(AG83/AF83,0)</f>
        <v>3002.8849999999998</v>
      </c>
      <c r="AI83" s="320">
        <f>47872.39+2434.5</f>
        <v>50306.89</v>
      </c>
      <c r="AJ83" s="320">
        <v>9750.81</v>
      </c>
      <c r="AK83" s="320"/>
      <c r="AL83" s="320"/>
      <c r="AM83" s="320"/>
      <c r="AN83" s="320">
        <f>23861.95+1164</f>
        <v>25025.95</v>
      </c>
      <c r="AO83" s="321">
        <f t="shared" ref="AO83:AO107" si="158">IF(AN83=0,0,(IF(AI83&lt;=AN83,AI83,AN83)))</f>
        <v>25025.95</v>
      </c>
      <c r="AP83" s="317">
        <v>19</v>
      </c>
      <c r="AQ83" s="318">
        <f t="shared" ref="AQ83:AQ92" si="159">SUM(AS83:AW83)</f>
        <v>72885.58</v>
      </c>
      <c r="AR83" s="318">
        <f t="shared" ref="AR83:AR96" si="160">IFERROR(AQ83/AP83,0)</f>
        <v>3836.0831578947368</v>
      </c>
      <c r="AS83" s="320">
        <v>60348.75</v>
      </c>
      <c r="AT83" s="320">
        <v>12536.83</v>
      </c>
      <c r="AU83" s="320"/>
      <c r="AV83" s="320"/>
      <c r="AW83" s="320"/>
      <c r="AX83" s="320">
        <v>9705</v>
      </c>
      <c r="AY83" s="321">
        <f t="shared" ref="AY83:AY107" si="161">IF(AX83=0,0,(IF(AS83&lt;=AX83,AS83,AX83)))</f>
        <v>9705</v>
      </c>
      <c r="AZ83" s="317">
        <v>17</v>
      </c>
      <c r="BA83" s="318">
        <f t="shared" ref="BA83:BA84" si="162">SUM(BC83:BG83)</f>
        <v>65259.75</v>
      </c>
      <c r="BB83" s="318">
        <f t="shared" ref="BB83:BB96" si="163">IFERROR(BA83/AZ83,0)</f>
        <v>3838.8088235294117</v>
      </c>
      <c r="BC83" s="320">
        <v>56484.75</v>
      </c>
      <c r="BD83" s="320">
        <v>8775</v>
      </c>
      <c r="BE83" s="320"/>
      <c r="BF83" s="320"/>
      <c r="BG83" s="320"/>
      <c r="BH83" s="320">
        <v>13406.25</v>
      </c>
      <c r="BI83" s="321">
        <f t="shared" ref="BI83:BI107" si="164">IF(BH83=0,0,(IF(BC83&lt;=BH83,BC83,BH83)))</f>
        <v>13406.25</v>
      </c>
      <c r="BJ83" s="323">
        <v>24</v>
      </c>
      <c r="BK83" s="318">
        <f t="shared" ref="BK83:BK107" si="165">SUM(BM83:BQ83)</f>
        <v>87696</v>
      </c>
      <c r="BL83" s="318">
        <f t="shared" ref="BL83:BL107" si="166">IFERROR(BK83/BJ83,0)</f>
        <v>3654</v>
      </c>
      <c r="BM83" s="320">
        <v>75169.5</v>
      </c>
      <c r="BN83" s="320">
        <v>12526.5</v>
      </c>
      <c r="BO83" s="320"/>
      <c r="BP83" s="320"/>
      <c r="BQ83" s="320"/>
      <c r="BR83" s="320">
        <v>15386.5</v>
      </c>
      <c r="BS83" s="321">
        <f t="shared" ref="BS83:BS107" si="167">IF(BR83=0,0,(IF(BM83&lt;=BR83,BM83,BR83)))</f>
        <v>15386.5</v>
      </c>
      <c r="BT83" s="207">
        <v>23</v>
      </c>
      <c r="BU83" s="318">
        <v>94025</v>
      </c>
      <c r="BV83" s="318">
        <f t="shared" ref="BV83:BV107" si="168">IFERROR(BU83/BT83,0)</f>
        <v>4088.0434782608695</v>
      </c>
      <c r="BW83" s="208">
        <v>81931.38</v>
      </c>
      <c r="BX83" s="208">
        <v>12093.49</v>
      </c>
      <c r="BY83" s="208"/>
      <c r="BZ83" s="208"/>
      <c r="CA83" s="208"/>
      <c r="CB83" s="208">
        <v>3072</v>
      </c>
      <c r="CC83" s="367">
        <f t="shared" ref="CC83:CC107" si="169">IF(CB83=0,0,(IF(BW83&lt;=CB83,BW83,CB83)))</f>
        <v>3072</v>
      </c>
    </row>
    <row r="84" spans="1:81" s="316" customFormat="1" ht="15.95" customHeight="1">
      <c r="A84" s="325" t="s">
        <v>182</v>
      </c>
      <c r="B84" s="317">
        <v>16</v>
      </c>
      <c r="C84" s="318">
        <f t="shared" si="147"/>
        <v>45111.5</v>
      </c>
      <c r="D84" s="318">
        <f t="shared" si="148"/>
        <v>2819.46875</v>
      </c>
      <c r="E84" s="320">
        <v>39746</v>
      </c>
      <c r="F84" s="320">
        <v>5365.5</v>
      </c>
      <c r="G84" s="320"/>
      <c r="H84" s="320"/>
      <c r="I84" s="320"/>
      <c r="J84" s="320">
        <v>34930</v>
      </c>
      <c r="K84" s="321">
        <f t="shared" si="149"/>
        <v>34930</v>
      </c>
      <c r="L84" s="317">
        <v>16</v>
      </c>
      <c r="M84" s="318">
        <f t="shared" si="150"/>
        <v>48171</v>
      </c>
      <c r="N84" s="318">
        <f t="shared" si="151"/>
        <v>3010.6875</v>
      </c>
      <c r="O84" s="331">
        <v>42960</v>
      </c>
      <c r="P84" s="331">
        <v>5211</v>
      </c>
      <c r="Q84" s="331"/>
      <c r="R84" s="331"/>
      <c r="S84" s="331"/>
      <c r="T84" s="331">
        <v>24309</v>
      </c>
      <c r="U84" s="321">
        <f t="shared" si="152"/>
        <v>24309</v>
      </c>
      <c r="V84" s="317">
        <v>16</v>
      </c>
      <c r="W84" s="318">
        <f t="shared" si="153"/>
        <v>52664</v>
      </c>
      <c r="X84" s="318">
        <f t="shared" si="154"/>
        <v>3291.5</v>
      </c>
      <c r="Y84" s="320">
        <v>47088</v>
      </c>
      <c r="Z84" s="320">
        <v>5576</v>
      </c>
      <c r="AA84" s="320"/>
      <c r="AB84" s="320"/>
      <c r="AC84" s="320"/>
      <c r="AD84" s="320">
        <v>29030</v>
      </c>
      <c r="AE84" s="321">
        <f t="shared" si="155"/>
        <v>29030</v>
      </c>
      <c r="AF84" s="317">
        <v>22</v>
      </c>
      <c r="AG84" s="318">
        <f t="shared" si="156"/>
        <v>74798</v>
      </c>
      <c r="AH84" s="318">
        <f t="shared" si="157"/>
        <v>3399.909090909091</v>
      </c>
      <c r="AI84" s="320">
        <f>60597+3303</f>
        <v>63900</v>
      </c>
      <c r="AJ84" s="320">
        <v>10898</v>
      </c>
      <c r="AK84" s="320"/>
      <c r="AL84" s="320"/>
      <c r="AM84" s="320"/>
      <c r="AN84" s="320">
        <f>32006+1701</f>
        <v>33707</v>
      </c>
      <c r="AO84" s="321">
        <f t="shared" si="158"/>
        <v>33707</v>
      </c>
      <c r="AP84" s="317">
        <v>19</v>
      </c>
      <c r="AQ84" s="318">
        <f t="shared" si="159"/>
        <v>69581</v>
      </c>
      <c r="AR84" s="318">
        <f t="shared" si="160"/>
        <v>3662.1578947368421</v>
      </c>
      <c r="AS84" s="320">
        <v>57011.5</v>
      </c>
      <c r="AT84" s="320">
        <v>12569.5</v>
      </c>
      <c r="AU84" s="320"/>
      <c r="AV84" s="320"/>
      <c r="AW84" s="320"/>
      <c r="AX84" s="320">
        <v>49715</v>
      </c>
      <c r="AY84" s="321">
        <f t="shared" si="161"/>
        <v>49715</v>
      </c>
      <c r="AZ84" s="317">
        <v>18</v>
      </c>
      <c r="BA84" s="318">
        <f t="shared" si="162"/>
        <v>64649</v>
      </c>
      <c r="BB84" s="318">
        <f t="shared" si="163"/>
        <v>3591.6111111111113</v>
      </c>
      <c r="BC84" s="320">
        <v>54489</v>
      </c>
      <c r="BD84" s="320">
        <v>10160</v>
      </c>
      <c r="BE84" s="320"/>
      <c r="BF84" s="320"/>
      <c r="BG84" s="320"/>
      <c r="BH84" s="320">
        <v>58250</v>
      </c>
      <c r="BI84" s="321">
        <f t="shared" si="164"/>
        <v>54489</v>
      </c>
      <c r="BJ84" s="323">
        <v>22</v>
      </c>
      <c r="BK84" s="318">
        <f t="shared" si="165"/>
        <v>76396.5</v>
      </c>
      <c r="BL84" s="318">
        <f t="shared" si="166"/>
        <v>3472.568181818182</v>
      </c>
      <c r="BM84" s="320">
        <v>64640</v>
      </c>
      <c r="BN84" s="320">
        <v>11756.5</v>
      </c>
      <c r="BO84" s="320"/>
      <c r="BP84" s="320"/>
      <c r="BQ84" s="320"/>
      <c r="BR84" s="320">
        <v>58861.5</v>
      </c>
      <c r="BS84" s="321">
        <f t="shared" si="167"/>
        <v>58861.5</v>
      </c>
      <c r="BT84" s="207">
        <v>16</v>
      </c>
      <c r="BU84" s="318">
        <v>64430</v>
      </c>
      <c r="BV84" s="318">
        <f t="shared" si="168"/>
        <v>4026.875</v>
      </c>
      <c r="BW84" s="208">
        <v>54559</v>
      </c>
      <c r="BX84" s="208">
        <v>9870.5</v>
      </c>
      <c r="BY84" s="208"/>
      <c r="BZ84" s="208"/>
      <c r="CA84" s="208"/>
      <c r="CB84" s="208">
        <v>44275.5</v>
      </c>
      <c r="CC84" s="367">
        <f t="shared" si="169"/>
        <v>44275.5</v>
      </c>
    </row>
    <row r="85" spans="1:81" s="316" customFormat="1" ht="15.95" customHeight="1">
      <c r="A85" s="325" t="s">
        <v>183</v>
      </c>
      <c r="B85" s="317">
        <v>2</v>
      </c>
      <c r="C85" s="318">
        <f t="shared" si="147"/>
        <v>774</v>
      </c>
      <c r="D85" s="318">
        <f t="shared" si="148"/>
        <v>387</v>
      </c>
      <c r="E85" s="320"/>
      <c r="F85" s="320">
        <v>774</v>
      </c>
      <c r="G85" s="320"/>
      <c r="H85" s="320"/>
      <c r="I85" s="320"/>
      <c r="J85" s="320">
        <v>774</v>
      </c>
      <c r="K85" s="321">
        <f t="shared" si="149"/>
        <v>0</v>
      </c>
      <c r="L85" s="317">
        <v>2</v>
      </c>
      <c r="M85" s="318">
        <f t="shared" si="150"/>
        <v>2385</v>
      </c>
      <c r="N85" s="318">
        <f t="shared" si="151"/>
        <v>1192.5</v>
      </c>
      <c r="O85" s="331"/>
      <c r="P85" s="331">
        <v>2385</v>
      </c>
      <c r="Q85" s="331"/>
      <c r="R85" s="331"/>
      <c r="S85" s="331"/>
      <c r="T85" s="331">
        <v>2385</v>
      </c>
      <c r="U85" s="321">
        <f t="shared" si="152"/>
        <v>0</v>
      </c>
      <c r="V85" s="317">
        <v>2</v>
      </c>
      <c r="W85" s="318">
        <f t="shared" si="153"/>
        <v>2585</v>
      </c>
      <c r="X85" s="318">
        <f t="shared" si="154"/>
        <v>1292.5</v>
      </c>
      <c r="Y85" s="320"/>
      <c r="Z85" s="320">
        <v>2585</v>
      </c>
      <c r="AA85" s="320"/>
      <c r="AB85" s="320"/>
      <c r="AC85" s="320"/>
      <c r="AD85" s="320">
        <v>2585</v>
      </c>
      <c r="AE85" s="321">
        <f t="shared" si="155"/>
        <v>0</v>
      </c>
      <c r="AF85" s="317">
        <v>3</v>
      </c>
      <c r="AG85" s="318">
        <f t="shared" si="156"/>
        <v>3024</v>
      </c>
      <c r="AH85" s="318">
        <f t="shared" si="157"/>
        <v>1008</v>
      </c>
      <c r="AI85" s="320"/>
      <c r="AJ85" s="320">
        <v>3024</v>
      </c>
      <c r="AK85" s="320"/>
      <c r="AL85" s="320"/>
      <c r="AM85" s="320"/>
      <c r="AN85" s="320">
        <v>3024</v>
      </c>
      <c r="AO85" s="321">
        <f t="shared" si="158"/>
        <v>0</v>
      </c>
      <c r="AP85" s="317">
        <v>3</v>
      </c>
      <c r="AQ85" s="318">
        <f>SUM(AT85:AW85)</f>
        <v>4455</v>
      </c>
      <c r="AR85" s="318">
        <f t="shared" si="160"/>
        <v>1485</v>
      </c>
      <c r="AT85" s="320">
        <v>4455</v>
      </c>
      <c r="AU85" s="320"/>
      <c r="AV85" s="320"/>
      <c r="AW85" s="320"/>
      <c r="AX85" s="320">
        <v>4455</v>
      </c>
      <c r="AY85" s="321">
        <f t="shared" si="161"/>
        <v>0</v>
      </c>
      <c r="AZ85" s="317">
        <v>3</v>
      </c>
      <c r="BA85" s="318">
        <f>SUM(BD85:BG85)</f>
        <v>4134</v>
      </c>
      <c r="BB85" s="318">
        <f t="shared" si="163"/>
        <v>1378</v>
      </c>
      <c r="BD85" s="320">
        <v>4134</v>
      </c>
      <c r="BE85" s="320"/>
      <c r="BF85" s="320"/>
      <c r="BG85" s="320"/>
      <c r="BH85" s="320">
        <v>2782.5</v>
      </c>
      <c r="BI85" s="321">
        <f>IF(BH85=0,0,(IF(BD85&lt;=BH85,BD85,BH85)))</f>
        <v>2782.5</v>
      </c>
      <c r="BJ85" s="323">
        <v>3</v>
      </c>
      <c r="BK85" s="318">
        <f>SUM(BN85:BQ85)</f>
        <v>4357.5</v>
      </c>
      <c r="BL85" s="318">
        <f t="shared" si="166"/>
        <v>1452.5</v>
      </c>
      <c r="BN85" s="320">
        <v>4357.5</v>
      </c>
      <c r="BO85" s="320"/>
      <c r="BP85" s="320"/>
      <c r="BQ85" s="320"/>
      <c r="BR85" s="320">
        <v>4357.5</v>
      </c>
      <c r="BS85" s="321">
        <f>IF(BR85=0,0,(IF(BN85&lt;=BR85,BN85,BR85)))</f>
        <v>4357.5</v>
      </c>
      <c r="BT85" s="207">
        <v>3</v>
      </c>
      <c r="BU85" s="318">
        <v>3510</v>
      </c>
      <c r="BV85" s="318">
        <f t="shared" si="168"/>
        <v>1170</v>
      </c>
      <c r="BX85" s="208">
        <v>3510</v>
      </c>
      <c r="BY85" s="208"/>
      <c r="BZ85" s="208"/>
      <c r="CA85" s="208"/>
      <c r="CB85" s="208">
        <v>3510</v>
      </c>
      <c r="CC85" s="367">
        <f>IF(CB85=0,0,(IF(BX85&lt;=CB85,BX85,CB85)))</f>
        <v>3510</v>
      </c>
    </row>
    <row r="86" spans="1:81" s="316" customFormat="1" ht="15.95" customHeight="1">
      <c r="A86" s="325" t="s">
        <v>184</v>
      </c>
      <c r="B86" s="317">
        <v>16</v>
      </c>
      <c r="C86" s="318">
        <f t="shared" si="147"/>
        <v>38114.25</v>
      </c>
      <c r="D86" s="318">
        <f t="shared" si="148"/>
        <v>2382.140625</v>
      </c>
      <c r="E86" s="320">
        <v>33571.5</v>
      </c>
      <c r="F86" s="320">
        <v>4542.75</v>
      </c>
      <c r="G86" s="320"/>
      <c r="H86" s="320"/>
      <c r="I86" s="320"/>
      <c r="J86" s="320">
        <v>27857.75</v>
      </c>
      <c r="K86" s="321">
        <f t="shared" si="149"/>
        <v>27857.75</v>
      </c>
      <c r="L86" s="317">
        <v>15</v>
      </c>
      <c r="M86" s="318">
        <f t="shared" si="150"/>
        <v>44873.25</v>
      </c>
      <c r="N86" s="318">
        <f t="shared" si="151"/>
        <v>2991.55</v>
      </c>
      <c r="O86" s="331">
        <v>40020</v>
      </c>
      <c r="P86" s="331">
        <v>4853.25</v>
      </c>
      <c r="Q86" s="331"/>
      <c r="R86" s="331"/>
      <c r="S86" s="331"/>
      <c r="T86" s="331">
        <v>22611.75</v>
      </c>
      <c r="U86" s="321">
        <f t="shared" si="152"/>
        <v>22611.75</v>
      </c>
      <c r="V86" s="317">
        <v>17</v>
      </c>
      <c r="W86" s="318">
        <f t="shared" si="153"/>
        <v>53383</v>
      </c>
      <c r="X86" s="318">
        <f t="shared" si="154"/>
        <v>3140.1764705882351</v>
      </c>
      <c r="Y86" s="320">
        <v>48064</v>
      </c>
      <c r="Z86" s="320">
        <v>5319</v>
      </c>
      <c r="AA86" s="320"/>
      <c r="AB86" s="320"/>
      <c r="AC86" s="320"/>
      <c r="AD86" s="320">
        <v>18841</v>
      </c>
      <c r="AE86" s="321">
        <f t="shared" si="155"/>
        <v>18841</v>
      </c>
      <c r="AF86" s="317">
        <v>21</v>
      </c>
      <c r="AG86" s="318">
        <f t="shared" si="156"/>
        <v>64676.71</v>
      </c>
      <c r="AH86" s="318">
        <f t="shared" si="157"/>
        <v>3079.8433333333332</v>
      </c>
      <c r="AI86" s="320">
        <f>53278.45+2501.25+34</f>
        <v>55813.7</v>
      </c>
      <c r="AJ86" s="320">
        <v>8863.01</v>
      </c>
      <c r="AK86" s="320"/>
      <c r="AL86" s="320"/>
      <c r="AM86" s="320"/>
      <c r="AN86" s="320">
        <f>8410+435</f>
        <v>8845</v>
      </c>
      <c r="AO86" s="321">
        <f t="shared" si="158"/>
        <v>8845</v>
      </c>
      <c r="AP86" s="317">
        <v>20</v>
      </c>
      <c r="AQ86" s="318">
        <f t="shared" si="159"/>
        <v>75640.5</v>
      </c>
      <c r="AR86" s="318">
        <f t="shared" si="160"/>
        <v>3782.0250000000001</v>
      </c>
      <c r="AS86" s="320">
        <v>64440.25</v>
      </c>
      <c r="AT86" s="320">
        <v>11200.25</v>
      </c>
      <c r="AU86" s="320"/>
      <c r="AV86" s="320"/>
      <c r="AW86" s="320"/>
      <c r="AX86" s="320">
        <v>8967</v>
      </c>
      <c r="AY86" s="321">
        <f t="shared" si="161"/>
        <v>8967</v>
      </c>
      <c r="AZ86" s="317">
        <v>19</v>
      </c>
      <c r="BA86" s="318">
        <f t="shared" ref="BA86:BA92" si="170">SUM(BC86:BG86)</f>
        <v>73753.959999999992</v>
      </c>
      <c r="BB86" s="318">
        <f t="shared" si="163"/>
        <v>3881.7873684210522</v>
      </c>
      <c r="BC86" s="320">
        <v>62233.5</v>
      </c>
      <c r="BD86" s="320">
        <v>11520.46</v>
      </c>
      <c r="BE86" s="320"/>
      <c r="BF86" s="320"/>
      <c r="BG86" s="320"/>
      <c r="BH86" s="320">
        <v>3750</v>
      </c>
      <c r="BI86" s="321">
        <f t="shared" si="164"/>
        <v>3750</v>
      </c>
      <c r="BJ86" s="323">
        <v>17</v>
      </c>
      <c r="BK86" s="318">
        <f t="shared" si="165"/>
        <v>71914</v>
      </c>
      <c r="BL86" s="318">
        <f t="shared" si="166"/>
        <v>4230.2352941176468</v>
      </c>
      <c r="BM86" s="320">
        <v>62217.75</v>
      </c>
      <c r="BN86" s="320">
        <v>9696.25</v>
      </c>
      <c r="BO86" s="320"/>
      <c r="BP86" s="320"/>
      <c r="BQ86" s="320"/>
      <c r="BR86" s="320">
        <v>1658.5</v>
      </c>
      <c r="BS86" s="321">
        <f t="shared" si="167"/>
        <v>1658.5</v>
      </c>
      <c r="BT86" s="207">
        <v>23</v>
      </c>
      <c r="BU86" s="318">
        <v>99118</v>
      </c>
      <c r="BV86" s="318">
        <f t="shared" si="168"/>
        <v>4309.478260869565</v>
      </c>
      <c r="BW86" s="208">
        <v>81858</v>
      </c>
      <c r="BX86" s="208">
        <v>17260.47</v>
      </c>
      <c r="BY86" s="208"/>
      <c r="BZ86" s="208"/>
      <c r="CA86" s="208"/>
      <c r="CB86" s="208">
        <v>0</v>
      </c>
      <c r="CC86" s="367">
        <f t="shared" si="169"/>
        <v>0</v>
      </c>
    </row>
    <row r="87" spans="1:81" s="316" customFormat="1" ht="15.95" customHeight="1">
      <c r="A87" s="325" t="s">
        <v>185</v>
      </c>
      <c r="B87" s="317">
        <v>63</v>
      </c>
      <c r="C87" s="318">
        <f t="shared" si="147"/>
        <v>64957.57</v>
      </c>
      <c r="D87" s="318">
        <f t="shared" si="148"/>
        <v>1031.0725396825396</v>
      </c>
      <c r="E87" s="320">
        <v>64957.57</v>
      </c>
      <c r="F87" s="320"/>
      <c r="G87" s="320"/>
      <c r="H87" s="320"/>
      <c r="I87" s="320"/>
      <c r="J87" s="320">
        <v>61890.57</v>
      </c>
      <c r="K87" s="321">
        <f t="shared" si="149"/>
        <v>61890.57</v>
      </c>
      <c r="L87" s="317">
        <v>58</v>
      </c>
      <c r="M87" s="318">
        <f t="shared" si="150"/>
        <v>54703.5</v>
      </c>
      <c r="N87" s="318">
        <f t="shared" si="151"/>
        <v>943.16379310344826</v>
      </c>
      <c r="O87" s="331">
        <v>54703.5</v>
      </c>
      <c r="P87" s="331"/>
      <c r="Q87" s="331"/>
      <c r="R87" s="331"/>
      <c r="S87" s="331"/>
      <c r="T87" s="331">
        <v>53775</v>
      </c>
      <c r="U87" s="321">
        <f t="shared" si="152"/>
        <v>53775</v>
      </c>
      <c r="V87" s="317">
        <v>50</v>
      </c>
      <c r="W87" s="318">
        <f t="shared" si="153"/>
        <v>55188.25</v>
      </c>
      <c r="X87" s="318">
        <f t="shared" si="154"/>
        <v>1103.7650000000001</v>
      </c>
      <c r="Y87" s="320">
        <v>55188.25</v>
      </c>
      <c r="Z87" s="320"/>
      <c r="AA87" s="320"/>
      <c r="AB87" s="320"/>
      <c r="AC87" s="320"/>
      <c r="AD87" s="320">
        <v>49820</v>
      </c>
      <c r="AE87" s="321">
        <f t="shared" si="155"/>
        <v>49820</v>
      </c>
      <c r="AF87" s="317">
        <v>55</v>
      </c>
      <c r="AG87" s="318">
        <f t="shared" si="156"/>
        <v>71748.289999999994</v>
      </c>
      <c r="AH87" s="318">
        <f t="shared" si="157"/>
        <v>1304.5143636363634</v>
      </c>
      <c r="AI87" s="320">
        <v>71748.289999999994</v>
      </c>
      <c r="AJ87" s="320"/>
      <c r="AK87" s="320"/>
      <c r="AL87" s="320"/>
      <c r="AM87" s="320"/>
      <c r="AN87" s="320">
        <v>66452.160000000003</v>
      </c>
      <c r="AO87" s="321">
        <f t="shared" si="158"/>
        <v>66452.160000000003</v>
      </c>
      <c r="AP87" s="317">
        <v>47</v>
      </c>
      <c r="AQ87" s="318">
        <f t="shared" si="159"/>
        <v>70595.05</v>
      </c>
      <c r="AR87" s="318">
        <f t="shared" si="160"/>
        <v>1502.0223404255319</v>
      </c>
      <c r="AS87" s="320">
        <v>70595.05</v>
      </c>
      <c r="AT87" s="320"/>
      <c r="AU87" s="320"/>
      <c r="AV87" s="320"/>
      <c r="AW87" s="320"/>
      <c r="AX87" s="320">
        <v>68795.05</v>
      </c>
      <c r="AY87" s="321">
        <f t="shared" si="161"/>
        <v>68795.05</v>
      </c>
      <c r="AZ87" s="317">
        <v>43</v>
      </c>
      <c r="BA87" s="318">
        <f t="shared" si="170"/>
        <v>63332.5</v>
      </c>
      <c r="BB87" s="318">
        <f t="shared" si="163"/>
        <v>1472.8488372093022</v>
      </c>
      <c r="BC87" s="320">
        <v>63332.5</v>
      </c>
      <c r="BD87" s="320"/>
      <c r="BE87" s="320"/>
      <c r="BF87" s="320"/>
      <c r="BG87" s="320"/>
      <c r="BH87" s="320">
        <v>58695</v>
      </c>
      <c r="BI87" s="321">
        <f t="shared" si="164"/>
        <v>58695</v>
      </c>
      <c r="BJ87" s="323">
        <v>45</v>
      </c>
      <c r="BK87" s="318">
        <f t="shared" si="165"/>
        <v>60083.46</v>
      </c>
      <c r="BL87" s="318">
        <f t="shared" si="166"/>
        <v>1335.1879999999999</v>
      </c>
      <c r="BM87" s="320">
        <v>60083.46</v>
      </c>
      <c r="BN87" s="320"/>
      <c r="BO87" s="320"/>
      <c r="BP87" s="320"/>
      <c r="BQ87" s="320"/>
      <c r="BR87" s="320">
        <v>53060.959999999999</v>
      </c>
      <c r="BS87" s="321">
        <f t="shared" si="167"/>
        <v>53060.959999999999</v>
      </c>
      <c r="BT87" s="207">
        <v>41</v>
      </c>
      <c r="BU87" s="318">
        <v>55414</v>
      </c>
      <c r="BV87" s="318">
        <f t="shared" si="168"/>
        <v>1351.560975609756</v>
      </c>
      <c r="BW87" s="208">
        <v>55414</v>
      </c>
      <c r="BX87" s="208"/>
      <c r="BY87" s="208"/>
      <c r="BZ87" s="208"/>
      <c r="CA87" s="208"/>
      <c r="CB87" s="208">
        <v>52771.5</v>
      </c>
      <c r="CC87" s="367">
        <f t="shared" si="169"/>
        <v>52771.5</v>
      </c>
    </row>
    <row r="88" spans="1:81" s="316" customFormat="1" ht="15.95" customHeight="1">
      <c r="A88" s="325" t="s">
        <v>186</v>
      </c>
      <c r="B88" s="317">
        <v>9</v>
      </c>
      <c r="C88" s="318">
        <f t="shared" si="147"/>
        <v>12749.5</v>
      </c>
      <c r="D88" s="318">
        <f t="shared" si="148"/>
        <v>1416.6111111111111</v>
      </c>
      <c r="E88" s="320">
        <v>12749.5</v>
      </c>
      <c r="F88" s="320"/>
      <c r="G88" s="320"/>
      <c r="H88" s="320"/>
      <c r="I88" s="320"/>
      <c r="J88" s="320">
        <v>12749.5</v>
      </c>
      <c r="K88" s="321">
        <f t="shared" si="149"/>
        <v>12749.5</v>
      </c>
      <c r="L88" s="317">
        <v>13</v>
      </c>
      <c r="M88" s="318">
        <f t="shared" si="150"/>
        <v>21868.75</v>
      </c>
      <c r="N88" s="318">
        <f t="shared" si="151"/>
        <v>1682.2115384615386</v>
      </c>
      <c r="O88" s="331">
        <v>21868.75</v>
      </c>
      <c r="P88" s="331"/>
      <c r="Q88" s="331"/>
      <c r="R88" s="331"/>
      <c r="S88" s="331"/>
      <c r="T88" s="331">
        <v>20958.75</v>
      </c>
      <c r="U88" s="321">
        <f t="shared" si="152"/>
        <v>20958.75</v>
      </c>
      <c r="V88" s="317">
        <v>14</v>
      </c>
      <c r="W88" s="318">
        <f t="shared" si="153"/>
        <v>19207.25</v>
      </c>
      <c r="X88" s="318">
        <f t="shared" si="154"/>
        <v>1371.9464285714287</v>
      </c>
      <c r="Y88" s="320">
        <v>19207.25</v>
      </c>
      <c r="Z88" s="320"/>
      <c r="AA88" s="320"/>
      <c r="AB88" s="320"/>
      <c r="AC88" s="320"/>
      <c r="AD88" s="320">
        <v>17165</v>
      </c>
      <c r="AE88" s="321">
        <f t="shared" si="155"/>
        <v>17165</v>
      </c>
      <c r="AF88" s="317">
        <v>7</v>
      </c>
      <c r="AG88" s="318">
        <f t="shared" si="156"/>
        <v>11169</v>
      </c>
      <c r="AH88" s="318">
        <f t="shared" si="157"/>
        <v>1595.5714285714287</v>
      </c>
      <c r="AI88" s="320">
        <v>11169</v>
      </c>
      <c r="AJ88" s="320"/>
      <c r="AK88" s="320"/>
      <c r="AL88" s="320"/>
      <c r="AM88" s="320"/>
      <c r="AN88" s="320">
        <v>11169</v>
      </c>
      <c r="AO88" s="321">
        <f t="shared" si="158"/>
        <v>11169</v>
      </c>
      <c r="AP88" s="317">
        <v>15</v>
      </c>
      <c r="AQ88" s="318">
        <f t="shared" si="159"/>
        <v>28200.77</v>
      </c>
      <c r="AR88" s="318">
        <f t="shared" si="160"/>
        <v>1880.0513333333333</v>
      </c>
      <c r="AS88" s="320">
        <v>28200.77</v>
      </c>
      <c r="AT88" s="320"/>
      <c r="AU88" s="320"/>
      <c r="AV88" s="320"/>
      <c r="AW88" s="320"/>
      <c r="AX88" s="320">
        <v>24675.77</v>
      </c>
      <c r="AY88" s="321">
        <f t="shared" si="161"/>
        <v>24675.77</v>
      </c>
      <c r="AZ88" s="317">
        <v>13</v>
      </c>
      <c r="BA88" s="318">
        <f t="shared" si="170"/>
        <v>26845.38</v>
      </c>
      <c r="BB88" s="318">
        <f t="shared" si="163"/>
        <v>2065.0292307692307</v>
      </c>
      <c r="BC88" s="320">
        <v>26845.38</v>
      </c>
      <c r="BD88" s="320"/>
      <c r="BE88" s="320"/>
      <c r="BF88" s="320"/>
      <c r="BG88" s="320"/>
      <c r="BH88" s="320">
        <v>23559.38</v>
      </c>
      <c r="BI88" s="321">
        <f t="shared" si="164"/>
        <v>23559.38</v>
      </c>
      <c r="BJ88" s="323">
        <v>16</v>
      </c>
      <c r="BK88" s="318">
        <f t="shared" si="165"/>
        <v>26426.63</v>
      </c>
      <c r="BL88" s="318">
        <f t="shared" si="166"/>
        <v>1651.6643750000001</v>
      </c>
      <c r="BM88" s="320">
        <v>26426.63</v>
      </c>
      <c r="BN88" s="320"/>
      <c r="BO88" s="320"/>
      <c r="BP88" s="320"/>
      <c r="BQ88" s="320"/>
      <c r="BR88" s="320">
        <v>23008.13</v>
      </c>
      <c r="BS88" s="321">
        <f t="shared" si="167"/>
        <v>23008.13</v>
      </c>
      <c r="BT88" s="207">
        <v>13</v>
      </c>
      <c r="BU88" s="318">
        <v>32173</v>
      </c>
      <c r="BV88" s="318">
        <f t="shared" si="168"/>
        <v>2474.8461538461538</v>
      </c>
      <c r="BW88" s="208">
        <v>32172.75</v>
      </c>
      <c r="BX88" s="208"/>
      <c r="BY88" s="208"/>
      <c r="BZ88" s="208"/>
      <c r="CA88" s="208"/>
      <c r="CB88" s="208">
        <v>30456</v>
      </c>
      <c r="CC88" s="367">
        <f t="shared" si="169"/>
        <v>30456</v>
      </c>
    </row>
    <row r="89" spans="1:81" s="316" customFormat="1" ht="15.95" customHeight="1">
      <c r="A89" s="325" t="s">
        <v>187</v>
      </c>
      <c r="B89" s="317">
        <v>12</v>
      </c>
      <c r="C89" s="318">
        <f t="shared" si="147"/>
        <v>123681</v>
      </c>
      <c r="D89" s="318">
        <f t="shared" si="148"/>
        <v>10306.75</v>
      </c>
      <c r="E89" s="320">
        <v>45843</v>
      </c>
      <c r="F89" s="320">
        <v>63438</v>
      </c>
      <c r="G89" s="320"/>
      <c r="H89" s="320"/>
      <c r="I89" s="320">
        <v>14400</v>
      </c>
      <c r="J89" s="320">
        <v>21468.5</v>
      </c>
      <c r="K89" s="321">
        <f t="shared" si="149"/>
        <v>21468.5</v>
      </c>
      <c r="L89" s="317">
        <v>13</v>
      </c>
      <c r="M89" s="318">
        <f t="shared" si="150"/>
        <v>151620.08000000002</v>
      </c>
      <c r="N89" s="318">
        <f t="shared" si="151"/>
        <v>11663.083076923078</v>
      </c>
      <c r="O89" s="331">
        <v>54714</v>
      </c>
      <c r="P89" s="331">
        <v>75821.08</v>
      </c>
      <c r="Q89" s="331"/>
      <c r="R89" s="331"/>
      <c r="S89" s="331">
        <v>21085</v>
      </c>
      <c r="T89" s="331">
        <v>17920</v>
      </c>
      <c r="U89" s="321">
        <f t="shared" si="152"/>
        <v>17920</v>
      </c>
      <c r="V89" s="317">
        <v>15</v>
      </c>
      <c r="W89" s="318">
        <f t="shared" si="153"/>
        <v>155061</v>
      </c>
      <c r="X89" s="318">
        <f t="shared" si="154"/>
        <v>10337.4</v>
      </c>
      <c r="Y89" s="320">
        <v>57919</v>
      </c>
      <c r="Z89" s="320">
        <v>82462</v>
      </c>
      <c r="AA89" s="320"/>
      <c r="AB89" s="320"/>
      <c r="AC89" s="320">
        <v>14680</v>
      </c>
      <c r="AD89" s="320">
        <v>8436</v>
      </c>
      <c r="AE89" s="321">
        <f t="shared" si="155"/>
        <v>8436</v>
      </c>
      <c r="AF89" s="317">
        <v>13</v>
      </c>
      <c r="AG89" s="318">
        <f t="shared" si="156"/>
        <v>121983.44</v>
      </c>
      <c r="AH89" s="318">
        <f t="shared" si="157"/>
        <v>9383.3415384615382</v>
      </c>
      <c r="AI89" s="320">
        <f>49391+2418+68</f>
        <v>51877</v>
      </c>
      <c r="AJ89" s="320">
        <v>70106.44</v>
      </c>
      <c r="AK89" s="320"/>
      <c r="AL89" s="320"/>
      <c r="AM89" s="320"/>
      <c r="AN89" s="320">
        <f>18383.19+750</f>
        <v>19133.189999999999</v>
      </c>
      <c r="AO89" s="321">
        <f t="shared" si="158"/>
        <v>19133.189999999999</v>
      </c>
      <c r="AP89" s="317">
        <v>13</v>
      </c>
      <c r="AQ89" s="318">
        <f t="shared" si="159"/>
        <v>112535.43</v>
      </c>
      <c r="AR89" s="318">
        <f t="shared" si="160"/>
        <v>8656.5715384615378</v>
      </c>
      <c r="AS89" s="320">
        <v>51043</v>
      </c>
      <c r="AT89" s="320">
        <v>61492.43</v>
      </c>
      <c r="AU89" s="320"/>
      <c r="AV89" s="320"/>
      <c r="AW89" s="320"/>
      <c r="AX89" s="320">
        <v>27023.96</v>
      </c>
      <c r="AY89" s="321">
        <f t="shared" si="161"/>
        <v>27023.96</v>
      </c>
      <c r="AZ89" s="317">
        <v>11</v>
      </c>
      <c r="BA89" s="318">
        <f t="shared" si="170"/>
        <v>79553.13</v>
      </c>
      <c r="BB89" s="318">
        <f t="shared" si="163"/>
        <v>7232.1027272727279</v>
      </c>
      <c r="BC89" s="320">
        <v>41485</v>
      </c>
      <c r="BD89" s="320">
        <v>38068.129999999997</v>
      </c>
      <c r="BE89" s="320"/>
      <c r="BF89" s="320"/>
      <c r="BG89" s="320"/>
      <c r="BH89" s="320">
        <v>40276.11</v>
      </c>
      <c r="BI89" s="321">
        <f t="shared" si="164"/>
        <v>40276.11</v>
      </c>
      <c r="BJ89" s="323">
        <v>15</v>
      </c>
      <c r="BK89" s="318">
        <f t="shared" si="165"/>
        <v>76858.2</v>
      </c>
      <c r="BL89" s="318">
        <f t="shared" si="166"/>
        <v>5123.88</v>
      </c>
      <c r="BM89" s="320">
        <v>55071</v>
      </c>
      <c r="BN89" s="320">
        <v>21787.200000000001</v>
      </c>
      <c r="BO89" s="320"/>
      <c r="BP89" s="320"/>
      <c r="BQ89" s="320"/>
      <c r="BR89" s="320">
        <v>22148.78</v>
      </c>
      <c r="BS89" s="321">
        <f t="shared" si="167"/>
        <v>22148.78</v>
      </c>
      <c r="BT89" s="207">
        <v>14</v>
      </c>
      <c r="BU89" s="318">
        <v>85800</v>
      </c>
      <c r="BV89" s="318">
        <f t="shared" si="168"/>
        <v>6128.5714285714284</v>
      </c>
      <c r="BW89" s="208">
        <v>63147.5</v>
      </c>
      <c r="BX89" s="208">
        <v>22652.28</v>
      </c>
      <c r="BY89" s="208"/>
      <c r="BZ89" s="208"/>
      <c r="CA89" s="208"/>
      <c r="CB89" s="208">
        <v>20796.509999999998</v>
      </c>
      <c r="CC89" s="367">
        <f t="shared" si="169"/>
        <v>20796.509999999998</v>
      </c>
    </row>
    <row r="90" spans="1:81" s="316" customFormat="1" ht="15.95" customHeight="1">
      <c r="A90" s="325" t="s">
        <v>188</v>
      </c>
      <c r="B90" s="317">
        <v>8</v>
      </c>
      <c r="C90" s="318">
        <f t="shared" si="147"/>
        <v>29493</v>
      </c>
      <c r="D90" s="318">
        <f t="shared" si="148"/>
        <v>3686.625</v>
      </c>
      <c r="E90" s="320">
        <v>26037</v>
      </c>
      <c r="F90" s="320">
        <v>3456</v>
      </c>
      <c r="G90" s="320"/>
      <c r="H90" s="320"/>
      <c r="I90" s="320"/>
      <c r="J90" s="320">
        <v>19517.5</v>
      </c>
      <c r="K90" s="321">
        <f t="shared" si="149"/>
        <v>19517.5</v>
      </c>
      <c r="L90" s="317">
        <v>8</v>
      </c>
      <c r="M90" s="318">
        <f t="shared" si="150"/>
        <v>26170.5</v>
      </c>
      <c r="N90" s="318">
        <f t="shared" si="151"/>
        <v>3271.3125</v>
      </c>
      <c r="O90" s="331">
        <v>22944</v>
      </c>
      <c r="P90" s="331">
        <v>3226.5</v>
      </c>
      <c r="Q90" s="331"/>
      <c r="R90" s="331"/>
      <c r="S90" s="331"/>
      <c r="T90" s="331">
        <v>26170.5</v>
      </c>
      <c r="U90" s="321">
        <f t="shared" si="152"/>
        <v>22944</v>
      </c>
      <c r="V90" s="317">
        <v>6</v>
      </c>
      <c r="W90" s="318">
        <f t="shared" si="153"/>
        <v>20289</v>
      </c>
      <c r="X90" s="318">
        <f t="shared" si="154"/>
        <v>3381.5</v>
      </c>
      <c r="Y90" s="320">
        <v>14892</v>
      </c>
      <c r="Z90" s="320">
        <v>5397</v>
      </c>
      <c r="AA90" s="320"/>
      <c r="AB90" s="320"/>
      <c r="AC90" s="320"/>
      <c r="AD90" s="320">
        <v>20289</v>
      </c>
      <c r="AE90" s="321">
        <f t="shared" si="155"/>
        <v>14892</v>
      </c>
      <c r="AF90" s="317">
        <v>9</v>
      </c>
      <c r="AG90" s="318">
        <f t="shared" si="156"/>
        <v>30864</v>
      </c>
      <c r="AH90" s="318">
        <f t="shared" si="157"/>
        <v>3429.3333333333335</v>
      </c>
      <c r="AI90" s="320">
        <f>22786+1518</f>
        <v>24304</v>
      </c>
      <c r="AJ90" s="320">
        <v>6560</v>
      </c>
      <c r="AK90" s="320"/>
      <c r="AL90" s="320"/>
      <c r="AM90" s="320"/>
      <c r="AN90" s="320">
        <f>25368+1314</f>
        <v>26682</v>
      </c>
      <c r="AO90" s="321">
        <f t="shared" si="158"/>
        <v>24304</v>
      </c>
      <c r="AP90" s="317">
        <v>8</v>
      </c>
      <c r="AQ90" s="318">
        <f t="shared" si="159"/>
        <v>27967</v>
      </c>
      <c r="AR90" s="318">
        <f t="shared" si="160"/>
        <v>3495.875</v>
      </c>
      <c r="AS90" s="320">
        <v>22700</v>
      </c>
      <c r="AT90" s="320">
        <v>5267</v>
      </c>
      <c r="AU90" s="320"/>
      <c r="AV90" s="320"/>
      <c r="AW90" s="320"/>
      <c r="AX90" s="320">
        <v>24400</v>
      </c>
      <c r="AY90" s="321">
        <f t="shared" si="161"/>
        <v>22700</v>
      </c>
      <c r="AZ90" s="317">
        <v>8</v>
      </c>
      <c r="BA90" s="318">
        <f t="shared" si="170"/>
        <v>25853</v>
      </c>
      <c r="BB90" s="318">
        <f t="shared" si="163"/>
        <v>3231.625</v>
      </c>
      <c r="BC90" s="320">
        <v>21473</v>
      </c>
      <c r="BD90" s="320">
        <v>4380</v>
      </c>
      <c r="BE90" s="320"/>
      <c r="BF90" s="320"/>
      <c r="BG90" s="320"/>
      <c r="BH90" s="320">
        <v>19175</v>
      </c>
      <c r="BI90" s="321">
        <f t="shared" si="164"/>
        <v>19175</v>
      </c>
      <c r="BJ90" s="323">
        <v>8</v>
      </c>
      <c r="BK90" s="318">
        <f t="shared" si="165"/>
        <v>29247.5</v>
      </c>
      <c r="BL90" s="318">
        <f t="shared" si="166"/>
        <v>3655.9375</v>
      </c>
      <c r="BM90" s="320">
        <v>24937.5</v>
      </c>
      <c r="BN90" s="320">
        <v>4310</v>
      </c>
      <c r="BO90" s="320"/>
      <c r="BP90" s="320"/>
      <c r="BQ90" s="320"/>
      <c r="BR90" s="320">
        <v>20062.5</v>
      </c>
      <c r="BS90" s="321">
        <f t="shared" si="167"/>
        <v>20062.5</v>
      </c>
      <c r="BT90" s="207">
        <v>8</v>
      </c>
      <c r="BU90" s="318">
        <v>32016</v>
      </c>
      <c r="BV90" s="318">
        <f t="shared" si="168"/>
        <v>4002</v>
      </c>
      <c r="BW90" s="208">
        <v>26739.5</v>
      </c>
      <c r="BX90" s="208">
        <v>5276.31</v>
      </c>
      <c r="BY90" s="208"/>
      <c r="BZ90" s="208"/>
      <c r="CA90" s="208"/>
      <c r="CB90" s="208">
        <v>13969.5</v>
      </c>
      <c r="CC90" s="367">
        <f t="shared" si="169"/>
        <v>13969.5</v>
      </c>
    </row>
    <row r="91" spans="1:81" s="316" customFormat="1" ht="15.95" customHeight="1">
      <c r="A91" s="325" t="s">
        <v>189</v>
      </c>
      <c r="B91" s="317">
        <v>16</v>
      </c>
      <c r="C91" s="318">
        <f t="shared" si="147"/>
        <v>67551.850000000006</v>
      </c>
      <c r="D91" s="318">
        <f t="shared" si="148"/>
        <v>4221.9906250000004</v>
      </c>
      <c r="E91" s="320"/>
      <c r="F91" s="320">
        <v>67551.850000000006</v>
      </c>
      <c r="G91" s="320"/>
      <c r="H91" s="320"/>
      <c r="I91" s="320"/>
      <c r="J91" s="320">
        <v>60545</v>
      </c>
      <c r="K91" s="321">
        <f t="shared" si="149"/>
        <v>0</v>
      </c>
      <c r="L91" s="317">
        <v>24</v>
      </c>
      <c r="M91" s="318">
        <f t="shared" si="150"/>
        <v>88606.95</v>
      </c>
      <c r="N91" s="318">
        <f t="shared" si="151"/>
        <v>3691.9562499999997</v>
      </c>
      <c r="O91" s="331"/>
      <c r="P91" s="331">
        <v>88606.95</v>
      </c>
      <c r="Q91" s="331"/>
      <c r="R91" s="331"/>
      <c r="S91" s="331"/>
      <c r="T91" s="331">
        <v>65049.25</v>
      </c>
      <c r="U91" s="321">
        <f t="shared" si="152"/>
        <v>0</v>
      </c>
      <c r="V91" s="317">
        <v>27</v>
      </c>
      <c r="W91" s="318">
        <f t="shared" si="153"/>
        <v>102939</v>
      </c>
      <c r="X91" s="318">
        <f t="shared" si="154"/>
        <v>3812.5555555555557</v>
      </c>
      <c r="Y91" s="320"/>
      <c r="Z91" s="320">
        <v>102939</v>
      </c>
      <c r="AA91" s="320"/>
      <c r="AB91" s="320"/>
      <c r="AC91" s="320"/>
      <c r="AD91" s="320">
        <v>97899</v>
      </c>
      <c r="AE91" s="321">
        <f t="shared" si="155"/>
        <v>0</v>
      </c>
      <c r="AF91" s="317">
        <v>28</v>
      </c>
      <c r="AG91" s="318">
        <f t="shared" si="156"/>
        <v>110053.85</v>
      </c>
      <c r="AH91" s="318">
        <f t="shared" si="157"/>
        <v>3930.4946428571429</v>
      </c>
      <c r="AI91" s="320"/>
      <c r="AJ91" s="320">
        <v>110053.85</v>
      </c>
      <c r="AK91" s="320"/>
      <c r="AL91" s="320"/>
      <c r="AM91" s="320"/>
      <c r="AN91" s="320">
        <v>102919.35</v>
      </c>
      <c r="AO91" s="321">
        <f t="shared" si="158"/>
        <v>0</v>
      </c>
      <c r="AP91" s="317">
        <v>33</v>
      </c>
      <c r="AQ91" s="318">
        <f t="shared" si="159"/>
        <v>76614.399999999994</v>
      </c>
      <c r="AR91" s="318">
        <f t="shared" si="160"/>
        <v>2321.6484848484847</v>
      </c>
      <c r="AS91" s="320"/>
      <c r="AT91" s="320">
        <v>76614.399999999994</v>
      </c>
      <c r="AU91" s="320"/>
      <c r="AV91" s="320"/>
      <c r="AW91" s="320"/>
      <c r="AX91" s="320">
        <v>65659.399999999994</v>
      </c>
      <c r="AY91" s="321">
        <f t="shared" si="161"/>
        <v>0</v>
      </c>
      <c r="AZ91" s="317">
        <v>13</v>
      </c>
      <c r="BA91" s="318">
        <f t="shared" si="170"/>
        <v>29691</v>
      </c>
      <c r="BB91" s="318">
        <f t="shared" si="163"/>
        <v>2283.9230769230771</v>
      </c>
      <c r="BC91" s="320"/>
      <c r="BD91" s="320">
        <v>29691</v>
      </c>
      <c r="BE91" s="320"/>
      <c r="BF91" s="320"/>
      <c r="BG91" s="320"/>
      <c r="BH91" s="320">
        <v>25891</v>
      </c>
      <c r="BI91" s="321">
        <f t="shared" si="164"/>
        <v>0</v>
      </c>
      <c r="BJ91" s="323">
        <v>28</v>
      </c>
      <c r="BK91" s="318">
        <f t="shared" si="165"/>
        <v>107228.5</v>
      </c>
      <c r="BL91" s="318">
        <f t="shared" si="166"/>
        <v>3829.5892857142858</v>
      </c>
      <c r="BM91" s="320"/>
      <c r="BN91" s="320">
        <v>107228.5</v>
      </c>
      <c r="BO91" s="320"/>
      <c r="BP91" s="320"/>
      <c r="BQ91" s="320"/>
      <c r="BR91" s="320">
        <v>90125</v>
      </c>
      <c r="BS91" s="321">
        <f t="shared" si="167"/>
        <v>0</v>
      </c>
      <c r="BT91" s="207">
        <v>30</v>
      </c>
      <c r="BU91" s="318">
        <v>139767</v>
      </c>
      <c r="BV91" s="318">
        <f t="shared" si="168"/>
        <v>4658.8999999999996</v>
      </c>
      <c r="BW91" s="208"/>
      <c r="BX91" s="208">
        <v>139767</v>
      </c>
      <c r="BY91" s="208"/>
      <c r="BZ91" s="208"/>
      <c r="CA91" s="208"/>
      <c r="CB91" s="208">
        <v>110047</v>
      </c>
      <c r="CC91" s="367">
        <f t="shared" si="169"/>
        <v>0</v>
      </c>
    </row>
    <row r="92" spans="1:81" s="316" customFormat="1" ht="15.95" customHeight="1">
      <c r="A92" s="325" t="s">
        <v>190</v>
      </c>
      <c r="B92" s="317">
        <v>0</v>
      </c>
      <c r="C92" s="318">
        <f t="shared" si="147"/>
        <v>0</v>
      </c>
      <c r="D92" s="318">
        <f t="shared" si="148"/>
        <v>0</v>
      </c>
      <c r="E92" s="320">
        <v>0</v>
      </c>
      <c r="F92" s="320"/>
      <c r="G92" s="320"/>
      <c r="H92" s="320"/>
      <c r="I92" s="320"/>
      <c r="J92" s="320">
        <v>0</v>
      </c>
      <c r="K92" s="321">
        <f t="shared" si="149"/>
        <v>0</v>
      </c>
      <c r="L92" s="317">
        <v>0</v>
      </c>
      <c r="M92" s="318">
        <f t="shared" si="150"/>
        <v>0</v>
      </c>
      <c r="N92" s="318">
        <f t="shared" si="151"/>
        <v>0</v>
      </c>
      <c r="O92" s="331"/>
      <c r="P92" s="331"/>
      <c r="Q92" s="331"/>
      <c r="R92" s="331"/>
      <c r="S92" s="331"/>
      <c r="T92" s="331">
        <v>0</v>
      </c>
      <c r="U92" s="321">
        <f t="shared" si="152"/>
        <v>0</v>
      </c>
      <c r="V92" s="317">
        <v>0</v>
      </c>
      <c r="W92" s="318">
        <f t="shared" si="153"/>
        <v>0</v>
      </c>
      <c r="X92" s="318">
        <f t="shared" si="154"/>
        <v>0</v>
      </c>
      <c r="Y92" s="320"/>
      <c r="Z92" s="320"/>
      <c r="AA92" s="320"/>
      <c r="AB92" s="320"/>
      <c r="AC92" s="320"/>
      <c r="AD92" s="320">
        <v>0</v>
      </c>
      <c r="AE92" s="321">
        <f t="shared" si="155"/>
        <v>0</v>
      </c>
      <c r="AF92" s="317">
        <v>0</v>
      </c>
      <c r="AG92" s="318">
        <f t="shared" si="156"/>
        <v>0</v>
      </c>
      <c r="AH92" s="318">
        <f t="shared" si="157"/>
        <v>0</v>
      </c>
      <c r="AI92" s="320"/>
      <c r="AJ92" s="320">
        <v>0</v>
      </c>
      <c r="AK92" s="320"/>
      <c r="AL92" s="320"/>
      <c r="AM92" s="320"/>
      <c r="AN92" s="320">
        <v>0</v>
      </c>
      <c r="AO92" s="321">
        <f t="shared" si="158"/>
        <v>0</v>
      </c>
      <c r="AP92" s="317">
        <v>0</v>
      </c>
      <c r="AQ92" s="318">
        <f t="shared" si="159"/>
        <v>0</v>
      </c>
      <c r="AR92" s="318">
        <f t="shared" si="160"/>
        <v>0</v>
      </c>
      <c r="AS92" s="320">
        <v>0</v>
      </c>
      <c r="AT92" s="320"/>
      <c r="AU92" s="320"/>
      <c r="AV92" s="320"/>
      <c r="AW92" s="320"/>
      <c r="AX92" s="320">
        <v>0</v>
      </c>
      <c r="AY92" s="321">
        <f t="shared" si="161"/>
        <v>0</v>
      </c>
      <c r="AZ92" s="317">
        <v>0</v>
      </c>
      <c r="BA92" s="318">
        <f t="shared" si="170"/>
        <v>0</v>
      </c>
      <c r="BB92" s="318">
        <f t="shared" si="163"/>
        <v>0</v>
      </c>
      <c r="BC92" s="320"/>
      <c r="BD92" s="320"/>
      <c r="BE92" s="320"/>
      <c r="BF92" s="320"/>
      <c r="BG92" s="320"/>
      <c r="BH92" s="320"/>
      <c r="BI92" s="321">
        <f t="shared" si="164"/>
        <v>0</v>
      </c>
      <c r="BJ92" s="323">
        <v>0</v>
      </c>
      <c r="BK92" s="318">
        <f t="shared" si="165"/>
        <v>0</v>
      </c>
      <c r="BL92" s="318">
        <f t="shared" si="166"/>
        <v>0</v>
      </c>
      <c r="BM92" s="320">
        <v>0</v>
      </c>
      <c r="BN92" s="320"/>
      <c r="BO92" s="320"/>
      <c r="BP92" s="320"/>
      <c r="BQ92" s="320"/>
      <c r="BR92" s="320">
        <v>0</v>
      </c>
      <c r="BS92" s="321">
        <f t="shared" si="167"/>
        <v>0</v>
      </c>
      <c r="BT92" s="207">
        <v>0</v>
      </c>
      <c r="BU92" s="318">
        <v>0</v>
      </c>
      <c r="BV92" s="318">
        <f t="shared" si="168"/>
        <v>0</v>
      </c>
      <c r="BW92" s="208">
        <v>0</v>
      </c>
      <c r="BX92" s="208"/>
      <c r="BY92" s="208"/>
      <c r="BZ92" s="208"/>
      <c r="CA92" s="208"/>
      <c r="CB92" s="208">
        <v>0</v>
      </c>
      <c r="CC92" s="367">
        <f t="shared" si="169"/>
        <v>0</v>
      </c>
    </row>
    <row r="93" spans="1:81" s="316" customFormat="1" ht="15.95" customHeight="1">
      <c r="A93" s="325" t="s">
        <v>191</v>
      </c>
      <c r="B93" s="317">
        <v>2</v>
      </c>
      <c r="C93" s="318">
        <f t="shared" si="147"/>
        <v>2537</v>
      </c>
      <c r="D93" s="318">
        <f t="shared" si="148"/>
        <v>1268.5</v>
      </c>
      <c r="E93" s="320"/>
      <c r="F93" s="320">
        <v>2537</v>
      </c>
      <c r="G93" s="320"/>
      <c r="H93" s="320"/>
      <c r="I93" s="320"/>
      <c r="J93" s="320">
        <v>2537</v>
      </c>
      <c r="K93" s="321">
        <f t="shared" si="149"/>
        <v>0</v>
      </c>
      <c r="L93" s="317">
        <v>3</v>
      </c>
      <c r="M93" s="318">
        <f t="shared" si="150"/>
        <v>3780</v>
      </c>
      <c r="N93" s="318">
        <f t="shared" si="151"/>
        <v>1260</v>
      </c>
      <c r="O93" s="331"/>
      <c r="P93" s="331">
        <v>3780</v>
      </c>
      <c r="Q93" s="331"/>
      <c r="R93" s="331"/>
      <c r="S93" s="331"/>
      <c r="T93" s="331">
        <v>3780</v>
      </c>
      <c r="U93" s="321">
        <f t="shared" si="152"/>
        <v>0</v>
      </c>
      <c r="V93" s="317">
        <v>3</v>
      </c>
      <c r="W93" s="318">
        <f t="shared" si="153"/>
        <v>4471</v>
      </c>
      <c r="X93" s="318">
        <f t="shared" si="154"/>
        <v>1490.3333333333333</v>
      </c>
      <c r="Y93" s="320"/>
      <c r="Z93" s="320">
        <v>4471</v>
      </c>
      <c r="AA93" s="320"/>
      <c r="AB93" s="320"/>
      <c r="AC93" s="320"/>
      <c r="AD93" s="320">
        <v>2491</v>
      </c>
      <c r="AE93" s="321">
        <f t="shared" si="155"/>
        <v>0</v>
      </c>
      <c r="AF93" s="317">
        <v>3</v>
      </c>
      <c r="AG93" s="318">
        <f>SUM(AJ93:AM93)</f>
        <v>3408</v>
      </c>
      <c r="AH93" s="318">
        <f t="shared" si="157"/>
        <v>1136</v>
      </c>
      <c r="AJ93" s="320">
        <v>3408</v>
      </c>
      <c r="AK93" s="320"/>
      <c r="AL93" s="320"/>
      <c r="AM93" s="320"/>
      <c r="AN93" s="320">
        <v>3408</v>
      </c>
      <c r="AO93" s="321">
        <f t="shared" si="158"/>
        <v>0</v>
      </c>
      <c r="AP93" s="317">
        <v>5</v>
      </c>
      <c r="AQ93" s="318">
        <f>SUM(AT93:AW93)</f>
        <v>3465</v>
      </c>
      <c r="AR93" s="318">
        <f t="shared" si="160"/>
        <v>693</v>
      </c>
      <c r="AT93" s="320">
        <v>3465</v>
      </c>
      <c r="AU93" s="320"/>
      <c r="AV93" s="320"/>
      <c r="AW93" s="320"/>
      <c r="AX93" s="320">
        <v>3465</v>
      </c>
      <c r="AY93" s="321">
        <f t="shared" si="161"/>
        <v>0</v>
      </c>
      <c r="AZ93" s="317">
        <v>4</v>
      </c>
      <c r="BA93" s="318">
        <f>SUM(BD93:BG93)</f>
        <v>4383.75</v>
      </c>
      <c r="BB93" s="318">
        <f t="shared" si="163"/>
        <v>1095.9375</v>
      </c>
      <c r="BD93" s="320">
        <v>4383.75</v>
      </c>
      <c r="BE93" s="320"/>
      <c r="BF93" s="320"/>
      <c r="BG93" s="320"/>
      <c r="BH93" s="320">
        <v>4383.75</v>
      </c>
      <c r="BI93" s="321">
        <f>IF(BH93=0,0,(IF(BD93&lt;=BH93,BD93,BH93)))</f>
        <v>4383.75</v>
      </c>
      <c r="BJ93" s="323">
        <v>3</v>
      </c>
      <c r="BK93" s="318">
        <f>SUM(BN93:BQ93)</f>
        <v>3202.5</v>
      </c>
      <c r="BL93" s="318">
        <f t="shared" si="166"/>
        <v>1067.5</v>
      </c>
      <c r="BN93" s="320">
        <v>3202.5</v>
      </c>
      <c r="BO93" s="320"/>
      <c r="BP93" s="320"/>
      <c r="BQ93" s="320"/>
      <c r="BR93" s="320">
        <v>3202.5</v>
      </c>
      <c r="BS93" s="321">
        <f>IF(BR93=0,0,(IF(BN93&lt;=BR93,BN93,BR93)))</f>
        <v>3202.5</v>
      </c>
      <c r="BT93" s="207">
        <v>3</v>
      </c>
      <c r="BU93" s="318">
        <v>4449</v>
      </c>
      <c r="BV93" s="318">
        <f t="shared" si="168"/>
        <v>1483</v>
      </c>
      <c r="BX93" s="208">
        <v>4449.34</v>
      </c>
      <c r="BY93" s="208"/>
      <c r="BZ93" s="208"/>
      <c r="CA93" s="208"/>
      <c r="CB93" s="208">
        <v>3510</v>
      </c>
      <c r="CC93" s="367">
        <f>IF(CB93=0,0,(IF(BX93&lt;=CB93,BX93,CB93)))</f>
        <v>3510</v>
      </c>
    </row>
    <row r="94" spans="1:81" s="316" customFormat="1" ht="15.95" customHeight="1">
      <c r="A94" s="325" t="s">
        <v>192</v>
      </c>
      <c r="B94" s="317">
        <v>13</v>
      </c>
      <c r="C94" s="318">
        <f t="shared" si="147"/>
        <v>125182.5</v>
      </c>
      <c r="D94" s="318">
        <f t="shared" si="148"/>
        <v>9629.4230769230762</v>
      </c>
      <c r="E94" s="320">
        <v>45158</v>
      </c>
      <c r="F94" s="320">
        <v>63624.5</v>
      </c>
      <c r="G94" s="320"/>
      <c r="H94" s="320"/>
      <c r="I94" s="320">
        <v>16400</v>
      </c>
      <c r="J94" s="320">
        <v>14226.5</v>
      </c>
      <c r="K94" s="321">
        <f t="shared" si="149"/>
        <v>14226.5</v>
      </c>
      <c r="L94" s="317">
        <v>14</v>
      </c>
      <c r="M94" s="318">
        <f t="shared" si="150"/>
        <v>153180.19</v>
      </c>
      <c r="N94" s="318">
        <f t="shared" si="151"/>
        <v>10941.442142857142</v>
      </c>
      <c r="O94" s="331">
        <v>53782</v>
      </c>
      <c r="P94" s="331">
        <v>77798.19</v>
      </c>
      <c r="Q94" s="331"/>
      <c r="R94" s="331"/>
      <c r="S94" s="331">
        <v>21600</v>
      </c>
      <c r="T94" s="331">
        <v>17999.150000000001</v>
      </c>
      <c r="U94" s="321">
        <f t="shared" si="152"/>
        <v>17999.150000000001</v>
      </c>
      <c r="V94" s="317">
        <v>13</v>
      </c>
      <c r="W94" s="318">
        <f t="shared" si="153"/>
        <v>152229</v>
      </c>
      <c r="X94" s="318">
        <f t="shared" si="154"/>
        <v>11709.923076923076</v>
      </c>
      <c r="Y94" s="320">
        <v>51420</v>
      </c>
      <c r="Z94" s="320">
        <v>86034</v>
      </c>
      <c r="AA94" s="320"/>
      <c r="AB94" s="320"/>
      <c r="AC94" s="320">
        <v>14775</v>
      </c>
      <c r="AD94" s="320">
        <v>27341</v>
      </c>
      <c r="AE94" s="321">
        <f t="shared" si="155"/>
        <v>27341</v>
      </c>
      <c r="AF94" s="317">
        <v>14</v>
      </c>
      <c r="AG94" s="318">
        <f t="shared" si="156"/>
        <v>120458.62</v>
      </c>
      <c r="AH94" s="318">
        <f t="shared" si="157"/>
        <v>8604.187142857143</v>
      </c>
      <c r="AI94" s="320">
        <f>47168.5+2571</f>
        <v>49739.5</v>
      </c>
      <c r="AJ94" s="320">
        <v>70719.12</v>
      </c>
      <c r="AK94" s="320"/>
      <c r="AL94" s="320"/>
      <c r="AM94" s="320"/>
      <c r="AN94" s="320">
        <f>34103.58+1251</f>
        <v>35354.58</v>
      </c>
      <c r="AO94" s="321">
        <f t="shared" si="158"/>
        <v>35354.58</v>
      </c>
      <c r="AP94" s="317">
        <v>13</v>
      </c>
      <c r="AQ94" s="318">
        <f t="shared" ref="AQ94:AQ96" si="171">SUM(AS94:AW94)</f>
        <v>101966.29000000001</v>
      </c>
      <c r="AR94" s="318">
        <f t="shared" si="160"/>
        <v>7843.5607692307694</v>
      </c>
      <c r="AS94" s="320">
        <v>46947.5</v>
      </c>
      <c r="AT94" s="320">
        <v>55018.79</v>
      </c>
      <c r="AU94" s="320"/>
      <c r="AV94" s="320"/>
      <c r="AW94" s="320"/>
      <c r="AX94" s="320">
        <v>50632.73</v>
      </c>
      <c r="AY94" s="321">
        <f t="shared" si="161"/>
        <v>46947.5</v>
      </c>
      <c r="AZ94" s="317">
        <v>10</v>
      </c>
      <c r="BA94" s="318">
        <f t="shared" ref="BA94:BA96" si="172">SUM(BC94:BG94)</f>
        <v>85153.64</v>
      </c>
      <c r="BB94" s="318">
        <f t="shared" si="163"/>
        <v>8515.3639999999996</v>
      </c>
      <c r="BC94" s="320">
        <v>36687</v>
      </c>
      <c r="BD94" s="320">
        <v>48466.64</v>
      </c>
      <c r="BE94" s="320"/>
      <c r="BF94" s="320"/>
      <c r="BG94" s="320"/>
      <c r="BH94" s="320">
        <v>52044.15</v>
      </c>
      <c r="BI94" s="321">
        <f t="shared" si="164"/>
        <v>36687</v>
      </c>
      <c r="BJ94" s="323">
        <v>12</v>
      </c>
      <c r="BK94" s="318">
        <f t="shared" si="165"/>
        <v>56105.3</v>
      </c>
      <c r="BL94" s="318">
        <f t="shared" si="166"/>
        <v>4675.4416666666666</v>
      </c>
      <c r="BM94" s="320">
        <v>37016.75</v>
      </c>
      <c r="BN94" s="320">
        <v>19088.55</v>
      </c>
      <c r="BO94" s="320"/>
      <c r="BP94" s="320"/>
      <c r="BQ94" s="320"/>
      <c r="BR94" s="320">
        <v>34439.67</v>
      </c>
      <c r="BS94" s="321">
        <f t="shared" si="167"/>
        <v>34439.67</v>
      </c>
      <c r="BT94" s="207">
        <v>13</v>
      </c>
      <c r="BU94" s="318">
        <v>65127</v>
      </c>
      <c r="BV94" s="318">
        <f t="shared" si="168"/>
        <v>5009.7692307692305</v>
      </c>
      <c r="BW94" s="208">
        <v>45725</v>
      </c>
      <c r="BX94" s="208">
        <v>19401.63</v>
      </c>
      <c r="BY94" s="208"/>
      <c r="BZ94" s="208"/>
      <c r="CA94" s="208"/>
      <c r="CB94" s="208">
        <v>22209.02</v>
      </c>
      <c r="CC94" s="367">
        <f t="shared" si="169"/>
        <v>22209.02</v>
      </c>
    </row>
    <row r="95" spans="1:81" s="316" customFormat="1" ht="15.95" customHeight="1">
      <c r="A95" s="325" t="s">
        <v>193</v>
      </c>
      <c r="B95" s="317">
        <v>15</v>
      </c>
      <c r="C95" s="318">
        <f t="shared" si="147"/>
        <v>39514</v>
      </c>
      <c r="D95" s="318">
        <f t="shared" si="148"/>
        <v>2634.2666666666669</v>
      </c>
      <c r="E95" s="320">
        <v>34559.5</v>
      </c>
      <c r="F95" s="320">
        <v>4954.5</v>
      </c>
      <c r="G95" s="320"/>
      <c r="H95" s="320"/>
      <c r="I95" s="320"/>
      <c r="J95" s="320">
        <v>39514</v>
      </c>
      <c r="K95" s="321">
        <f t="shared" si="149"/>
        <v>34559.5</v>
      </c>
      <c r="L95" s="317">
        <v>16</v>
      </c>
      <c r="M95" s="318">
        <f t="shared" si="150"/>
        <v>39767.58</v>
      </c>
      <c r="N95" s="318">
        <f t="shared" si="151"/>
        <v>2485.4737500000001</v>
      </c>
      <c r="O95" s="331">
        <v>34426.44</v>
      </c>
      <c r="P95" s="331">
        <v>5341.1399999999994</v>
      </c>
      <c r="Q95" s="331"/>
      <c r="R95" s="331"/>
      <c r="S95" s="331"/>
      <c r="T95" s="331">
        <v>39767.58</v>
      </c>
      <c r="U95" s="321">
        <f t="shared" si="152"/>
        <v>34426.44</v>
      </c>
      <c r="V95" s="317">
        <v>12</v>
      </c>
      <c r="W95" s="318">
        <f t="shared" si="153"/>
        <v>33408</v>
      </c>
      <c r="X95" s="318">
        <f t="shared" si="154"/>
        <v>2784</v>
      </c>
      <c r="Y95" s="320">
        <v>28270</v>
      </c>
      <c r="Z95" s="320">
        <v>5138</v>
      </c>
      <c r="AA95" s="320"/>
      <c r="AB95" s="320"/>
      <c r="AC95" s="320"/>
      <c r="AD95" s="320">
        <v>28408</v>
      </c>
      <c r="AE95" s="321">
        <f t="shared" si="155"/>
        <v>28270</v>
      </c>
      <c r="AF95" s="317">
        <v>13</v>
      </c>
      <c r="AG95" s="318">
        <f t="shared" si="156"/>
        <v>41903.5</v>
      </c>
      <c r="AH95" s="318">
        <f t="shared" si="157"/>
        <v>3223.3461538461538</v>
      </c>
      <c r="AI95" s="320">
        <f>32998.5+2055</f>
        <v>35053.5</v>
      </c>
      <c r="AJ95" s="320">
        <v>6850</v>
      </c>
      <c r="AK95" s="320"/>
      <c r="AL95" s="320"/>
      <c r="AM95" s="320"/>
      <c r="AN95" s="320">
        <f>34750+1857</f>
        <v>36607</v>
      </c>
      <c r="AO95" s="321">
        <f t="shared" si="158"/>
        <v>35053.5</v>
      </c>
      <c r="AP95" s="317">
        <v>15</v>
      </c>
      <c r="AQ95" s="318">
        <f t="shared" si="171"/>
        <v>44482.5</v>
      </c>
      <c r="AR95" s="318">
        <f t="shared" si="160"/>
        <v>2965.5</v>
      </c>
      <c r="AS95" s="320">
        <v>35788.5</v>
      </c>
      <c r="AT95" s="320">
        <v>8694</v>
      </c>
      <c r="AU95" s="320"/>
      <c r="AV95" s="320"/>
      <c r="AW95" s="320"/>
      <c r="AX95" s="320">
        <v>44482.5</v>
      </c>
      <c r="AY95" s="321">
        <f t="shared" si="161"/>
        <v>35788.5</v>
      </c>
      <c r="AZ95" s="317">
        <v>10</v>
      </c>
      <c r="BA95" s="318">
        <f t="shared" si="172"/>
        <v>26116</v>
      </c>
      <c r="BB95" s="318">
        <f t="shared" si="163"/>
        <v>2611.6</v>
      </c>
      <c r="BC95" s="320">
        <v>21546</v>
      </c>
      <c r="BD95" s="320">
        <v>4570</v>
      </c>
      <c r="BE95" s="320"/>
      <c r="BF95" s="320"/>
      <c r="BG95" s="320"/>
      <c r="BH95" s="320">
        <v>24362.5</v>
      </c>
      <c r="BI95" s="321">
        <f t="shared" si="164"/>
        <v>21546</v>
      </c>
      <c r="BJ95" s="323">
        <v>14</v>
      </c>
      <c r="BK95" s="318">
        <f t="shared" si="165"/>
        <v>51745.25</v>
      </c>
      <c r="BL95" s="318">
        <f t="shared" si="166"/>
        <v>3696.0892857142858</v>
      </c>
      <c r="BM95" s="320">
        <v>43249.5</v>
      </c>
      <c r="BN95" s="320">
        <v>8495.75</v>
      </c>
      <c r="BO95" s="320"/>
      <c r="BP95" s="320"/>
      <c r="BQ95" s="320"/>
      <c r="BR95" s="320">
        <v>44898.25</v>
      </c>
      <c r="BS95" s="321">
        <f t="shared" si="167"/>
        <v>43249.5</v>
      </c>
      <c r="BT95" s="207">
        <v>13</v>
      </c>
      <c r="BU95" s="318">
        <v>46001</v>
      </c>
      <c r="BV95" s="318">
        <f t="shared" si="168"/>
        <v>3538.5384615384614</v>
      </c>
      <c r="BW95" s="208">
        <v>37974</v>
      </c>
      <c r="BX95" s="208">
        <v>8026.5</v>
      </c>
      <c r="BY95" s="208"/>
      <c r="BZ95" s="208"/>
      <c r="CA95" s="208"/>
      <c r="CB95" s="208">
        <v>46001</v>
      </c>
      <c r="CC95" s="367">
        <f t="shared" si="169"/>
        <v>37974</v>
      </c>
    </row>
    <row r="96" spans="1:81" s="316" customFormat="1" ht="15.95" customHeight="1">
      <c r="A96" s="325" t="s">
        <v>194</v>
      </c>
      <c r="B96" s="317"/>
      <c r="C96" s="318"/>
      <c r="D96" s="318"/>
      <c r="E96" s="320"/>
      <c r="F96" s="320"/>
      <c r="G96" s="320"/>
      <c r="H96" s="320"/>
      <c r="I96" s="320"/>
      <c r="J96" s="320"/>
      <c r="K96" s="321">
        <f t="shared" si="149"/>
        <v>0</v>
      </c>
      <c r="L96" s="317"/>
      <c r="M96" s="318">
        <f>SUM(O96:S96)</f>
        <v>0</v>
      </c>
      <c r="N96" s="318">
        <f>IFERROR(M96/L96,0)</f>
        <v>0</v>
      </c>
      <c r="O96" s="331"/>
      <c r="P96" s="331"/>
      <c r="Q96" s="331"/>
      <c r="R96" s="331"/>
      <c r="S96" s="331"/>
      <c r="T96" s="331"/>
      <c r="U96" s="321">
        <f t="shared" si="152"/>
        <v>0</v>
      </c>
      <c r="V96" s="317">
        <v>21</v>
      </c>
      <c r="W96" s="318">
        <f t="shared" si="153"/>
        <v>57956</v>
      </c>
      <c r="X96" s="318">
        <f t="shared" si="154"/>
        <v>2759.8095238095239</v>
      </c>
      <c r="Y96" s="320">
        <v>51965.5</v>
      </c>
      <c r="Z96" s="320">
        <v>5990.5</v>
      </c>
      <c r="AA96" s="320"/>
      <c r="AB96" s="320"/>
      <c r="AC96" s="320"/>
      <c r="AD96" s="320">
        <v>24289</v>
      </c>
      <c r="AE96" s="321">
        <f t="shared" si="155"/>
        <v>24289</v>
      </c>
      <c r="AF96" s="317">
        <v>28</v>
      </c>
      <c r="AG96" s="318">
        <f t="shared" si="156"/>
        <v>90706.17</v>
      </c>
      <c r="AH96" s="318">
        <f t="shared" si="157"/>
        <v>3239.5060714285714</v>
      </c>
      <c r="AI96" s="320">
        <f>73177.75+3954+85</f>
        <v>77216.75</v>
      </c>
      <c r="AJ96" s="320">
        <v>13489.42</v>
      </c>
      <c r="AK96" s="320"/>
      <c r="AL96" s="320"/>
      <c r="AM96" s="320"/>
      <c r="AN96" s="320">
        <f>46642+2409+68</f>
        <v>49119</v>
      </c>
      <c r="AO96" s="321">
        <f t="shared" si="158"/>
        <v>49119</v>
      </c>
      <c r="AP96" s="317">
        <v>26</v>
      </c>
      <c r="AQ96" s="318">
        <f t="shared" si="171"/>
        <v>94752</v>
      </c>
      <c r="AR96" s="318">
        <f t="shared" si="160"/>
        <v>3644.3076923076924</v>
      </c>
      <c r="AS96" s="320">
        <v>79255.5</v>
      </c>
      <c r="AT96" s="320">
        <v>15496.5</v>
      </c>
      <c r="AU96" s="320"/>
      <c r="AV96" s="320"/>
      <c r="AW96" s="320"/>
      <c r="AX96" s="320">
        <v>28338</v>
      </c>
      <c r="AY96" s="321">
        <f t="shared" si="161"/>
        <v>28338</v>
      </c>
      <c r="AZ96" s="317">
        <v>23</v>
      </c>
      <c r="BA96" s="318">
        <f t="shared" si="172"/>
        <v>88536.68</v>
      </c>
      <c r="BB96" s="318">
        <f t="shared" si="163"/>
        <v>3849.4208695652169</v>
      </c>
      <c r="BC96" s="320">
        <v>75915</v>
      </c>
      <c r="BD96" s="320">
        <v>12621.68</v>
      </c>
      <c r="BE96" s="320"/>
      <c r="BF96" s="320"/>
      <c r="BG96" s="320"/>
      <c r="BH96" s="320">
        <v>17000</v>
      </c>
      <c r="BI96" s="321">
        <f t="shared" si="164"/>
        <v>17000</v>
      </c>
      <c r="BJ96" s="323">
        <v>27</v>
      </c>
      <c r="BK96" s="318">
        <f t="shared" si="165"/>
        <v>100712.77</v>
      </c>
      <c r="BL96" s="318">
        <f t="shared" si="166"/>
        <v>3730.1025925925928</v>
      </c>
      <c r="BM96" s="320">
        <v>86217.5</v>
      </c>
      <c r="BN96" s="320">
        <v>14495.27</v>
      </c>
      <c r="BO96" s="320"/>
      <c r="BP96" s="320"/>
      <c r="BQ96" s="320"/>
      <c r="BR96" s="320">
        <v>14750</v>
      </c>
      <c r="BS96" s="321">
        <f t="shared" si="167"/>
        <v>14750</v>
      </c>
      <c r="BT96" s="207">
        <v>27</v>
      </c>
      <c r="BU96" s="318">
        <v>105104</v>
      </c>
      <c r="BV96" s="318">
        <f t="shared" si="168"/>
        <v>3892.7407407407409</v>
      </c>
      <c r="BW96" s="208">
        <v>89145.5</v>
      </c>
      <c r="BX96" s="208">
        <v>15958.62</v>
      </c>
      <c r="BY96" s="208"/>
      <c r="BZ96" s="208"/>
      <c r="CA96" s="208"/>
      <c r="CB96" s="208">
        <v>23583</v>
      </c>
      <c r="CC96" s="367">
        <f t="shared" si="169"/>
        <v>23583</v>
      </c>
    </row>
    <row r="97" spans="1:81" s="316" customFormat="1" ht="15.95" customHeight="1">
      <c r="A97" s="325" t="s">
        <v>195</v>
      </c>
      <c r="B97" s="317"/>
      <c r="C97" s="318">
        <f>SUM(E97:I97)</f>
        <v>0</v>
      </c>
      <c r="D97" s="318">
        <f>IFERROR(C97/B97,0)</f>
        <v>0</v>
      </c>
      <c r="E97" s="320"/>
      <c r="F97" s="320"/>
      <c r="G97" s="320"/>
      <c r="H97" s="320"/>
      <c r="I97" s="320"/>
      <c r="J97" s="320"/>
      <c r="K97" s="321">
        <f t="shared" si="149"/>
        <v>0</v>
      </c>
      <c r="L97" s="317"/>
      <c r="M97" s="318">
        <f>SUM(O97:S97)</f>
        <v>0</v>
      </c>
      <c r="N97" s="318">
        <f>IFERROR(M97/L97,0)</f>
        <v>0</v>
      </c>
      <c r="O97" s="320"/>
      <c r="P97" s="320"/>
      <c r="Q97" s="320"/>
      <c r="R97" s="320"/>
      <c r="S97" s="320"/>
      <c r="T97" s="320"/>
      <c r="U97" s="321">
        <f t="shared" si="152"/>
        <v>0</v>
      </c>
      <c r="V97" s="317"/>
      <c r="W97" s="318">
        <f>SUM(Y97:AC97)</f>
        <v>0</v>
      </c>
      <c r="X97" s="318">
        <f>IFERROR(W97/V97,0)</f>
        <v>0</v>
      </c>
      <c r="Y97" s="320"/>
      <c r="Z97" s="320"/>
      <c r="AA97" s="320"/>
      <c r="AB97" s="320"/>
      <c r="AC97" s="320"/>
      <c r="AD97" s="320"/>
      <c r="AE97" s="321">
        <f t="shared" si="155"/>
        <v>0</v>
      </c>
      <c r="AF97" s="317">
        <v>6</v>
      </c>
      <c r="AG97" s="318">
        <f>SUM(AI97:AM97)</f>
        <v>5748</v>
      </c>
      <c r="AH97" s="318">
        <f>IFERROR(AG97/AF97,0)</f>
        <v>958</v>
      </c>
      <c r="AI97" s="320">
        <v>5748</v>
      </c>
      <c r="AJ97" s="320"/>
      <c r="AK97" s="320"/>
      <c r="AL97" s="320"/>
      <c r="AM97" s="320"/>
      <c r="AN97" s="320">
        <v>4748</v>
      </c>
      <c r="AO97" s="321">
        <f t="shared" si="158"/>
        <v>4748</v>
      </c>
      <c r="AP97" s="317">
        <v>6</v>
      </c>
      <c r="AQ97" s="318">
        <f>SUM(AS97:AW97)</f>
        <v>6000</v>
      </c>
      <c r="AR97" s="318">
        <f>IFERROR(AQ97/AP97,0)</f>
        <v>1000</v>
      </c>
      <c r="AS97" s="320">
        <v>6000</v>
      </c>
      <c r="AT97" s="320"/>
      <c r="AU97" s="320"/>
      <c r="AV97" s="320"/>
      <c r="AW97" s="320"/>
      <c r="AX97" s="320">
        <v>6000</v>
      </c>
      <c r="AY97" s="321">
        <f t="shared" si="161"/>
        <v>6000</v>
      </c>
      <c r="AZ97" s="317">
        <v>0</v>
      </c>
      <c r="BA97" s="318">
        <f>SUM(BC97:BG97)</f>
        <v>0</v>
      </c>
      <c r="BB97" s="318">
        <f>IFERROR(BA97/AZ97,0)</f>
        <v>0</v>
      </c>
      <c r="BC97" s="320">
        <v>0</v>
      </c>
      <c r="BD97" s="320"/>
      <c r="BE97" s="320"/>
      <c r="BF97" s="320"/>
      <c r="BG97" s="320"/>
      <c r="BH97" s="320">
        <v>0</v>
      </c>
      <c r="BI97" s="321">
        <f t="shared" si="164"/>
        <v>0</v>
      </c>
      <c r="BJ97" s="323">
        <v>0</v>
      </c>
      <c r="BK97" s="318">
        <f t="shared" si="165"/>
        <v>0</v>
      </c>
      <c r="BL97" s="318">
        <f t="shared" si="166"/>
        <v>0</v>
      </c>
      <c r="BM97" s="320">
        <v>0</v>
      </c>
      <c r="BN97" s="320"/>
      <c r="BO97" s="320"/>
      <c r="BP97" s="320"/>
      <c r="BQ97" s="320"/>
      <c r="BR97" s="320">
        <v>0</v>
      </c>
      <c r="BS97" s="321">
        <f t="shared" si="167"/>
        <v>0</v>
      </c>
      <c r="BT97" s="207">
        <v>0</v>
      </c>
      <c r="BU97" s="318">
        <v>0</v>
      </c>
      <c r="BV97" s="318">
        <f t="shared" si="168"/>
        <v>0</v>
      </c>
      <c r="BW97" s="208">
        <v>0</v>
      </c>
      <c r="BX97" s="208"/>
      <c r="BY97" s="208"/>
      <c r="BZ97" s="208"/>
      <c r="CA97" s="208"/>
      <c r="CB97" s="208">
        <v>0</v>
      </c>
      <c r="CC97" s="367">
        <f t="shared" si="169"/>
        <v>0</v>
      </c>
    </row>
    <row r="98" spans="1:81" s="316" customFormat="1" ht="15.95" customHeight="1">
      <c r="A98" s="325" t="s">
        <v>196</v>
      </c>
      <c r="B98" s="317"/>
      <c r="C98" s="318">
        <f>SUM(E98:I98)</f>
        <v>0</v>
      </c>
      <c r="D98" s="318">
        <f>IFERROR(C98/B98,0)</f>
        <v>0</v>
      </c>
      <c r="E98" s="320"/>
      <c r="F98" s="320"/>
      <c r="G98" s="320"/>
      <c r="H98" s="320"/>
      <c r="I98" s="320"/>
      <c r="J98" s="320"/>
      <c r="K98" s="321">
        <f t="shared" si="149"/>
        <v>0</v>
      </c>
      <c r="L98" s="317"/>
      <c r="M98" s="318">
        <f>SUM(O98:S98)</f>
        <v>0</v>
      </c>
      <c r="N98" s="318">
        <f>IFERROR(M98/L98,0)</f>
        <v>0</v>
      </c>
      <c r="O98" s="320"/>
      <c r="P98" s="320"/>
      <c r="Q98" s="320"/>
      <c r="R98" s="320"/>
      <c r="S98" s="320"/>
      <c r="T98" s="320"/>
      <c r="U98" s="321">
        <f t="shared" si="152"/>
        <v>0</v>
      </c>
      <c r="V98" s="317"/>
      <c r="W98" s="318">
        <f>SUM(Y98:AC98)</f>
        <v>0</v>
      </c>
      <c r="X98" s="318">
        <f>IFERROR(W98/V98,0)</f>
        <v>0</v>
      </c>
      <c r="Y98" s="320"/>
      <c r="Z98" s="320"/>
      <c r="AA98" s="320"/>
      <c r="AB98" s="320"/>
      <c r="AC98" s="320"/>
      <c r="AD98" s="320"/>
      <c r="AE98" s="321">
        <f t="shared" si="155"/>
        <v>0</v>
      </c>
      <c r="AF98" s="317"/>
      <c r="AG98" s="318">
        <f>SUM(AI98:AM98)</f>
        <v>0</v>
      </c>
      <c r="AH98" s="318">
        <f>IFERROR(AG98/AF98,0)</f>
        <v>0</v>
      </c>
      <c r="AI98" s="320"/>
      <c r="AJ98" s="320"/>
      <c r="AK98" s="320"/>
      <c r="AL98" s="320"/>
      <c r="AM98" s="320"/>
      <c r="AN98" s="320"/>
      <c r="AO98" s="321">
        <f t="shared" si="158"/>
        <v>0</v>
      </c>
      <c r="AP98" s="317">
        <v>11</v>
      </c>
      <c r="AQ98" s="318">
        <f>SUM(AS98:AW98)</f>
        <v>11877.76</v>
      </c>
      <c r="AR98" s="318">
        <f>IFERROR(AQ98/AP98,0)</f>
        <v>1079.7963636363636</v>
      </c>
      <c r="AS98" s="320">
        <v>11877.76</v>
      </c>
      <c r="AT98" s="320"/>
      <c r="AU98" s="320"/>
      <c r="AV98" s="320"/>
      <c r="AW98" s="320"/>
      <c r="AX98" s="320">
        <v>10939.51</v>
      </c>
      <c r="AY98" s="321">
        <f t="shared" si="161"/>
        <v>10939.51</v>
      </c>
      <c r="AZ98" s="317">
        <v>2</v>
      </c>
      <c r="BA98" s="318">
        <f>SUM(BC98:BG98)</f>
        <v>1771.88</v>
      </c>
      <c r="BB98" s="318">
        <f>IFERROR(BA98/AZ98,0)</f>
        <v>885.94</v>
      </c>
      <c r="BC98" s="320">
        <v>1771.88</v>
      </c>
      <c r="BD98" s="320"/>
      <c r="BE98" s="320"/>
      <c r="BF98" s="320"/>
      <c r="BG98" s="320"/>
      <c r="BH98" s="320">
        <v>1771.88</v>
      </c>
      <c r="BI98" s="321">
        <f t="shared" si="164"/>
        <v>1771.88</v>
      </c>
      <c r="BJ98" s="323">
        <v>0</v>
      </c>
      <c r="BK98" s="318">
        <f t="shared" si="165"/>
        <v>0</v>
      </c>
      <c r="BL98" s="318">
        <f t="shared" si="166"/>
        <v>0</v>
      </c>
      <c r="BM98" s="320">
        <v>0</v>
      </c>
      <c r="BN98" s="320"/>
      <c r="BO98" s="320"/>
      <c r="BP98" s="320"/>
      <c r="BQ98" s="320"/>
      <c r="BR98" s="320">
        <v>0</v>
      </c>
      <c r="BS98" s="321">
        <f t="shared" si="167"/>
        <v>0</v>
      </c>
      <c r="BT98" s="207">
        <v>0</v>
      </c>
      <c r="BU98" s="318">
        <f t="shared" ref="BU98:BU107" si="173">SUM(BW98:CA98)</f>
        <v>0</v>
      </c>
      <c r="BV98" s="318">
        <f t="shared" si="168"/>
        <v>0</v>
      </c>
      <c r="BW98" s="208">
        <v>0</v>
      </c>
      <c r="BX98" s="208"/>
      <c r="BY98" s="208"/>
      <c r="BZ98" s="208"/>
      <c r="CA98" s="208"/>
      <c r="CB98" s="208">
        <v>0</v>
      </c>
      <c r="CC98" s="367">
        <f t="shared" si="169"/>
        <v>0</v>
      </c>
    </row>
    <row r="99" spans="1:81" s="316" customFormat="1" ht="15.95" customHeight="1">
      <c r="A99" s="325" t="s">
        <v>197</v>
      </c>
      <c r="B99" s="317"/>
      <c r="C99" s="318">
        <f t="shared" ref="C99:C107" si="174">SUM(E99:I99)</f>
        <v>0</v>
      </c>
      <c r="D99" s="318">
        <f t="shared" ref="D99:D107" si="175">IFERROR(C99/B99,0)</f>
        <v>0</v>
      </c>
      <c r="E99" s="320"/>
      <c r="F99" s="320"/>
      <c r="G99" s="320"/>
      <c r="H99" s="320"/>
      <c r="I99" s="320"/>
      <c r="J99" s="320"/>
      <c r="K99" s="321">
        <f t="shared" si="149"/>
        <v>0</v>
      </c>
      <c r="L99" s="317"/>
      <c r="M99" s="318">
        <f>SUM(O99:S99)</f>
        <v>0</v>
      </c>
      <c r="N99" s="318">
        <f>IFERROR(M99/L99,0)</f>
        <v>0</v>
      </c>
      <c r="O99" s="320"/>
      <c r="P99" s="320"/>
      <c r="Q99" s="320"/>
      <c r="R99" s="320"/>
      <c r="S99" s="320"/>
      <c r="T99" s="320"/>
      <c r="U99" s="321">
        <f t="shared" si="152"/>
        <v>0</v>
      </c>
      <c r="V99" s="317"/>
      <c r="W99" s="318">
        <f t="shared" ref="W99:W107" si="176">SUM(Y99:AC99)</f>
        <v>0</v>
      </c>
      <c r="X99" s="318">
        <f t="shared" ref="X99:X107" si="177">IFERROR(W99/V99,0)</f>
        <v>0</v>
      </c>
      <c r="Y99" s="320"/>
      <c r="Z99" s="320"/>
      <c r="AA99" s="320"/>
      <c r="AB99" s="320"/>
      <c r="AC99" s="320"/>
      <c r="AD99" s="320"/>
      <c r="AE99" s="321">
        <f t="shared" si="155"/>
        <v>0</v>
      </c>
      <c r="AF99" s="317"/>
      <c r="AG99" s="318">
        <f t="shared" si="156"/>
        <v>0</v>
      </c>
      <c r="AH99" s="318">
        <f t="shared" si="157"/>
        <v>0</v>
      </c>
      <c r="AI99" s="320"/>
      <c r="AJ99" s="320"/>
      <c r="AK99" s="320"/>
      <c r="AL99" s="320"/>
      <c r="AM99" s="320"/>
      <c r="AN99" s="320"/>
      <c r="AO99" s="321">
        <f t="shared" si="158"/>
        <v>0</v>
      </c>
      <c r="AP99" s="317">
        <v>3</v>
      </c>
      <c r="AQ99" s="318">
        <f t="shared" ref="AQ99:AQ107" si="178">SUM(AS99:AW99)</f>
        <v>3019.5</v>
      </c>
      <c r="AR99" s="318">
        <f t="shared" ref="AR99:AR107" si="179">IFERROR(AQ99/AP99,0)</f>
        <v>1006.5</v>
      </c>
      <c r="AS99" s="320">
        <v>3019.5</v>
      </c>
      <c r="AT99" s="320"/>
      <c r="AU99" s="320"/>
      <c r="AV99" s="320"/>
      <c r="AW99" s="320"/>
      <c r="AX99" s="320">
        <v>3019.5</v>
      </c>
      <c r="AY99" s="321">
        <f t="shared" si="161"/>
        <v>3019.5</v>
      </c>
      <c r="AZ99" s="317">
        <v>5</v>
      </c>
      <c r="BA99" s="318">
        <f t="shared" ref="BA99:BA107" si="180">SUM(BC99:BG99)</f>
        <v>5355</v>
      </c>
      <c r="BB99" s="318">
        <f t="shared" ref="BB99:BB107" si="181">IFERROR(BA99/AZ99,0)</f>
        <v>1071</v>
      </c>
      <c r="BC99" s="320">
        <v>5355</v>
      </c>
      <c r="BD99" s="320"/>
      <c r="BE99" s="320"/>
      <c r="BF99" s="320"/>
      <c r="BG99" s="320"/>
      <c r="BH99" s="320">
        <v>5355</v>
      </c>
      <c r="BI99" s="321">
        <f t="shared" si="164"/>
        <v>5355</v>
      </c>
      <c r="BJ99" s="323">
        <v>0</v>
      </c>
      <c r="BK99" s="318">
        <f t="shared" si="165"/>
        <v>0</v>
      </c>
      <c r="BL99" s="318">
        <f t="shared" si="166"/>
        <v>0</v>
      </c>
      <c r="BM99" s="320">
        <v>0</v>
      </c>
      <c r="BN99" s="320"/>
      <c r="BO99" s="320"/>
      <c r="BP99" s="320"/>
      <c r="BQ99" s="320"/>
      <c r="BR99" s="320">
        <v>0</v>
      </c>
      <c r="BS99" s="321">
        <f t="shared" si="167"/>
        <v>0</v>
      </c>
      <c r="BT99" s="207">
        <v>0</v>
      </c>
      <c r="BU99" s="318">
        <f t="shared" si="173"/>
        <v>0</v>
      </c>
      <c r="BV99" s="318">
        <f t="shared" si="168"/>
        <v>0</v>
      </c>
      <c r="BW99" s="208">
        <v>0</v>
      </c>
      <c r="BX99" s="208"/>
      <c r="BY99" s="208"/>
      <c r="BZ99" s="208"/>
      <c r="CA99" s="208"/>
      <c r="CB99" s="208">
        <v>0</v>
      </c>
      <c r="CC99" s="367">
        <f t="shared" si="169"/>
        <v>0</v>
      </c>
    </row>
    <row r="100" spans="1:81" s="316" customFormat="1" ht="15.95" customHeight="1">
      <c r="A100" s="214"/>
      <c r="B100" s="317"/>
      <c r="C100" s="318">
        <f t="shared" si="174"/>
        <v>0</v>
      </c>
      <c r="D100" s="318">
        <f t="shared" si="175"/>
        <v>0</v>
      </c>
      <c r="E100" s="320"/>
      <c r="F100" s="320"/>
      <c r="G100" s="320"/>
      <c r="H100" s="320"/>
      <c r="I100" s="320"/>
      <c r="J100" s="320"/>
      <c r="K100" s="321">
        <f t="shared" si="149"/>
        <v>0</v>
      </c>
      <c r="L100" s="317"/>
      <c r="M100" s="318">
        <f t="shared" ref="M100:M107" si="182">SUM(O100:S100)</f>
        <v>0</v>
      </c>
      <c r="N100" s="318">
        <f t="shared" ref="N100:N107" si="183">IFERROR(M100/L100,0)</f>
        <v>0</v>
      </c>
      <c r="O100" s="320"/>
      <c r="P100" s="320"/>
      <c r="Q100" s="320"/>
      <c r="R100" s="320"/>
      <c r="S100" s="320"/>
      <c r="T100" s="320"/>
      <c r="U100" s="321">
        <f t="shared" si="152"/>
        <v>0</v>
      </c>
      <c r="V100" s="317"/>
      <c r="W100" s="318">
        <f t="shared" si="176"/>
        <v>0</v>
      </c>
      <c r="X100" s="318">
        <f t="shared" si="177"/>
        <v>0</v>
      </c>
      <c r="Y100" s="320"/>
      <c r="Z100" s="320"/>
      <c r="AA100" s="320"/>
      <c r="AB100" s="320"/>
      <c r="AC100" s="320"/>
      <c r="AD100" s="320"/>
      <c r="AE100" s="321">
        <f t="shared" si="155"/>
        <v>0</v>
      </c>
      <c r="AF100" s="317"/>
      <c r="AG100" s="318">
        <f t="shared" si="156"/>
        <v>0</v>
      </c>
      <c r="AH100" s="318">
        <f t="shared" si="157"/>
        <v>0</v>
      </c>
      <c r="AI100" s="320"/>
      <c r="AJ100" s="320"/>
      <c r="AK100" s="320"/>
      <c r="AL100" s="320"/>
      <c r="AM100" s="320"/>
      <c r="AN100" s="320"/>
      <c r="AO100" s="321">
        <f t="shared" si="158"/>
        <v>0</v>
      </c>
      <c r="AP100" s="317"/>
      <c r="AQ100" s="318">
        <f t="shared" si="178"/>
        <v>0</v>
      </c>
      <c r="AR100" s="318">
        <f t="shared" si="179"/>
        <v>0</v>
      </c>
      <c r="AS100" s="320"/>
      <c r="AT100" s="320"/>
      <c r="AU100" s="320"/>
      <c r="AV100" s="320"/>
      <c r="AW100" s="320"/>
      <c r="AX100" s="320"/>
      <c r="AY100" s="321">
        <f t="shared" si="161"/>
        <v>0</v>
      </c>
      <c r="AZ100" s="317"/>
      <c r="BA100" s="318">
        <f t="shared" si="180"/>
        <v>0</v>
      </c>
      <c r="BB100" s="318">
        <f t="shared" si="181"/>
        <v>0</v>
      </c>
      <c r="BC100" s="320"/>
      <c r="BD100" s="320"/>
      <c r="BE100" s="320"/>
      <c r="BF100" s="320"/>
      <c r="BG100" s="320"/>
      <c r="BH100" s="320"/>
      <c r="BI100" s="321">
        <f t="shared" si="164"/>
        <v>0</v>
      </c>
      <c r="BJ100" s="323"/>
      <c r="BK100" s="318">
        <f t="shared" si="165"/>
        <v>0</v>
      </c>
      <c r="BL100" s="318">
        <f t="shared" si="166"/>
        <v>0</v>
      </c>
      <c r="BM100" s="320"/>
      <c r="BN100" s="320"/>
      <c r="BO100" s="320"/>
      <c r="BP100" s="320"/>
      <c r="BQ100" s="320"/>
      <c r="BR100" s="320"/>
      <c r="BS100" s="321">
        <f t="shared" si="167"/>
        <v>0</v>
      </c>
      <c r="BT100" s="207"/>
      <c r="BU100" s="318">
        <f t="shared" si="173"/>
        <v>0</v>
      </c>
      <c r="BV100" s="318">
        <f t="shared" si="168"/>
        <v>0</v>
      </c>
      <c r="BW100" s="208"/>
      <c r="BX100" s="208"/>
      <c r="BY100" s="208"/>
      <c r="BZ100" s="208"/>
      <c r="CA100" s="208"/>
      <c r="CB100" s="208"/>
      <c r="CC100" s="367">
        <f t="shared" si="169"/>
        <v>0</v>
      </c>
    </row>
    <row r="101" spans="1:81" s="316" customFormat="1" ht="15.95" customHeight="1">
      <c r="A101" s="214"/>
      <c r="B101" s="317"/>
      <c r="C101" s="318">
        <f t="shared" si="174"/>
        <v>0</v>
      </c>
      <c r="D101" s="318">
        <f t="shared" si="175"/>
        <v>0</v>
      </c>
      <c r="E101" s="320"/>
      <c r="F101" s="320"/>
      <c r="G101" s="320"/>
      <c r="H101" s="320"/>
      <c r="I101" s="320"/>
      <c r="J101" s="320"/>
      <c r="K101" s="321">
        <f t="shared" si="149"/>
        <v>0</v>
      </c>
      <c r="L101" s="317"/>
      <c r="M101" s="318">
        <f t="shared" si="182"/>
        <v>0</v>
      </c>
      <c r="N101" s="318">
        <f t="shared" si="183"/>
        <v>0</v>
      </c>
      <c r="O101" s="320"/>
      <c r="P101" s="320"/>
      <c r="Q101" s="320"/>
      <c r="R101" s="320"/>
      <c r="S101" s="320"/>
      <c r="T101" s="320"/>
      <c r="U101" s="321">
        <f t="shared" si="152"/>
        <v>0</v>
      </c>
      <c r="V101" s="317"/>
      <c r="W101" s="318">
        <f t="shared" si="176"/>
        <v>0</v>
      </c>
      <c r="X101" s="318">
        <f t="shared" si="177"/>
        <v>0</v>
      </c>
      <c r="Y101" s="320"/>
      <c r="Z101" s="320"/>
      <c r="AA101" s="320"/>
      <c r="AB101" s="320"/>
      <c r="AC101" s="320"/>
      <c r="AD101" s="320"/>
      <c r="AE101" s="321">
        <f t="shared" si="155"/>
        <v>0</v>
      </c>
      <c r="AF101" s="317"/>
      <c r="AG101" s="318">
        <f t="shared" si="156"/>
        <v>0</v>
      </c>
      <c r="AH101" s="318">
        <f t="shared" si="157"/>
        <v>0</v>
      </c>
      <c r="AI101" s="320"/>
      <c r="AJ101" s="320"/>
      <c r="AK101" s="320"/>
      <c r="AL101" s="320"/>
      <c r="AM101" s="320"/>
      <c r="AN101" s="320"/>
      <c r="AO101" s="321">
        <f t="shared" si="158"/>
        <v>0</v>
      </c>
      <c r="AP101" s="317"/>
      <c r="AQ101" s="318">
        <f t="shared" si="178"/>
        <v>0</v>
      </c>
      <c r="AR101" s="318">
        <f t="shared" si="179"/>
        <v>0</v>
      </c>
      <c r="AS101" s="320"/>
      <c r="AT101" s="320"/>
      <c r="AU101" s="320"/>
      <c r="AV101" s="320"/>
      <c r="AW101" s="320"/>
      <c r="AX101" s="320"/>
      <c r="AY101" s="321">
        <f t="shared" si="161"/>
        <v>0</v>
      </c>
      <c r="AZ101" s="317"/>
      <c r="BA101" s="318">
        <f t="shared" si="180"/>
        <v>0</v>
      </c>
      <c r="BB101" s="318">
        <f t="shared" si="181"/>
        <v>0</v>
      </c>
      <c r="BC101" s="320"/>
      <c r="BD101" s="320"/>
      <c r="BE101" s="320"/>
      <c r="BF101" s="320"/>
      <c r="BG101" s="320"/>
      <c r="BH101" s="320"/>
      <c r="BI101" s="321">
        <f t="shared" si="164"/>
        <v>0</v>
      </c>
      <c r="BJ101" s="323"/>
      <c r="BK101" s="318">
        <f t="shared" si="165"/>
        <v>0</v>
      </c>
      <c r="BL101" s="318">
        <f t="shared" si="166"/>
        <v>0</v>
      </c>
      <c r="BM101" s="320"/>
      <c r="BN101" s="320"/>
      <c r="BO101" s="320"/>
      <c r="BP101" s="320"/>
      <c r="BQ101" s="320"/>
      <c r="BR101" s="320"/>
      <c r="BS101" s="321">
        <f t="shared" si="167"/>
        <v>0</v>
      </c>
      <c r="BT101" s="207"/>
      <c r="BU101" s="318">
        <f t="shared" si="173"/>
        <v>0</v>
      </c>
      <c r="BV101" s="318">
        <f t="shared" si="168"/>
        <v>0</v>
      </c>
      <c r="BW101" s="208"/>
      <c r="BX101" s="208"/>
      <c r="BY101" s="208"/>
      <c r="BZ101" s="208"/>
      <c r="CA101" s="208"/>
      <c r="CB101" s="208"/>
      <c r="CC101" s="367">
        <f t="shared" si="169"/>
        <v>0</v>
      </c>
    </row>
    <row r="102" spans="1:81" s="316" customFormat="1" ht="15.95" customHeight="1">
      <c r="A102" s="214"/>
      <c r="B102" s="317"/>
      <c r="C102" s="318">
        <f t="shared" si="174"/>
        <v>0</v>
      </c>
      <c r="D102" s="318">
        <f t="shared" si="175"/>
        <v>0</v>
      </c>
      <c r="E102" s="320"/>
      <c r="F102" s="320"/>
      <c r="G102" s="320"/>
      <c r="H102" s="320"/>
      <c r="I102" s="320"/>
      <c r="J102" s="320"/>
      <c r="K102" s="321">
        <f t="shared" si="149"/>
        <v>0</v>
      </c>
      <c r="L102" s="317"/>
      <c r="M102" s="318">
        <f t="shared" si="182"/>
        <v>0</v>
      </c>
      <c r="N102" s="318">
        <f t="shared" si="183"/>
        <v>0</v>
      </c>
      <c r="O102" s="320"/>
      <c r="P102" s="320"/>
      <c r="Q102" s="320"/>
      <c r="R102" s="320"/>
      <c r="S102" s="320"/>
      <c r="T102" s="320"/>
      <c r="U102" s="321">
        <f t="shared" si="152"/>
        <v>0</v>
      </c>
      <c r="V102" s="317"/>
      <c r="W102" s="318">
        <f t="shared" si="176"/>
        <v>0</v>
      </c>
      <c r="X102" s="318">
        <f t="shared" si="177"/>
        <v>0</v>
      </c>
      <c r="Y102" s="320"/>
      <c r="Z102" s="320"/>
      <c r="AA102" s="320"/>
      <c r="AB102" s="320"/>
      <c r="AC102" s="320"/>
      <c r="AD102" s="320"/>
      <c r="AE102" s="321">
        <f t="shared" si="155"/>
        <v>0</v>
      </c>
      <c r="AF102" s="317"/>
      <c r="AG102" s="318">
        <f t="shared" si="156"/>
        <v>0</v>
      </c>
      <c r="AH102" s="318">
        <f t="shared" si="157"/>
        <v>0</v>
      </c>
      <c r="AI102" s="320"/>
      <c r="AJ102" s="320"/>
      <c r="AK102" s="320"/>
      <c r="AL102" s="320"/>
      <c r="AM102" s="320"/>
      <c r="AN102" s="320"/>
      <c r="AO102" s="321">
        <f t="shared" si="158"/>
        <v>0</v>
      </c>
      <c r="AP102" s="317"/>
      <c r="AQ102" s="318">
        <f t="shared" si="178"/>
        <v>0</v>
      </c>
      <c r="AR102" s="318">
        <f t="shared" si="179"/>
        <v>0</v>
      </c>
      <c r="AS102" s="320"/>
      <c r="AT102" s="320"/>
      <c r="AU102" s="320"/>
      <c r="AV102" s="320"/>
      <c r="AW102" s="320"/>
      <c r="AX102" s="320"/>
      <c r="AY102" s="321">
        <f t="shared" si="161"/>
        <v>0</v>
      </c>
      <c r="AZ102" s="317"/>
      <c r="BA102" s="318">
        <f t="shared" si="180"/>
        <v>0</v>
      </c>
      <c r="BB102" s="318">
        <f t="shared" si="181"/>
        <v>0</v>
      </c>
      <c r="BC102" s="320"/>
      <c r="BD102" s="320"/>
      <c r="BE102" s="320"/>
      <c r="BF102" s="320"/>
      <c r="BG102" s="320"/>
      <c r="BH102" s="320"/>
      <c r="BI102" s="321">
        <f t="shared" si="164"/>
        <v>0</v>
      </c>
      <c r="BJ102" s="323"/>
      <c r="BK102" s="318">
        <f t="shared" si="165"/>
        <v>0</v>
      </c>
      <c r="BL102" s="318">
        <f t="shared" si="166"/>
        <v>0</v>
      </c>
      <c r="BM102" s="320"/>
      <c r="BN102" s="320"/>
      <c r="BO102" s="320"/>
      <c r="BP102" s="320"/>
      <c r="BQ102" s="320"/>
      <c r="BR102" s="320"/>
      <c r="BS102" s="321">
        <f t="shared" si="167"/>
        <v>0</v>
      </c>
      <c r="BT102" s="207"/>
      <c r="BU102" s="318">
        <f t="shared" si="173"/>
        <v>0</v>
      </c>
      <c r="BV102" s="318">
        <f t="shared" si="168"/>
        <v>0</v>
      </c>
      <c r="BW102" s="208"/>
      <c r="BX102" s="208"/>
      <c r="BY102" s="208"/>
      <c r="BZ102" s="208"/>
      <c r="CA102" s="208"/>
      <c r="CB102" s="208"/>
      <c r="CC102" s="367">
        <f t="shared" si="169"/>
        <v>0</v>
      </c>
    </row>
    <row r="103" spans="1:81" s="316" customFormat="1" ht="15.95" customHeight="1">
      <c r="A103" s="214"/>
      <c r="B103" s="317"/>
      <c r="C103" s="318">
        <f t="shared" si="174"/>
        <v>0</v>
      </c>
      <c r="D103" s="318">
        <f t="shared" si="175"/>
        <v>0</v>
      </c>
      <c r="E103" s="320"/>
      <c r="F103" s="320"/>
      <c r="G103" s="320"/>
      <c r="H103" s="320"/>
      <c r="I103" s="320"/>
      <c r="J103" s="320"/>
      <c r="K103" s="321">
        <f t="shared" si="149"/>
        <v>0</v>
      </c>
      <c r="L103" s="317"/>
      <c r="M103" s="318">
        <f t="shared" si="182"/>
        <v>0</v>
      </c>
      <c r="N103" s="318">
        <f t="shared" si="183"/>
        <v>0</v>
      </c>
      <c r="O103" s="320"/>
      <c r="P103" s="320"/>
      <c r="Q103" s="320"/>
      <c r="R103" s="320"/>
      <c r="S103" s="320"/>
      <c r="T103" s="320"/>
      <c r="U103" s="321">
        <f t="shared" si="152"/>
        <v>0</v>
      </c>
      <c r="V103" s="317"/>
      <c r="W103" s="318">
        <f t="shared" si="176"/>
        <v>0</v>
      </c>
      <c r="X103" s="318">
        <f t="shared" si="177"/>
        <v>0</v>
      </c>
      <c r="Y103" s="320"/>
      <c r="Z103" s="320"/>
      <c r="AA103" s="320"/>
      <c r="AB103" s="320"/>
      <c r="AC103" s="320"/>
      <c r="AD103" s="320"/>
      <c r="AE103" s="321">
        <f t="shared" si="155"/>
        <v>0</v>
      </c>
      <c r="AF103" s="317"/>
      <c r="AG103" s="318">
        <f t="shared" si="156"/>
        <v>0</v>
      </c>
      <c r="AH103" s="318">
        <f t="shared" si="157"/>
        <v>0</v>
      </c>
      <c r="AI103" s="320"/>
      <c r="AJ103" s="320"/>
      <c r="AK103" s="320"/>
      <c r="AL103" s="320"/>
      <c r="AM103" s="320"/>
      <c r="AN103" s="320"/>
      <c r="AO103" s="321">
        <f t="shared" si="158"/>
        <v>0</v>
      </c>
      <c r="AP103" s="317"/>
      <c r="AQ103" s="318">
        <f t="shared" si="178"/>
        <v>0</v>
      </c>
      <c r="AR103" s="318">
        <f t="shared" si="179"/>
        <v>0</v>
      </c>
      <c r="AS103" s="320"/>
      <c r="AT103" s="320"/>
      <c r="AU103" s="320"/>
      <c r="AV103" s="320"/>
      <c r="AW103" s="320"/>
      <c r="AX103" s="320"/>
      <c r="AY103" s="321">
        <f t="shared" si="161"/>
        <v>0</v>
      </c>
      <c r="AZ103" s="317"/>
      <c r="BA103" s="318">
        <f t="shared" si="180"/>
        <v>0</v>
      </c>
      <c r="BB103" s="318">
        <f t="shared" si="181"/>
        <v>0</v>
      </c>
      <c r="BC103" s="320"/>
      <c r="BD103" s="320"/>
      <c r="BE103" s="320"/>
      <c r="BF103" s="320"/>
      <c r="BG103" s="320"/>
      <c r="BH103" s="320"/>
      <c r="BI103" s="321">
        <f t="shared" si="164"/>
        <v>0</v>
      </c>
      <c r="BJ103" s="323"/>
      <c r="BK103" s="318">
        <f t="shared" si="165"/>
        <v>0</v>
      </c>
      <c r="BL103" s="318">
        <f t="shared" si="166"/>
        <v>0</v>
      </c>
      <c r="BM103" s="320"/>
      <c r="BN103" s="320"/>
      <c r="BO103" s="320"/>
      <c r="BP103" s="320"/>
      <c r="BQ103" s="320"/>
      <c r="BR103" s="320"/>
      <c r="BS103" s="321">
        <f t="shared" si="167"/>
        <v>0</v>
      </c>
      <c r="BT103" s="207"/>
      <c r="BU103" s="318">
        <f t="shared" si="173"/>
        <v>0</v>
      </c>
      <c r="BV103" s="318">
        <f t="shared" si="168"/>
        <v>0</v>
      </c>
      <c r="BW103" s="208"/>
      <c r="BX103" s="208"/>
      <c r="BY103" s="208"/>
      <c r="BZ103" s="208"/>
      <c r="CA103" s="208"/>
      <c r="CB103" s="208"/>
      <c r="CC103" s="367">
        <f t="shared" si="169"/>
        <v>0</v>
      </c>
    </row>
    <row r="104" spans="1:81" s="316" customFormat="1" ht="15.95" customHeight="1">
      <c r="A104" s="214"/>
      <c r="B104" s="317"/>
      <c r="C104" s="318">
        <f t="shared" si="174"/>
        <v>0</v>
      </c>
      <c r="D104" s="318">
        <f t="shared" si="175"/>
        <v>0</v>
      </c>
      <c r="E104" s="320"/>
      <c r="F104" s="320"/>
      <c r="G104" s="320"/>
      <c r="H104" s="320"/>
      <c r="I104" s="320"/>
      <c r="J104" s="320"/>
      <c r="K104" s="321">
        <f t="shared" si="149"/>
        <v>0</v>
      </c>
      <c r="L104" s="317"/>
      <c r="M104" s="318">
        <f t="shared" si="182"/>
        <v>0</v>
      </c>
      <c r="N104" s="318">
        <f t="shared" si="183"/>
        <v>0</v>
      </c>
      <c r="O104" s="320"/>
      <c r="P104" s="320"/>
      <c r="Q104" s="320"/>
      <c r="R104" s="320"/>
      <c r="S104" s="320"/>
      <c r="T104" s="320"/>
      <c r="U104" s="321">
        <f t="shared" si="152"/>
        <v>0</v>
      </c>
      <c r="V104" s="317"/>
      <c r="W104" s="318">
        <f t="shared" si="176"/>
        <v>0</v>
      </c>
      <c r="X104" s="318">
        <f t="shared" si="177"/>
        <v>0</v>
      </c>
      <c r="Y104" s="320"/>
      <c r="Z104" s="320"/>
      <c r="AA104" s="320"/>
      <c r="AB104" s="320"/>
      <c r="AC104" s="320"/>
      <c r="AD104" s="320"/>
      <c r="AE104" s="321">
        <f t="shared" si="155"/>
        <v>0</v>
      </c>
      <c r="AF104" s="317"/>
      <c r="AG104" s="318">
        <f t="shared" si="156"/>
        <v>0</v>
      </c>
      <c r="AH104" s="318">
        <f t="shared" si="157"/>
        <v>0</v>
      </c>
      <c r="AI104" s="320"/>
      <c r="AJ104" s="320"/>
      <c r="AK104" s="320"/>
      <c r="AL104" s="320"/>
      <c r="AM104" s="320"/>
      <c r="AN104" s="320"/>
      <c r="AO104" s="321">
        <f t="shared" si="158"/>
        <v>0</v>
      </c>
      <c r="AP104" s="317"/>
      <c r="AQ104" s="318">
        <f t="shared" si="178"/>
        <v>0</v>
      </c>
      <c r="AR104" s="318">
        <f t="shared" si="179"/>
        <v>0</v>
      </c>
      <c r="AS104" s="320"/>
      <c r="AT104" s="320"/>
      <c r="AU104" s="320"/>
      <c r="AV104" s="320"/>
      <c r="AW104" s="320"/>
      <c r="AX104" s="320"/>
      <c r="AY104" s="321">
        <f t="shared" si="161"/>
        <v>0</v>
      </c>
      <c r="AZ104" s="317"/>
      <c r="BA104" s="318">
        <f t="shared" si="180"/>
        <v>0</v>
      </c>
      <c r="BB104" s="318">
        <f t="shared" si="181"/>
        <v>0</v>
      </c>
      <c r="BC104" s="320"/>
      <c r="BD104" s="320"/>
      <c r="BE104" s="320"/>
      <c r="BF104" s="320"/>
      <c r="BG104" s="320"/>
      <c r="BH104" s="320"/>
      <c r="BI104" s="321">
        <f t="shared" si="164"/>
        <v>0</v>
      </c>
      <c r="BJ104" s="323"/>
      <c r="BK104" s="318">
        <f t="shared" si="165"/>
        <v>0</v>
      </c>
      <c r="BL104" s="318">
        <f t="shared" si="166"/>
        <v>0</v>
      </c>
      <c r="BM104" s="320"/>
      <c r="BN104" s="320"/>
      <c r="BO104" s="320"/>
      <c r="BP104" s="320"/>
      <c r="BQ104" s="320"/>
      <c r="BR104" s="320"/>
      <c r="BS104" s="321">
        <f t="shared" si="167"/>
        <v>0</v>
      </c>
      <c r="BT104" s="207"/>
      <c r="BU104" s="318">
        <f t="shared" si="173"/>
        <v>0</v>
      </c>
      <c r="BV104" s="318">
        <f t="shared" si="168"/>
        <v>0</v>
      </c>
      <c r="BW104" s="208"/>
      <c r="BX104" s="208"/>
      <c r="BY104" s="208"/>
      <c r="BZ104" s="208"/>
      <c r="CA104" s="208"/>
      <c r="CB104" s="208"/>
      <c r="CC104" s="367">
        <f t="shared" si="169"/>
        <v>0</v>
      </c>
    </row>
    <row r="105" spans="1:81" s="316" customFormat="1" ht="15.95" customHeight="1">
      <c r="A105" s="214"/>
      <c r="B105" s="317"/>
      <c r="C105" s="318">
        <f t="shared" si="174"/>
        <v>0</v>
      </c>
      <c r="D105" s="318">
        <f t="shared" si="175"/>
        <v>0</v>
      </c>
      <c r="E105" s="320"/>
      <c r="F105" s="320"/>
      <c r="G105" s="320"/>
      <c r="H105" s="320"/>
      <c r="I105" s="320"/>
      <c r="J105" s="320"/>
      <c r="K105" s="321">
        <f t="shared" si="149"/>
        <v>0</v>
      </c>
      <c r="L105" s="317"/>
      <c r="M105" s="318">
        <f t="shared" si="182"/>
        <v>0</v>
      </c>
      <c r="N105" s="318">
        <f t="shared" si="183"/>
        <v>0</v>
      </c>
      <c r="O105" s="320"/>
      <c r="P105" s="320"/>
      <c r="Q105" s="320"/>
      <c r="R105" s="320"/>
      <c r="S105" s="320"/>
      <c r="T105" s="320"/>
      <c r="U105" s="321">
        <f t="shared" si="152"/>
        <v>0</v>
      </c>
      <c r="V105" s="317"/>
      <c r="W105" s="318">
        <f t="shared" si="176"/>
        <v>0</v>
      </c>
      <c r="X105" s="318">
        <f t="shared" si="177"/>
        <v>0</v>
      </c>
      <c r="Y105" s="320"/>
      <c r="Z105" s="320"/>
      <c r="AA105" s="320"/>
      <c r="AB105" s="320"/>
      <c r="AC105" s="320"/>
      <c r="AD105" s="320"/>
      <c r="AE105" s="321">
        <f t="shared" si="155"/>
        <v>0</v>
      </c>
      <c r="AF105" s="317"/>
      <c r="AG105" s="318">
        <f t="shared" si="156"/>
        <v>0</v>
      </c>
      <c r="AH105" s="318">
        <f t="shared" si="157"/>
        <v>0</v>
      </c>
      <c r="AI105" s="320"/>
      <c r="AJ105" s="320"/>
      <c r="AK105" s="320"/>
      <c r="AL105" s="320"/>
      <c r="AM105" s="320"/>
      <c r="AN105" s="320"/>
      <c r="AO105" s="321">
        <f t="shared" si="158"/>
        <v>0</v>
      </c>
      <c r="AP105" s="317"/>
      <c r="AQ105" s="318">
        <f t="shared" si="178"/>
        <v>0</v>
      </c>
      <c r="AR105" s="318">
        <f t="shared" si="179"/>
        <v>0</v>
      </c>
      <c r="AS105" s="320"/>
      <c r="AT105" s="320"/>
      <c r="AU105" s="320"/>
      <c r="AV105" s="320"/>
      <c r="AW105" s="320"/>
      <c r="AX105" s="320"/>
      <c r="AY105" s="321">
        <f t="shared" si="161"/>
        <v>0</v>
      </c>
      <c r="AZ105" s="317"/>
      <c r="BA105" s="318">
        <f t="shared" si="180"/>
        <v>0</v>
      </c>
      <c r="BB105" s="318">
        <f t="shared" si="181"/>
        <v>0</v>
      </c>
      <c r="BC105" s="320"/>
      <c r="BD105" s="320"/>
      <c r="BE105" s="320"/>
      <c r="BF105" s="320"/>
      <c r="BG105" s="320"/>
      <c r="BH105" s="320"/>
      <c r="BI105" s="321">
        <f t="shared" si="164"/>
        <v>0</v>
      </c>
      <c r="BJ105" s="323"/>
      <c r="BK105" s="318">
        <f t="shared" si="165"/>
        <v>0</v>
      </c>
      <c r="BL105" s="318">
        <f t="shared" si="166"/>
        <v>0</v>
      </c>
      <c r="BM105" s="320"/>
      <c r="BN105" s="320"/>
      <c r="BO105" s="320"/>
      <c r="BP105" s="320"/>
      <c r="BQ105" s="320"/>
      <c r="BR105" s="320"/>
      <c r="BS105" s="321">
        <f t="shared" si="167"/>
        <v>0</v>
      </c>
      <c r="BT105" s="207"/>
      <c r="BU105" s="318">
        <f t="shared" si="173"/>
        <v>0</v>
      </c>
      <c r="BV105" s="318">
        <f t="shared" si="168"/>
        <v>0</v>
      </c>
      <c r="BW105" s="208"/>
      <c r="BX105" s="208"/>
      <c r="BY105" s="208"/>
      <c r="BZ105" s="208"/>
      <c r="CA105" s="208"/>
      <c r="CB105" s="208"/>
      <c r="CC105" s="367">
        <f t="shared" si="169"/>
        <v>0</v>
      </c>
    </row>
    <row r="106" spans="1:81" s="316" customFormat="1" ht="15.95" customHeight="1">
      <c r="A106" s="214"/>
      <c r="B106" s="317"/>
      <c r="C106" s="318">
        <f t="shared" si="174"/>
        <v>0</v>
      </c>
      <c r="D106" s="318">
        <f t="shared" si="175"/>
        <v>0</v>
      </c>
      <c r="E106" s="320"/>
      <c r="F106" s="320"/>
      <c r="G106" s="320"/>
      <c r="H106" s="320"/>
      <c r="I106" s="320"/>
      <c r="J106" s="320"/>
      <c r="K106" s="321">
        <f t="shared" si="149"/>
        <v>0</v>
      </c>
      <c r="L106" s="317"/>
      <c r="M106" s="318">
        <f t="shared" si="182"/>
        <v>0</v>
      </c>
      <c r="N106" s="318">
        <f t="shared" si="183"/>
        <v>0</v>
      </c>
      <c r="O106" s="320"/>
      <c r="P106" s="320"/>
      <c r="Q106" s="320"/>
      <c r="R106" s="320"/>
      <c r="S106" s="320"/>
      <c r="T106" s="320"/>
      <c r="U106" s="321">
        <f t="shared" si="152"/>
        <v>0</v>
      </c>
      <c r="V106" s="317"/>
      <c r="W106" s="318">
        <f t="shared" si="176"/>
        <v>0</v>
      </c>
      <c r="X106" s="318">
        <f t="shared" si="177"/>
        <v>0</v>
      </c>
      <c r="Y106" s="320"/>
      <c r="Z106" s="320"/>
      <c r="AA106" s="320"/>
      <c r="AB106" s="320"/>
      <c r="AC106" s="320"/>
      <c r="AD106" s="320"/>
      <c r="AE106" s="321">
        <f t="shared" si="155"/>
        <v>0</v>
      </c>
      <c r="AF106" s="317"/>
      <c r="AG106" s="318">
        <f t="shared" si="156"/>
        <v>0</v>
      </c>
      <c r="AH106" s="318">
        <f t="shared" si="157"/>
        <v>0</v>
      </c>
      <c r="AI106" s="320"/>
      <c r="AJ106" s="320"/>
      <c r="AK106" s="320"/>
      <c r="AL106" s="320"/>
      <c r="AM106" s="320"/>
      <c r="AN106" s="320"/>
      <c r="AO106" s="321">
        <f t="shared" si="158"/>
        <v>0</v>
      </c>
      <c r="AP106" s="317"/>
      <c r="AQ106" s="318">
        <f t="shared" si="178"/>
        <v>0</v>
      </c>
      <c r="AR106" s="318">
        <f t="shared" si="179"/>
        <v>0</v>
      </c>
      <c r="AS106" s="320"/>
      <c r="AT106" s="320"/>
      <c r="AU106" s="320"/>
      <c r="AV106" s="320"/>
      <c r="AW106" s="320"/>
      <c r="AX106" s="320"/>
      <c r="AY106" s="321">
        <f t="shared" si="161"/>
        <v>0</v>
      </c>
      <c r="AZ106" s="317"/>
      <c r="BA106" s="318">
        <f t="shared" si="180"/>
        <v>0</v>
      </c>
      <c r="BB106" s="318">
        <f t="shared" si="181"/>
        <v>0</v>
      </c>
      <c r="BC106" s="320"/>
      <c r="BD106" s="320"/>
      <c r="BE106" s="320"/>
      <c r="BF106" s="320"/>
      <c r="BG106" s="320"/>
      <c r="BH106" s="320"/>
      <c r="BI106" s="321">
        <f t="shared" si="164"/>
        <v>0</v>
      </c>
      <c r="BJ106" s="323"/>
      <c r="BK106" s="318">
        <f t="shared" si="165"/>
        <v>0</v>
      </c>
      <c r="BL106" s="318">
        <f t="shared" si="166"/>
        <v>0</v>
      </c>
      <c r="BM106" s="320"/>
      <c r="BN106" s="320"/>
      <c r="BO106" s="320"/>
      <c r="BP106" s="320"/>
      <c r="BQ106" s="320"/>
      <c r="BR106" s="320"/>
      <c r="BS106" s="321">
        <f t="shared" si="167"/>
        <v>0</v>
      </c>
      <c r="BT106" s="207"/>
      <c r="BU106" s="318">
        <f t="shared" si="173"/>
        <v>0</v>
      </c>
      <c r="BV106" s="318">
        <f t="shared" si="168"/>
        <v>0</v>
      </c>
      <c r="BW106" s="208"/>
      <c r="BX106" s="208"/>
      <c r="BY106" s="208"/>
      <c r="BZ106" s="208"/>
      <c r="CA106" s="208"/>
      <c r="CB106" s="208"/>
      <c r="CC106" s="367">
        <f t="shared" si="169"/>
        <v>0</v>
      </c>
    </row>
    <row r="107" spans="1:81" s="316" customFormat="1" ht="15.95" customHeight="1">
      <c r="A107" s="214"/>
      <c r="B107" s="317"/>
      <c r="C107" s="318">
        <f t="shared" si="174"/>
        <v>0</v>
      </c>
      <c r="D107" s="318">
        <f t="shared" si="175"/>
        <v>0</v>
      </c>
      <c r="E107" s="320"/>
      <c r="F107" s="320"/>
      <c r="G107" s="320"/>
      <c r="H107" s="320"/>
      <c r="I107" s="320"/>
      <c r="J107" s="320"/>
      <c r="K107" s="321">
        <f t="shared" si="149"/>
        <v>0</v>
      </c>
      <c r="L107" s="317"/>
      <c r="M107" s="318">
        <f t="shared" si="182"/>
        <v>0</v>
      </c>
      <c r="N107" s="318">
        <f t="shared" si="183"/>
        <v>0</v>
      </c>
      <c r="O107" s="320"/>
      <c r="P107" s="320"/>
      <c r="Q107" s="320"/>
      <c r="R107" s="320"/>
      <c r="S107" s="320"/>
      <c r="T107" s="320"/>
      <c r="U107" s="321">
        <f t="shared" si="152"/>
        <v>0</v>
      </c>
      <c r="V107" s="317"/>
      <c r="W107" s="318">
        <f t="shared" si="176"/>
        <v>0</v>
      </c>
      <c r="X107" s="318">
        <f t="shared" si="177"/>
        <v>0</v>
      </c>
      <c r="Y107" s="320"/>
      <c r="Z107" s="320"/>
      <c r="AA107" s="320"/>
      <c r="AB107" s="320"/>
      <c r="AC107" s="320"/>
      <c r="AD107" s="320"/>
      <c r="AE107" s="321">
        <f t="shared" si="155"/>
        <v>0</v>
      </c>
      <c r="AF107" s="317"/>
      <c r="AG107" s="318">
        <f t="shared" si="156"/>
        <v>0</v>
      </c>
      <c r="AH107" s="318">
        <f t="shared" si="157"/>
        <v>0</v>
      </c>
      <c r="AI107" s="320"/>
      <c r="AJ107" s="320"/>
      <c r="AK107" s="320"/>
      <c r="AL107" s="320"/>
      <c r="AM107" s="320"/>
      <c r="AN107" s="320"/>
      <c r="AO107" s="321">
        <f t="shared" si="158"/>
        <v>0</v>
      </c>
      <c r="AP107" s="317"/>
      <c r="AQ107" s="318">
        <f t="shared" si="178"/>
        <v>0</v>
      </c>
      <c r="AR107" s="318">
        <f t="shared" si="179"/>
        <v>0</v>
      </c>
      <c r="AS107" s="320"/>
      <c r="AT107" s="320"/>
      <c r="AU107" s="320"/>
      <c r="AV107" s="320"/>
      <c r="AW107" s="320"/>
      <c r="AX107" s="320"/>
      <c r="AY107" s="321">
        <f t="shared" si="161"/>
        <v>0</v>
      </c>
      <c r="AZ107" s="317"/>
      <c r="BA107" s="318">
        <f t="shared" si="180"/>
        <v>0</v>
      </c>
      <c r="BB107" s="318">
        <f t="shared" si="181"/>
        <v>0</v>
      </c>
      <c r="BC107" s="320"/>
      <c r="BD107" s="320"/>
      <c r="BE107" s="320"/>
      <c r="BF107" s="320"/>
      <c r="BG107" s="320"/>
      <c r="BH107" s="320"/>
      <c r="BI107" s="321">
        <f t="shared" si="164"/>
        <v>0</v>
      </c>
      <c r="BJ107" s="323"/>
      <c r="BK107" s="318">
        <f t="shared" si="165"/>
        <v>0</v>
      </c>
      <c r="BL107" s="318">
        <f t="shared" si="166"/>
        <v>0</v>
      </c>
      <c r="BM107" s="320"/>
      <c r="BN107" s="320"/>
      <c r="BO107" s="320"/>
      <c r="BP107" s="320"/>
      <c r="BQ107" s="320"/>
      <c r="BR107" s="320"/>
      <c r="BS107" s="321">
        <f t="shared" si="167"/>
        <v>0</v>
      </c>
      <c r="BT107" s="207"/>
      <c r="BU107" s="318">
        <f t="shared" si="173"/>
        <v>0</v>
      </c>
      <c r="BV107" s="318">
        <f t="shared" si="168"/>
        <v>0</v>
      </c>
      <c r="BW107" s="208"/>
      <c r="BX107" s="208"/>
      <c r="BY107" s="208"/>
      <c r="BZ107" s="208"/>
      <c r="CA107" s="208"/>
      <c r="CB107" s="208"/>
      <c r="CC107" s="367">
        <f t="shared" si="169"/>
        <v>0</v>
      </c>
    </row>
    <row r="108" spans="1:81" s="316" customFormat="1" ht="15.95" customHeight="1">
      <c r="A108" s="327" t="s">
        <v>153</v>
      </c>
      <c r="B108" s="317"/>
      <c r="C108" s="318"/>
      <c r="D108" s="318"/>
      <c r="E108" s="320"/>
      <c r="F108" s="320"/>
      <c r="G108" s="320"/>
      <c r="H108" s="320"/>
      <c r="I108" s="320"/>
      <c r="J108" s="320"/>
      <c r="K108" s="321"/>
      <c r="L108" s="317"/>
      <c r="M108" s="318"/>
      <c r="N108" s="318"/>
      <c r="O108" s="320"/>
      <c r="P108" s="320"/>
      <c r="Q108" s="320"/>
      <c r="R108" s="320"/>
      <c r="S108" s="320"/>
      <c r="T108" s="320"/>
      <c r="U108" s="321"/>
      <c r="V108" s="317"/>
      <c r="W108" s="318"/>
      <c r="X108" s="318"/>
      <c r="Y108" s="320"/>
      <c r="Z108" s="320"/>
      <c r="AA108" s="320"/>
      <c r="AB108" s="320"/>
      <c r="AC108" s="320"/>
      <c r="AD108" s="320"/>
      <c r="AE108" s="321"/>
      <c r="AF108" s="317"/>
      <c r="AG108" s="318"/>
      <c r="AH108" s="318"/>
      <c r="AI108" s="320"/>
      <c r="AJ108" s="320"/>
      <c r="AK108" s="320"/>
      <c r="AL108" s="320"/>
      <c r="AM108" s="320"/>
      <c r="AN108" s="320"/>
      <c r="AO108" s="321"/>
      <c r="AP108" s="317"/>
      <c r="AQ108" s="318"/>
      <c r="AR108" s="318"/>
      <c r="AS108" s="320"/>
      <c r="AT108" s="320"/>
      <c r="AU108" s="320"/>
      <c r="AV108" s="320"/>
      <c r="AW108" s="320"/>
      <c r="AX108" s="320"/>
      <c r="AY108" s="321"/>
      <c r="AZ108" s="317"/>
      <c r="BA108" s="318"/>
      <c r="BB108" s="318"/>
      <c r="BC108" s="320"/>
      <c r="BD108" s="320"/>
      <c r="BE108" s="320"/>
      <c r="BF108" s="320"/>
      <c r="BG108" s="320"/>
      <c r="BH108" s="320"/>
      <c r="BI108" s="321"/>
      <c r="BJ108" s="317"/>
      <c r="BK108" s="318"/>
      <c r="BL108" s="318"/>
      <c r="BM108" s="320"/>
      <c r="BN108" s="320"/>
      <c r="BO108" s="320"/>
      <c r="BP108" s="320"/>
      <c r="BQ108" s="320"/>
      <c r="BR108" s="320"/>
      <c r="BS108" s="321"/>
      <c r="BT108" s="317"/>
      <c r="BU108" s="318"/>
      <c r="BV108" s="318"/>
      <c r="BW108" s="320"/>
      <c r="BX108" s="320"/>
      <c r="BY108" s="320"/>
      <c r="BZ108" s="320"/>
      <c r="CA108" s="320"/>
      <c r="CB108" s="320"/>
      <c r="CC108" s="321"/>
    </row>
    <row r="109" spans="1:81" s="316" customFormat="1" ht="15.95" customHeight="1">
      <c r="A109" s="328" t="s">
        <v>162</v>
      </c>
      <c r="B109" s="329">
        <f>SUM(B$82:B108)</f>
        <v>172</v>
      </c>
      <c r="C109" s="318">
        <f>SUM(C$82:C108)</f>
        <v>549666.17000000004</v>
      </c>
      <c r="D109" s="318">
        <f>IFERROR(C109/B109,0)</f>
        <v>3195.733546511628</v>
      </c>
      <c r="E109" s="330">
        <f>SUM(E$82:E108)</f>
        <v>302622.07</v>
      </c>
      <c r="F109" s="330">
        <f>SUM(F$82:F108)</f>
        <v>216244.1</v>
      </c>
      <c r="G109" s="330">
        <f>SUM(G$82:G108)</f>
        <v>0</v>
      </c>
      <c r="H109" s="330">
        <f>SUM(H$82:H108)</f>
        <v>0</v>
      </c>
      <c r="I109" s="330">
        <f>SUM(I$82:I108)</f>
        <v>30800</v>
      </c>
      <c r="J109" s="330">
        <f>SUM(J$82:J108)</f>
        <v>296010.32</v>
      </c>
      <c r="K109" s="321">
        <f>SUM(K$82:K108)</f>
        <v>227199.82</v>
      </c>
      <c r="L109" s="329">
        <f>SUM(L$82:L108)</f>
        <v>196</v>
      </c>
      <c r="M109" s="318">
        <f>SUM(M$82:M108)</f>
        <v>679992.04999999993</v>
      </c>
      <c r="N109" s="318">
        <f>IFERROR(M109/L109,0)</f>
        <v>3469.3471938775506</v>
      </c>
      <c r="O109" s="330">
        <f>SUM(O$82:O108)</f>
        <v>364997.69</v>
      </c>
      <c r="P109" s="330">
        <f>SUM(P$82:P108)</f>
        <v>272309.36</v>
      </c>
      <c r="Q109" s="330">
        <f>SUM(Q$82:Q108)</f>
        <v>0</v>
      </c>
      <c r="R109" s="330">
        <f>SUM(R$82:R108)</f>
        <v>0</v>
      </c>
      <c r="S109" s="330">
        <f>SUM(S$82:S108)</f>
        <v>42685</v>
      </c>
      <c r="T109" s="330">
        <f>SUM(T$82:T108)</f>
        <v>323031.73000000004</v>
      </c>
      <c r="U109" s="321">
        <f>SUM(U$82:U108)</f>
        <v>243249.84</v>
      </c>
      <c r="V109" s="329">
        <f>SUM(V$82:V108)</f>
        <v>213</v>
      </c>
      <c r="W109" s="318">
        <f>SUM(W$82:W108)</f>
        <v>758831</v>
      </c>
      <c r="X109" s="318">
        <f>IFERROR(W109/V109,0)</f>
        <v>3562.5868544600939</v>
      </c>
      <c r="Y109" s="330">
        <f>SUM(Y$82:Y108)</f>
        <v>417084</v>
      </c>
      <c r="Z109" s="330">
        <f>SUM(Z$82:Z108)</f>
        <v>312292</v>
      </c>
      <c r="AA109" s="330">
        <f>SUM(AA$82:AA108)</f>
        <v>0</v>
      </c>
      <c r="AB109" s="330">
        <f>SUM(AB$82:AB108)</f>
        <v>0</v>
      </c>
      <c r="AC109" s="330">
        <f>SUM(AC$82:AC108)</f>
        <v>29455</v>
      </c>
      <c r="AD109" s="330">
        <f>SUM(AD$82:AD108)</f>
        <v>361630</v>
      </c>
      <c r="AE109" s="321">
        <f>SUM(AE$82:AE108)</f>
        <v>253120</v>
      </c>
      <c r="AF109" s="329">
        <f>SUM(AF$82:AF108)</f>
        <v>242</v>
      </c>
      <c r="AG109" s="318">
        <f>SUM(AG$82:AG108)</f>
        <v>810599.28</v>
      </c>
      <c r="AH109" s="318">
        <f>IFERROR(AG109/AF109,0)</f>
        <v>3349.5838016528928</v>
      </c>
      <c r="AI109" s="330">
        <f>SUM(AI$82:AI108)</f>
        <v>496876.63</v>
      </c>
      <c r="AJ109" s="330">
        <f>SUM(AJ$82:AJ108)</f>
        <v>313722.64999999997</v>
      </c>
      <c r="AK109" s="330">
        <f>SUM(AK$82:AK108)</f>
        <v>0</v>
      </c>
      <c r="AL109" s="330">
        <f>SUM(AL$82:AL108)</f>
        <v>0</v>
      </c>
      <c r="AM109" s="330">
        <f>SUM(AM$82:AM108)</f>
        <v>0</v>
      </c>
      <c r="AN109" s="330">
        <f>SUM(AN$82:AN108)</f>
        <v>426194.23000000004</v>
      </c>
      <c r="AO109" s="321">
        <f>SUM(AO$82:AO108)</f>
        <v>312911.38</v>
      </c>
      <c r="AP109" s="329">
        <f>SUM(AP$82:AP108)</f>
        <v>256</v>
      </c>
      <c r="AQ109" s="318">
        <f>SUM(AQ$82:AQ108)</f>
        <v>804037.78</v>
      </c>
      <c r="AR109" s="318">
        <f>IFERROR(AQ109/AP109,0)</f>
        <v>3140.7725781250001</v>
      </c>
      <c r="AS109" s="330">
        <f>SUM(AS$82:AS108)</f>
        <v>537228.07999999996</v>
      </c>
      <c r="AT109" s="330">
        <f>SUM(AT$82:AT108)</f>
        <v>266809.7</v>
      </c>
      <c r="AU109" s="330">
        <f>SUM(AU$82:AU108)</f>
        <v>0</v>
      </c>
      <c r="AV109" s="330">
        <f>SUM(AV$82:AV108)</f>
        <v>0</v>
      </c>
      <c r="AW109" s="330">
        <f>SUM(AW$82:AW108)</f>
        <v>0</v>
      </c>
      <c r="AX109" s="330">
        <f>SUM(AX$82:AX108)</f>
        <v>430273.41999999993</v>
      </c>
      <c r="AY109" s="321">
        <f>SUM(AY$82:AY108)</f>
        <v>342614.79</v>
      </c>
      <c r="AZ109" s="329">
        <f>SUM(AZ$82:AZ108)</f>
        <v>199</v>
      </c>
      <c r="BA109" s="318">
        <f>SUM(BA$82:BA108)</f>
        <v>644388.67000000004</v>
      </c>
      <c r="BB109" s="318">
        <f>IFERROR(BA109/AZ109,0)</f>
        <v>3238.1340201005028</v>
      </c>
      <c r="BC109" s="330">
        <f>SUM(BC$82:BC108)</f>
        <v>467618.01</v>
      </c>
      <c r="BD109" s="330">
        <f>SUM(BD$82:BD108)</f>
        <v>176770.65999999997</v>
      </c>
      <c r="BE109" s="330">
        <f>SUM(BE$82:BE108)</f>
        <v>0</v>
      </c>
      <c r="BF109" s="330">
        <f>SUM(BF$82:BF108)</f>
        <v>0</v>
      </c>
      <c r="BG109" s="330">
        <f>SUM(BG$82:BG108)</f>
        <v>0</v>
      </c>
      <c r="BH109" s="330">
        <f>SUM(BH$82:BH108)</f>
        <v>350702.52</v>
      </c>
      <c r="BI109" s="321">
        <f>SUM(BI$82:BI108)</f>
        <v>302876.87</v>
      </c>
      <c r="BJ109" s="329">
        <f>SUM(BJ$82:BJ108)</f>
        <v>234</v>
      </c>
      <c r="BK109" s="318">
        <f>SUM(BK$82:BK108)</f>
        <v>751974.1100000001</v>
      </c>
      <c r="BL109" s="318">
        <f>IFERROR(BK109/BJ109,0)</f>
        <v>3213.5645726495732</v>
      </c>
      <c r="BM109" s="330">
        <f>SUM(BM$82:BM108)</f>
        <v>535029.59</v>
      </c>
      <c r="BN109" s="330">
        <f>SUM(BN$82:BN108)</f>
        <v>216944.52</v>
      </c>
      <c r="BO109" s="330">
        <f>SUM(BO$82:BO108)</f>
        <v>0</v>
      </c>
      <c r="BP109" s="330">
        <f>SUM(BP$82:BP108)</f>
        <v>0</v>
      </c>
      <c r="BQ109" s="330">
        <f>SUM(BQ$82:BQ108)</f>
        <v>0</v>
      </c>
      <c r="BR109" s="330">
        <f>SUM(BR$82:BR108)</f>
        <v>385959.79</v>
      </c>
      <c r="BS109" s="321">
        <f>SUM(BS$82:BS108)</f>
        <v>294186.03999999998</v>
      </c>
      <c r="BT109" s="329">
        <f>SUM(BT$82:BT108)</f>
        <v>227</v>
      </c>
      <c r="BU109" s="318">
        <f>SUM(BU$82:BU108)</f>
        <v>826934</v>
      </c>
      <c r="BV109" s="318">
        <f>IFERROR(BU109/BT109,0)</f>
        <v>3642.8810572687225</v>
      </c>
      <c r="BW109" s="330">
        <f>SUM(BW$82:BW108)</f>
        <v>568666.63</v>
      </c>
      <c r="BX109" s="330">
        <f>SUM(BX$82:BX108)</f>
        <v>258266.13999999998</v>
      </c>
      <c r="BY109" s="330">
        <f>SUM(BY$82:BY108)</f>
        <v>0</v>
      </c>
      <c r="BZ109" s="330">
        <f>SUM(BZ$82:BZ108)</f>
        <v>0</v>
      </c>
      <c r="CA109" s="330">
        <f>SUM(CA$82:CA108)</f>
        <v>0</v>
      </c>
      <c r="CB109" s="330">
        <f>SUM(CB$82:CB108)</f>
        <v>374201.03</v>
      </c>
      <c r="CC109" s="321">
        <f>SUM(CC$82:CC108)</f>
        <v>256127.03</v>
      </c>
    </row>
    <row r="110" spans="1:81" s="316" customFormat="1" ht="15.95" customHeight="1">
      <c r="A110" s="322"/>
      <c r="B110" s="317"/>
      <c r="C110" s="318"/>
      <c r="D110" s="318"/>
      <c r="E110" s="320"/>
      <c r="F110" s="320"/>
      <c r="G110" s="320"/>
      <c r="H110" s="320"/>
      <c r="I110" s="320"/>
      <c r="J110" s="320"/>
      <c r="K110" s="321"/>
      <c r="L110" s="317"/>
      <c r="M110" s="318"/>
      <c r="N110" s="318"/>
      <c r="O110" s="320"/>
      <c r="P110" s="320"/>
      <c r="Q110" s="320"/>
      <c r="R110" s="320"/>
      <c r="S110" s="320"/>
      <c r="T110" s="320"/>
      <c r="U110" s="321"/>
      <c r="V110" s="317"/>
      <c r="W110" s="318"/>
      <c r="X110" s="318"/>
      <c r="Y110" s="320"/>
      <c r="Z110" s="320"/>
      <c r="AA110" s="320"/>
      <c r="AB110" s="320"/>
      <c r="AC110" s="320"/>
      <c r="AD110" s="320"/>
      <c r="AE110" s="321"/>
      <c r="AF110" s="317"/>
      <c r="AG110" s="318"/>
      <c r="AH110" s="318"/>
      <c r="AI110" s="320"/>
      <c r="AJ110" s="320"/>
      <c r="AK110" s="320"/>
      <c r="AL110" s="320"/>
      <c r="AM110" s="320"/>
      <c r="AN110" s="320"/>
      <c r="AO110" s="321"/>
      <c r="AP110" s="317"/>
      <c r="AQ110" s="318"/>
      <c r="AR110" s="318"/>
      <c r="AS110" s="320"/>
      <c r="AT110" s="320"/>
      <c r="AU110" s="320"/>
      <c r="AV110" s="320"/>
      <c r="AW110" s="320"/>
      <c r="AX110" s="320"/>
      <c r="AY110" s="321"/>
      <c r="AZ110" s="317"/>
      <c r="BA110" s="318"/>
      <c r="BB110" s="318"/>
      <c r="BC110" s="320"/>
      <c r="BD110" s="320"/>
      <c r="BE110" s="320"/>
      <c r="BF110" s="320"/>
      <c r="BG110" s="320"/>
      <c r="BH110" s="320"/>
      <c r="BI110" s="321"/>
      <c r="BJ110" s="317"/>
      <c r="BK110" s="318"/>
      <c r="BL110" s="318"/>
      <c r="BM110" s="320"/>
      <c r="BN110" s="320"/>
      <c r="BO110" s="320"/>
      <c r="BP110" s="320"/>
      <c r="BQ110" s="320"/>
      <c r="BR110" s="320"/>
      <c r="BS110" s="321"/>
      <c r="BT110" s="317"/>
      <c r="BU110" s="318"/>
      <c r="BV110" s="318"/>
      <c r="BW110" s="320"/>
      <c r="BX110" s="320"/>
      <c r="BY110" s="320"/>
      <c r="BZ110" s="320"/>
      <c r="CA110" s="320"/>
      <c r="CB110" s="320"/>
      <c r="CC110" s="321"/>
    </row>
    <row r="111" spans="1:81" s="316" customFormat="1" ht="15.95" customHeight="1">
      <c r="A111" s="328" t="s">
        <v>198</v>
      </c>
      <c r="B111" s="329">
        <f>SUM(B109,B80)</f>
        <v>401</v>
      </c>
      <c r="C111" s="318">
        <f>SUM(C109,C80)</f>
        <v>793740.46000000008</v>
      </c>
      <c r="D111" s="318">
        <f>IFERROR(C111/B111,0)</f>
        <v>1979.4026433915215</v>
      </c>
      <c r="E111" s="330">
        <f t="shared" ref="E111:M111" si="184">SUM(E109,E80)</f>
        <v>302622.07</v>
      </c>
      <c r="F111" s="330">
        <f t="shared" si="184"/>
        <v>234943.1</v>
      </c>
      <c r="G111" s="330">
        <f t="shared" si="184"/>
        <v>169280.28999999998</v>
      </c>
      <c r="H111" s="330">
        <f t="shared" si="184"/>
        <v>56095</v>
      </c>
      <c r="I111" s="330">
        <f t="shared" si="184"/>
        <v>30800</v>
      </c>
      <c r="J111" s="330">
        <f t="shared" si="184"/>
        <v>506359.72</v>
      </c>
      <c r="K111" s="321">
        <f t="shared" si="184"/>
        <v>227199.82</v>
      </c>
      <c r="L111" s="329">
        <f t="shared" si="184"/>
        <v>392</v>
      </c>
      <c r="M111" s="318">
        <f t="shared" si="184"/>
        <v>889230.61999999988</v>
      </c>
      <c r="N111" s="318">
        <f>IFERROR(M111/L111,0)</f>
        <v>2268.4454591836729</v>
      </c>
      <c r="O111" s="330">
        <f t="shared" ref="O111:W111" si="185">SUM(O109,O80)</f>
        <v>364997.69</v>
      </c>
      <c r="P111" s="330">
        <f t="shared" si="185"/>
        <v>288132.92</v>
      </c>
      <c r="Q111" s="330">
        <f t="shared" si="185"/>
        <v>145944.35</v>
      </c>
      <c r="R111" s="330">
        <f t="shared" si="185"/>
        <v>47470.66</v>
      </c>
      <c r="S111" s="330">
        <f t="shared" si="185"/>
        <v>42685</v>
      </c>
      <c r="T111" s="330">
        <f t="shared" si="185"/>
        <v>513468.79000000004</v>
      </c>
      <c r="U111" s="321">
        <f t="shared" si="185"/>
        <v>243249.84</v>
      </c>
      <c r="V111" s="329">
        <f t="shared" si="185"/>
        <v>366</v>
      </c>
      <c r="W111" s="318">
        <f t="shared" si="185"/>
        <v>957979</v>
      </c>
      <c r="X111" s="318">
        <f>IFERROR(W111/V111,0)</f>
        <v>2617.4289617486338</v>
      </c>
      <c r="Y111" s="330">
        <f t="shared" ref="Y111:AG111" si="186">SUM(Y109,Y80)</f>
        <v>417084</v>
      </c>
      <c r="Z111" s="330">
        <f t="shared" si="186"/>
        <v>330071</v>
      </c>
      <c r="AA111" s="330">
        <f t="shared" si="186"/>
        <v>128030</v>
      </c>
      <c r="AB111" s="330">
        <f t="shared" si="186"/>
        <v>53339</v>
      </c>
      <c r="AC111" s="330">
        <f t="shared" si="186"/>
        <v>29455</v>
      </c>
      <c r="AD111" s="330">
        <f t="shared" si="186"/>
        <v>545460</v>
      </c>
      <c r="AE111" s="321">
        <f t="shared" si="186"/>
        <v>253120</v>
      </c>
      <c r="AF111" s="329">
        <f t="shared" si="186"/>
        <v>363</v>
      </c>
      <c r="AG111" s="318">
        <f t="shared" si="186"/>
        <v>965899.27</v>
      </c>
      <c r="AH111" s="318">
        <f>IFERROR(AG111/AF111,0)</f>
        <v>2660.8795316804408</v>
      </c>
      <c r="AI111" s="330">
        <f t="shared" ref="AI111:AQ111" si="187">SUM(AI109,AI80)</f>
        <v>496876.63</v>
      </c>
      <c r="AJ111" s="330">
        <f t="shared" si="187"/>
        <v>328991.64999999997</v>
      </c>
      <c r="AK111" s="330">
        <f t="shared" si="187"/>
        <v>94223.989999999991</v>
      </c>
      <c r="AL111" s="330">
        <f t="shared" si="187"/>
        <v>45807</v>
      </c>
      <c r="AM111" s="330">
        <f t="shared" si="187"/>
        <v>0</v>
      </c>
      <c r="AN111" s="330">
        <f t="shared" si="187"/>
        <v>568685.51</v>
      </c>
      <c r="AO111" s="321">
        <f t="shared" si="187"/>
        <v>312911.38</v>
      </c>
      <c r="AP111" s="329">
        <f t="shared" si="187"/>
        <v>368</v>
      </c>
      <c r="AQ111" s="318">
        <f t="shared" si="187"/>
        <v>952860.55</v>
      </c>
      <c r="AR111" s="318">
        <f>IFERROR(AQ111/AP111,0)</f>
        <v>2589.2949728260869</v>
      </c>
      <c r="AS111" s="330">
        <f t="shared" ref="AS111:BA111" si="188">SUM(AS109,AS80)</f>
        <v>537228.07999999996</v>
      </c>
      <c r="AT111" s="330">
        <f t="shared" si="188"/>
        <v>283678.25</v>
      </c>
      <c r="AU111" s="330">
        <f t="shared" si="188"/>
        <v>81348.58</v>
      </c>
      <c r="AV111" s="330">
        <f t="shared" si="188"/>
        <v>50605.64</v>
      </c>
      <c r="AW111" s="330">
        <f t="shared" si="188"/>
        <v>0</v>
      </c>
      <c r="AX111" s="330">
        <f t="shared" si="188"/>
        <v>569889.34999999986</v>
      </c>
      <c r="AY111" s="321">
        <f t="shared" si="188"/>
        <v>342614.79</v>
      </c>
      <c r="AZ111" s="329">
        <f t="shared" si="188"/>
        <v>260</v>
      </c>
      <c r="BA111" s="318">
        <f t="shared" si="188"/>
        <v>702897.09000000008</v>
      </c>
      <c r="BB111" s="318">
        <f>IFERROR(BA111/AZ111,0)</f>
        <v>2703.4503461538466</v>
      </c>
      <c r="BC111" s="330">
        <f t="shared" ref="BC111:BK111" si="189">SUM(BC109,BC80)</f>
        <v>467618.01</v>
      </c>
      <c r="BD111" s="330">
        <f t="shared" si="189"/>
        <v>176770.65999999997</v>
      </c>
      <c r="BE111" s="330">
        <f t="shared" si="189"/>
        <v>36760.92</v>
      </c>
      <c r="BF111" s="330">
        <f t="shared" si="189"/>
        <v>21747.5</v>
      </c>
      <c r="BG111" s="330">
        <f t="shared" si="189"/>
        <v>0</v>
      </c>
      <c r="BH111" s="330">
        <f t="shared" si="189"/>
        <v>400662.49</v>
      </c>
      <c r="BI111" s="321">
        <f t="shared" si="189"/>
        <v>302876.87</v>
      </c>
      <c r="BJ111" s="329">
        <f t="shared" si="189"/>
        <v>296</v>
      </c>
      <c r="BK111" s="318">
        <f t="shared" si="189"/>
        <v>833049.97000000009</v>
      </c>
      <c r="BL111" s="318">
        <f>IFERROR(BK111/BJ111,0)</f>
        <v>2814.3580067567573</v>
      </c>
      <c r="BM111" s="330">
        <f t="shared" ref="BM111:BU111" si="190">SUM(BM109,BM80)</f>
        <v>535029.59</v>
      </c>
      <c r="BN111" s="330">
        <f t="shared" si="190"/>
        <v>216944.52</v>
      </c>
      <c r="BO111" s="330">
        <f t="shared" si="190"/>
        <v>37722.11</v>
      </c>
      <c r="BP111" s="330">
        <f t="shared" si="190"/>
        <v>43353.75</v>
      </c>
      <c r="BQ111" s="330">
        <f t="shared" si="190"/>
        <v>0</v>
      </c>
      <c r="BR111" s="330">
        <f t="shared" si="190"/>
        <v>456426.89999999997</v>
      </c>
      <c r="BS111" s="321">
        <f t="shared" si="190"/>
        <v>294186.03999999998</v>
      </c>
      <c r="BT111" s="329">
        <f t="shared" si="190"/>
        <v>302</v>
      </c>
      <c r="BU111" s="318">
        <f t="shared" si="190"/>
        <v>933682</v>
      </c>
      <c r="BV111" s="318">
        <f>IFERROR(BU111/BT111,0)</f>
        <v>3091.662251655629</v>
      </c>
      <c r="BW111" s="330">
        <f t="shared" ref="BW111:CC111" si="191">SUM(BW109,BW80)</f>
        <v>568666.63</v>
      </c>
      <c r="BX111" s="330">
        <f t="shared" si="191"/>
        <v>258266.13999999998</v>
      </c>
      <c r="BY111" s="330">
        <f t="shared" si="191"/>
        <v>56198.43</v>
      </c>
      <c r="BZ111" s="330">
        <f t="shared" si="191"/>
        <v>50550</v>
      </c>
      <c r="CA111" s="330">
        <f t="shared" si="191"/>
        <v>0</v>
      </c>
      <c r="CB111" s="330">
        <f t="shared" si="191"/>
        <v>478350.96</v>
      </c>
      <c r="CC111" s="321">
        <f t="shared" si="191"/>
        <v>256127.03</v>
      </c>
    </row>
    <row r="112" spans="1:81" s="316" customFormat="1" ht="15.95" customHeight="1">
      <c r="A112" s="322"/>
      <c r="B112" s="317"/>
      <c r="C112" s="318"/>
      <c r="D112" s="318"/>
      <c r="E112" s="320"/>
      <c r="F112" s="320"/>
      <c r="G112" s="320"/>
      <c r="H112" s="320"/>
      <c r="I112" s="320"/>
      <c r="J112" s="320"/>
      <c r="K112" s="321"/>
      <c r="L112" s="317"/>
      <c r="M112" s="318"/>
      <c r="N112" s="318"/>
      <c r="O112" s="320"/>
      <c r="P112" s="320"/>
      <c r="Q112" s="320"/>
      <c r="R112" s="320"/>
      <c r="S112" s="320"/>
      <c r="T112" s="320"/>
      <c r="U112" s="321"/>
      <c r="V112" s="317"/>
      <c r="W112" s="318"/>
      <c r="X112" s="318"/>
      <c r="Y112" s="320"/>
      <c r="Z112" s="320"/>
      <c r="AA112" s="320"/>
      <c r="AB112" s="320"/>
      <c r="AC112" s="320"/>
      <c r="AD112" s="320"/>
      <c r="AE112" s="321"/>
      <c r="AF112" s="317"/>
      <c r="AG112" s="318"/>
      <c r="AH112" s="318"/>
      <c r="AI112" s="320"/>
      <c r="AJ112" s="320"/>
      <c r="AK112" s="320"/>
      <c r="AL112" s="320"/>
      <c r="AM112" s="320"/>
      <c r="AN112" s="320"/>
      <c r="AO112" s="321"/>
      <c r="AP112" s="317"/>
      <c r="AQ112" s="318"/>
      <c r="AR112" s="318"/>
      <c r="AS112" s="320"/>
      <c r="AT112" s="320"/>
      <c r="AU112" s="320"/>
      <c r="AV112" s="320"/>
      <c r="AW112" s="320"/>
      <c r="AX112" s="320"/>
      <c r="AY112" s="321"/>
      <c r="AZ112" s="317"/>
      <c r="BA112" s="318"/>
      <c r="BB112" s="318"/>
      <c r="BC112" s="320"/>
      <c r="BD112" s="320"/>
      <c r="BE112" s="320"/>
      <c r="BF112" s="320"/>
      <c r="BG112" s="320"/>
      <c r="BH112" s="320"/>
      <c r="BI112" s="321"/>
      <c r="BJ112" s="317"/>
      <c r="BK112" s="318"/>
      <c r="BL112" s="318"/>
      <c r="BM112" s="320"/>
      <c r="BN112" s="320"/>
      <c r="BO112" s="320"/>
      <c r="BP112" s="320"/>
      <c r="BQ112" s="320"/>
      <c r="BR112" s="320"/>
      <c r="BS112" s="321"/>
      <c r="BT112" s="317"/>
      <c r="BU112" s="318"/>
      <c r="BV112" s="318"/>
      <c r="BW112" s="320"/>
      <c r="BX112" s="320"/>
      <c r="BY112" s="320"/>
      <c r="BZ112" s="320"/>
      <c r="CA112" s="320"/>
      <c r="CB112" s="320"/>
      <c r="CC112" s="321"/>
    </row>
    <row r="113" spans="1:81" s="316" customFormat="1" ht="15.95" customHeight="1">
      <c r="A113" s="322" t="s">
        <v>199</v>
      </c>
      <c r="B113" s="317"/>
      <c r="C113" s="318"/>
      <c r="D113" s="318"/>
      <c r="E113" s="320"/>
      <c r="F113" s="320"/>
      <c r="G113" s="320"/>
      <c r="H113" s="320"/>
      <c r="I113" s="320"/>
      <c r="J113" s="320"/>
      <c r="K113" s="321"/>
      <c r="L113" s="317"/>
      <c r="M113" s="318"/>
      <c r="N113" s="318"/>
      <c r="O113" s="320"/>
      <c r="P113" s="320"/>
      <c r="Q113" s="320"/>
      <c r="R113" s="320"/>
      <c r="S113" s="320"/>
      <c r="T113" s="320"/>
      <c r="U113" s="321"/>
      <c r="V113" s="317"/>
      <c r="W113" s="318"/>
      <c r="X113" s="318"/>
      <c r="Y113" s="320"/>
      <c r="Z113" s="320"/>
      <c r="AA113" s="320"/>
      <c r="AB113" s="320"/>
      <c r="AC113" s="320"/>
      <c r="AD113" s="320"/>
      <c r="AE113" s="321"/>
      <c r="AF113" s="317"/>
      <c r="AG113" s="318"/>
      <c r="AH113" s="318"/>
      <c r="AI113" s="320"/>
      <c r="AJ113" s="320"/>
      <c r="AK113" s="320"/>
      <c r="AL113" s="320"/>
      <c r="AM113" s="320"/>
      <c r="AN113" s="320"/>
      <c r="AO113" s="321"/>
      <c r="AP113" s="317"/>
      <c r="AQ113" s="318"/>
      <c r="AR113" s="318"/>
      <c r="AS113" s="320"/>
      <c r="AT113" s="320"/>
      <c r="AU113" s="320"/>
      <c r="AV113" s="320"/>
      <c r="AW113" s="320"/>
      <c r="AX113" s="320"/>
      <c r="AY113" s="321"/>
      <c r="AZ113" s="317"/>
      <c r="BA113" s="318"/>
      <c r="BB113" s="318"/>
      <c r="BC113" s="320"/>
      <c r="BD113" s="320"/>
      <c r="BE113" s="320"/>
      <c r="BF113" s="320"/>
      <c r="BG113" s="320"/>
      <c r="BH113" s="320"/>
      <c r="BI113" s="321"/>
      <c r="BJ113" s="317"/>
      <c r="BK113" s="318"/>
      <c r="BL113" s="318"/>
      <c r="BM113" s="320"/>
      <c r="BN113" s="320"/>
      <c r="BO113" s="320"/>
      <c r="BP113" s="320"/>
      <c r="BQ113" s="320"/>
      <c r="BR113" s="320"/>
      <c r="BS113" s="321"/>
      <c r="BT113" s="317"/>
      <c r="BU113" s="318"/>
      <c r="BV113" s="318"/>
      <c r="BW113" s="320"/>
      <c r="BX113" s="320"/>
      <c r="BY113" s="320"/>
      <c r="BZ113" s="320"/>
      <c r="CA113" s="320"/>
      <c r="CB113" s="320"/>
      <c r="CC113" s="321"/>
    </row>
    <row r="114" spans="1:81" s="316" customFormat="1" ht="15.95" customHeight="1">
      <c r="A114" s="325" t="s">
        <v>200</v>
      </c>
      <c r="B114" s="317"/>
      <c r="C114" s="318">
        <f>SUM(E114:I114)</f>
        <v>0</v>
      </c>
      <c r="D114" s="318">
        <f>IFERROR(C114/B114,0)</f>
        <v>0</v>
      </c>
      <c r="E114" s="320"/>
      <c r="F114" s="320"/>
      <c r="G114" s="320"/>
      <c r="H114" s="320"/>
      <c r="I114" s="320"/>
      <c r="J114" s="320"/>
      <c r="K114" s="321">
        <f t="shared" ref="K114:K143" si="192">IF(J114=0,0,(IF(E114&lt;=J114,E114,J114)))</f>
        <v>0</v>
      </c>
      <c r="L114" s="317">
        <v>75</v>
      </c>
      <c r="M114" s="318">
        <f>SUM(O114:S114)</f>
        <v>46570.5</v>
      </c>
      <c r="N114" s="318">
        <f>IFERROR(M114/L114,0)</f>
        <v>620.94000000000005</v>
      </c>
      <c r="O114" s="320"/>
      <c r="P114" s="320"/>
      <c r="Q114" s="320"/>
      <c r="R114" s="320"/>
      <c r="S114" s="320">
        <v>46570.5</v>
      </c>
      <c r="T114" s="320">
        <v>42638.5</v>
      </c>
      <c r="U114" s="321">
        <f t="shared" ref="U114:U143" si="193">IF(T114=0,0,(IF(O114&lt;=T114,O114,T114)))</f>
        <v>0</v>
      </c>
      <c r="V114" s="317">
        <v>100</v>
      </c>
      <c r="W114" s="318">
        <f>SUM(Y114:AC114)</f>
        <v>87402</v>
      </c>
      <c r="X114" s="318">
        <f>IFERROR(W114/V114,0)</f>
        <v>874.02</v>
      </c>
      <c r="Y114" s="320"/>
      <c r="Z114" s="320"/>
      <c r="AA114" s="320"/>
      <c r="AB114" s="320"/>
      <c r="AC114" s="320">
        <v>87402</v>
      </c>
      <c r="AD114" s="320">
        <v>84656</v>
      </c>
      <c r="AE114" s="321">
        <f t="shared" ref="AE114:AE143" si="194">IF(AD114=0,0,(IF(Y114&lt;=AD114,Y114,AD114)))</f>
        <v>0</v>
      </c>
      <c r="AF114" s="317">
        <v>127</v>
      </c>
      <c r="AG114" s="318">
        <f>SUM(AI114:AM114)</f>
        <v>111974</v>
      </c>
      <c r="AH114" s="318">
        <f>IFERROR(AG114/AF114,0)</f>
        <v>881.6850393700787</v>
      </c>
      <c r="AI114" s="320"/>
      <c r="AJ114" s="320"/>
      <c r="AK114" s="320"/>
      <c r="AL114" s="320"/>
      <c r="AM114" s="320">
        <v>111974</v>
      </c>
      <c r="AN114" s="320">
        <v>97269</v>
      </c>
      <c r="AO114" s="321">
        <f t="shared" ref="AO114:AO143" si="195">IF(AN114=0,0,(IF(AI114&lt;=AN114,AI114,AN114)))</f>
        <v>0</v>
      </c>
      <c r="AP114" s="317">
        <v>127</v>
      </c>
      <c r="AQ114" s="318">
        <f>SUM(AS114:AW114)</f>
        <v>117708</v>
      </c>
      <c r="AR114" s="318">
        <f>IFERROR(AQ114/AP114,0)</f>
        <v>926.83464566929138</v>
      </c>
      <c r="AS114" s="320"/>
      <c r="AT114" s="320"/>
      <c r="AU114" s="320"/>
      <c r="AV114" s="320"/>
      <c r="AW114" s="320">
        <v>117708</v>
      </c>
      <c r="AX114" s="320">
        <v>107758</v>
      </c>
      <c r="AY114" s="321">
        <f t="shared" ref="AY114:AY143" si="196">IF(AX114=0,0,(IF(AS114&lt;=AX114,AS114,AX114)))</f>
        <v>0</v>
      </c>
      <c r="AZ114" s="317">
        <v>192</v>
      </c>
      <c r="BA114" s="318">
        <f>SUM(BC114:BG114)</f>
        <v>162085</v>
      </c>
      <c r="BB114" s="318">
        <f>IFERROR(BA114/AZ114,0)</f>
        <v>844.19270833333337</v>
      </c>
      <c r="BC114" s="320"/>
      <c r="BD114" s="320"/>
      <c r="BE114" s="320"/>
      <c r="BF114" s="320"/>
      <c r="BG114" s="320">
        <v>162085</v>
      </c>
      <c r="BH114" s="320">
        <v>138497.5</v>
      </c>
      <c r="BI114" s="321">
        <f t="shared" ref="BI114:BI143" si="197">IF(BH114=0,0,(IF(BC114&lt;=BH114,BC114,BH114)))</f>
        <v>0</v>
      </c>
      <c r="BJ114" s="323">
        <v>260</v>
      </c>
      <c r="BK114" s="318">
        <f t="shared" ref="BK114:BK143" si="198">SUM(BM114:BQ114)</f>
        <v>250149.5</v>
      </c>
      <c r="BL114" s="318">
        <f t="shared" ref="BL114:BL143" si="199">IFERROR(BK114/BJ114,0)</f>
        <v>962.11346153846159</v>
      </c>
      <c r="BM114" s="320"/>
      <c r="BN114" s="320"/>
      <c r="BO114" s="320"/>
      <c r="BP114" s="320"/>
      <c r="BQ114" s="320">
        <v>250149.5</v>
      </c>
      <c r="BR114" s="320">
        <v>201494.5</v>
      </c>
      <c r="BS114" s="321">
        <f t="shared" ref="BS114:BS143" si="200">IF(BR114=0,0,(IF(BM114&lt;=BR114,BM114,BR114)))</f>
        <v>0</v>
      </c>
      <c r="BT114" s="207">
        <v>230</v>
      </c>
      <c r="BU114" s="318">
        <v>223541</v>
      </c>
      <c r="BV114" s="318">
        <f t="shared" ref="BV114:BV143" si="201">IFERROR(BU114/BT114,0)</f>
        <v>971.9173913043478</v>
      </c>
      <c r="BW114" s="208"/>
      <c r="BX114" s="208"/>
      <c r="BY114" s="208"/>
      <c r="BZ114" s="208"/>
      <c r="CA114" s="208">
        <v>223540.5</v>
      </c>
      <c r="CB114" s="208">
        <v>201456.5</v>
      </c>
      <c r="CC114" s="367">
        <f t="shared" ref="CC114:CC143" si="202">IF(CB114=0,0,(IF(BW114&lt;=CB114,BW114,CB114)))</f>
        <v>0</v>
      </c>
    </row>
    <row r="115" spans="1:81" s="316" customFormat="1" ht="15.95" customHeight="1">
      <c r="A115" s="325" t="s">
        <v>201</v>
      </c>
      <c r="B115" s="317"/>
      <c r="C115" s="318">
        <f>SUM(E115:I115)</f>
        <v>0</v>
      </c>
      <c r="D115" s="318">
        <f>IFERROR(C115/B115,0)</f>
        <v>0</v>
      </c>
      <c r="E115" s="320"/>
      <c r="F115" s="320"/>
      <c r="G115" s="320"/>
      <c r="H115" s="320"/>
      <c r="I115" s="320"/>
      <c r="J115" s="320"/>
      <c r="K115" s="321">
        <f t="shared" si="192"/>
        <v>0</v>
      </c>
      <c r="L115" s="317">
        <v>4</v>
      </c>
      <c r="M115" s="318">
        <f>SUM(O115:S115)</f>
        <v>4000</v>
      </c>
      <c r="N115" s="318">
        <f>IFERROR(M115/L115,0)</f>
        <v>1000</v>
      </c>
      <c r="O115" s="320">
        <v>4000</v>
      </c>
      <c r="P115" s="320"/>
      <c r="Q115" s="320"/>
      <c r="R115" s="320"/>
      <c r="S115" s="320"/>
      <c r="T115" s="320">
        <v>4000</v>
      </c>
      <c r="U115" s="321">
        <f t="shared" si="193"/>
        <v>4000</v>
      </c>
      <c r="V115" s="317">
        <v>8</v>
      </c>
      <c r="W115" s="318">
        <f>SUM(Y115:AC115)</f>
        <v>8000</v>
      </c>
      <c r="X115" s="318">
        <f>IFERROR(W115/V115,0)</f>
        <v>1000</v>
      </c>
      <c r="Y115" s="320">
        <v>8000</v>
      </c>
      <c r="Z115" s="320"/>
      <c r="AA115" s="320"/>
      <c r="AB115" s="320"/>
      <c r="AC115" s="320"/>
      <c r="AD115" s="320">
        <v>8000</v>
      </c>
      <c r="AE115" s="321">
        <f t="shared" si="194"/>
        <v>8000</v>
      </c>
      <c r="AF115" s="317">
        <v>4</v>
      </c>
      <c r="AG115" s="318">
        <f>SUM(AI115:AM115)</f>
        <v>4000</v>
      </c>
      <c r="AH115" s="318">
        <f>IFERROR(AG115/AF115,0)</f>
        <v>1000</v>
      </c>
      <c r="AI115" s="320">
        <v>4000</v>
      </c>
      <c r="AJ115" s="320"/>
      <c r="AK115" s="320"/>
      <c r="AL115" s="320"/>
      <c r="AM115" s="320"/>
      <c r="AN115" s="320">
        <v>4000</v>
      </c>
      <c r="AO115" s="321">
        <f t="shared" si="195"/>
        <v>4000</v>
      </c>
      <c r="AP115" s="317">
        <v>8</v>
      </c>
      <c r="AQ115" s="318">
        <f>SUM(AS115:AW115)</f>
        <v>7024.75</v>
      </c>
      <c r="AR115" s="318">
        <f>IFERROR(AQ115/AP115,0)</f>
        <v>878.09375</v>
      </c>
      <c r="AS115" s="320">
        <v>7024.75</v>
      </c>
      <c r="AT115" s="320"/>
      <c r="AU115" s="320"/>
      <c r="AV115" s="320"/>
      <c r="AW115" s="320"/>
      <c r="AX115" s="320">
        <v>7024.75</v>
      </c>
      <c r="AY115" s="321">
        <f t="shared" si="196"/>
        <v>7024.75</v>
      </c>
      <c r="AZ115" s="317">
        <v>0</v>
      </c>
      <c r="BA115" s="318">
        <f>SUM(BC115:BG115)</f>
        <v>0</v>
      </c>
      <c r="BB115" s="318">
        <f>IFERROR(BA115/AZ115,0)</f>
        <v>0</v>
      </c>
      <c r="BC115" s="320">
        <v>0</v>
      </c>
      <c r="BD115" s="320"/>
      <c r="BE115" s="320"/>
      <c r="BF115" s="320"/>
      <c r="BG115" s="320"/>
      <c r="BH115" s="320">
        <v>0</v>
      </c>
      <c r="BI115" s="321">
        <f t="shared" si="197"/>
        <v>0</v>
      </c>
      <c r="BJ115" s="323">
        <v>4</v>
      </c>
      <c r="BK115" s="318">
        <f t="shared" si="198"/>
        <v>4000</v>
      </c>
      <c r="BL115" s="318">
        <f t="shared" si="199"/>
        <v>1000</v>
      </c>
      <c r="BM115" s="320">
        <v>4000</v>
      </c>
      <c r="BN115" s="320"/>
      <c r="BO115" s="320"/>
      <c r="BP115" s="320"/>
      <c r="BQ115" s="320"/>
      <c r="BR115" s="320">
        <v>4000</v>
      </c>
      <c r="BS115" s="321">
        <f t="shared" si="200"/>
        <v>4000</v>
      </c>
      <c r="BT115" s="207">
        <v>7</v>
      </c>
      <c r="BU115" s="318">
        <v>7000</v>
      </c>
      <c r="BV115" s="318">
        <f>IFERROR(BU115/BT115,0)</f>
        <v>1000</v>
      </c>
      <c r="BW115" s="208">
        <v>7000</v>
      </c>
      <c r="BX115" s="208"/>
      <c r="BY115" s="208"/>
      <c r="BZ115" s="208"/>
      <c r="CA115" s="208"/>
      <c r="CB115" s="208">
        <v>7000</v>
      </c>
      <c r="CC115" s="367">
        <f t="shared" si="202"/>
        <v>7000</v>
      </c>
    </row>
    <row r="116" spans="1:81" s="316" customFormat="1" ht="15.95" customHeight="1">
      <c r="A116" s="325" t="s">
        <v>202</v>
      </c>
      <c r="B116" s="317"/>
      <c r="C116" s="318">
        <f t="shared" ref="C116:C127" si="203">SUM(E116:I116)</f>
        <v>0</v>
      </c>
      <c r="D116" s="318">
        <f t="shared" ref="D116:D127" si="204">IFERROR(C116/B116,0)</f>
        <v>0</v>
      </c>
      <c r="E116" s="320"/>
      <c r="F116" s="320"/>
      <c r="G116" s="320"/>
      <c r="H116" s="320"/>
      <c r="I116" s="320"/>
      <c r="J116" s="320"/>
      <c r="K116" s="321">
        <f t="shared" si="192"/>
        <v>0</v>
      </c>
      <c r="L116" s="317">
        <v>11</v>
      </c>
      <c r="M116" s="318">
        <f t="shared" ref="M116:M132" si="205">SUM(O116:S116)</f>
        <v>11000</v>
      </c>
      <c r="N116" s="318">
        <f t="shared" ref="N116:N132" si="206">IFERROR(M116/L116,0)</f>
        <v>1000</v>
      </c>
      <c r="O116" s="320">
        <v>11000</v>
      </c>
      <c r="P116" s="320"/>
      <c r="Q116" s="320"/>
      <c r="R116" s="320"/>
      <c r="S116" s="320"/>
      <c r="T116" s="320">
        <v>11000</v>
      </c>
      <c r="U116" s="321">
        <f t="shared" si="193"/>
        <v>11000</v>
      </c>
      <c r="V116" s="317">
        <v>11</v>
      </c>
      <c r="W116" s="318">
        <f t="shared" ref="W116:W131" si="207">SUM(Y116:AC116)</f>
        <v>9500</v>
      </c>
      <c r="X116" s="318">
        <f t="shared" ref="X116:X131" si="208">IFERROR(W116/V116,0)</f>
        <v>863.63636363636363</v>
      </c>
      <c r="Y116" s="320">
        <v>9500</v>
      </c>
      <c r="Z116" s="320"/>
      <c r="AA116" s="320"/>
      <c r="AB116" s="320"/>
      <c r="AC116" s="320"/>
      <c r="AD116" s="320">
        <v>9500</v>
      </c>
      <c r="AE116" s="321">
        <f t="shared" si="194"/>
        <v>9500</v>
      </c>
      <c r="AF116" s="317">
        <v>8</v>
      </c>
      <c r="AG116" s="318">
        <f t="shared" ref="AG116:AG131" si="209">SUM(AI116:AM116)</f>
        <v>8000</v>
      </c>
      <c r="AH116" s="318">
        <f t="shared" ref="AH116:AH131" si="210">IFERROR(AG116/AF116,0)</f>
        <v>1000</v>
      </c>
      <c r="AI116" s="320">
        <v>8000</v>
      </c>
      <c r="AJ116" s="320"/>
      <c r="AK116" s="320"/>
      <c r="AL116" s="320"/>
      <c r="AM116" s="320"/>
      <c r="AN116" s="320">
        <v>7000</v>
      </c>
      <c r="AO116" s="321">
        <f t="shared" si="195"/>
        <v>7000</v>
      </c>
      <c r="AP116" s="317">
        <v>8</v>
      </c>
      <c r="AQ116" s="318">
        <f t="shared" ref="AQ116:AQ128" si="211">SUM(AS116:AW116)</f>
        <v>6648.5</v>
      </c>
      <c r="AR116" s="318">
        <f t="shared" ref="AR116:AR131" si="212">IFERROR(AQ116/AP116,0)</f>
        <v>831.0625</v>
      </c>
      <c r="AS116" s="320">
        <v>6648.5</v>
      </c>
      <c r="AT116" s="320"/>
      <c r="AU116" s="320"/>
      <c r="AV116" s="320"/>
      <c r="AW116" s="320"/>
      <c r="AX116" s="320">
        <v>6648.5</v>
      </c>
      <c r="AY116" s="321">
        <f t="shared" si="196"/>
        <v>6648.5</v>
      </c>
      <c r="AZ116" s="317">
        <v>9</v>
      </c>
      <c r="BA116" s="318">
        <f t="shared" ref="BA116:BA128" si="213">SUM(BC116:BG116)</f>
        <v>8210</v>
      </c>
      <c r="BB116" s="318">
        <f t="shared" ref="BB116:BB131" si="214">IFERROR(BA116/AZ116,0)</f>
        <v>912.22222222222217</v>
      </c>
      <c r="BC116" s="320">
        <v>8210</v>
      </c>
      <c r="BD116" s="320"/>
      <c r="BE116" s="320"/>
      <c r="BF116" s="320"/>
      <c r="BG116" s="320"/>
      <c r="BH116" s="320">
        <v>7210</v>
      </c>
      <c r="BI116" s="321">
        <f t="shared" si="197"/>
        <v>7210</v>
      </c>
      <c r="BJ116" s="323">
        <v>10</v>
      </c>
      <c r="BK116" s="318">
        <f t="shared" si="198"/>
        <v>9500</v>
      </c>
      <c r="BL116" s="318">
        <f t="shared" si="199"/>
        <v>950</v>
      </c>
      <c r="BM116" s="320">
        <v>9500</v>
      </c>
      <c r="BN116" s="320"/>
      <c r="BO116" s="320"/>
      <c r="BP116" s="320"/>
      <c r="BQ116" s="320"/>
      <c r="BR116" s="320">
        <v>8500</v>
      </c>
      <c r="BS116" s="321">
        <f t="shared" si="200"/>
        <v>8500</v>
      </c>
      <c r="BT116" s="207">
        <v>18</v>
      </c>
      <c r="BU116" s="318">
        <v>17000</v>
      </c>
      <c r="BV116" s="318">
        <f t="shared" si="201"/>
        <v>944.44444444444446</v>
      </c>
      <c r="BW116" s="208">
        <v>17000</v>
      </c>
      <c r="BX116" s="208"/>
      <c r="BY116" s="208"/>
      <c r="BZ116" s="208"/>
      <c r="CA116" s="208"/>
      <c r="CB116" s="208">
        <v>16000</v>
      </c>
      <c r="CC116" s="367">
        <f t="shared" si="202"/>
        <v>16000</v>
      </c>
    </row>
    <row r="117" spans="1:81" s="316" customFormat="1" ht="15.95" customHeight="1">
      <c r="A117" s="325" t="s">
        <v>203</v>
      </c>
      <c r="B117" s="317">
        <v>6</v>
      </c>
      <c r="C117" s="318">
        <f t="shared" si="203"/>
        <v>2000</v>
      </c>
      <c r="D117" s="318">
        <f t="shared" si="204"/>
        <v>333.33333333333331</v>
      </c>
      <c r="E117" s="320">
        <v>2000</v>
      </c>
      <c r="F117" s="320"/>
      <c r="G117" s="320"/>
      <c r="H117" s="320"/>
      <c r="I117" s="320"/>
      <c r="J117" s="320">
        <v>2000</v>
      </c>
      <c r="K117" s="321">
        <f t="shared" si="192"/>
        <v>2000</v>
      </c>
      <c r="L117" s="317">
        <v>3</v>
      </c>
      <c r="M117" s="318">
        <f t="shared" si="205"/>
        <v>1250</v>
      </c>
      <c r="N117" s="318">
        <f t="shared" si="206"/>
        <v>416.66666666666669</v>
      </c>
      <c r="O117" s="320">
        <v>1250</v>
      </c>
      <c r="P117" s="320"/>
      <c r="Q117" s="320"/>
      <c r="R117" s="320"/>
      <c r="S117" s="320"/>
      <c r="T117" s="320">
        <v>1250</v>
      </c>
      <c r="U117" s="321">
        <f t="shared" si="193"/>
        <v>1250</v>
      </c>
      <c r="V117" s="317">
        <v>0</v>
      </c>
      <c r="W117" s="318">
        <f t="shared" si="207"/>
        <v>0</v>
      </c>
      <c r="X117" s="318">
        <f t="shared" si="208"/>
        <v>0</v>
      </c>
      <c r="Y117" s="320"/>
      <c r="Z117" s="320"/>
      <c r="AA117" s="320"/>
      <c r="AB117" s="320"/>
      <c r="AC117" s="320"/>
      <c r="AD117" s="320">
        <v>0</v>
      </c>
      <c r="AE117" s="321">
        <f t="shared" si="194"/>
        <v>0</v>
      </c>
      <c r="AF117" s="317">
        <v>1</v>
      </c>
      <c r="AG117" s="318">
        <f t="shared" si="209"/>
        <v>250</v>
      </c>
      <c r="AH117" s="318">
        <f t="shared" si="210"/>
        <v>250</v>
      </c>
      <c r="AI117" s="320">
        <v>250</v>
      </c>
      <c r="AJ117" s="320"/>
      <c r="AK117" s="320"/>
      <c r="AL117" s="320"/>
      <c r="AM117" s="320"/>
      <c r="AN117" s="320">
        <v>250</v>
      </c>
      <c r="AO117" s="321">
        <f t="shared" si="195"/>
        <v>250</v>
      </c>
      <c r="AP117" s="317">
        <v>0</v>
      </c>
      <c r="AQ117" s="318">
        <f t="shared" si="211"/>
        <v>0</v>
      </c>
      <c r="AR117" s="318">
        <f t="shared" si="212"/>
        <v>0</v>
      </c>
      <c r="AS117" s="320">
        <v>0</v>
      </c>
      <c r="AT117" s="320"/>
      <c r="AU117" s="320"/>
      <c r="AV117" s="320"/>
      <c r="AW117" s="320"/>
      <c r="AX117" s="320">
        <v>0</v>
      </c>
      <c r="AY117" s="321">
        <f t="shared" si="196"/>
        <v>0</v>
      </c>
      <c r="AZ117" s="317">
        <v>0</v>
      </c>
      <c r="BA117" s="318">
        <f t="shared" si="213"/>
        <v>0</v>
      </c>
      <c r="BB117" s="318">
        <f t="shared" si="214"/>
        <v>0</v>
      </c>
      <c r="BC117" s="320">
        <v>0</v>
      </c>
      <c r="BD117" s="320"/>
      <c r="BE117" s="320"/>
      <c r="BF117" s="320"/>
      <c r="BG117" s="320"/>
      <c r="BH117" s="320">
        <v>0</v>
      </c>
      <c r="BI117" s="321">
        <f t="shared" si="197"/>
        <v>0</v>
      </c>
      <c r="BJ117" s="323">
        <v>0</v>
      </c>
      <c r="BK117" s="318">
        <f t="shared" si="198"/>
        <v>0</v>
      </c>
      <c r="BL117" s="318">
        <f t="shared" si="199"/>
        <v>0</v>
      </c>
      <c r="BM117" s="320">
        <v>0</v>
      </c>
      <c r="BN117" s="320"/>
      <c r="BO117" s="320"/>
      <c r="BP117" s="320"/>
      <c r="BQ117" s="320"/>
      <c r="BR117" s="320">
        <v>0</v>
      </c>
      <c r="BS117" s="321">
        <f t="shared" si="200"/>
        <v>0</v>
      </c>
      <c r="BT117" s="207">
        <v>0</v>
      </c>
      <c r="BU117" s="318">
        <v>0</v>
      </c>
      <c r="BV117" s="318">
        <f t="shared" si="201"/>
        <v>0</v>
      </c>
      <c r="BW117" s="208">
        <v>0</v>
      </c>
      <c r="BX117" s="208"/>
      <c r="BY117" s="208"/>
      <c r="BZ117" s="208"/>
      <c r="CA117" s="208"/>
      <c r="CB117" s="208">
        <v>0</v>
      </c>
      <c r="CC117" s="367">
        <f t="shared" si="202"/>
        <v>0</v>
      </c>
    </row>
    <row r="118" spans="1:81" s="316" customFormat="1" ht="15.95" customHeight="1">
      <c r="A118" s="325" t="s">
        <v>204</v>
      </c>
      <c r="B118" s="317">
        <v>29</v>
      </c>
      <c r="C118" s="318">
        <f t="shared" si="203"/>
        <v>141663</v>
      </c>
      <c r="D118" s="318">
        <f t="shared" si="204"/>
        <v>4884.9310344827591</v>
      </c>
      <c r="E118" s="320"/>
      <c r="F118" s="320"/>
      <c r="G118" s="320"/>
      <c r="H118" s="320"/>
      <c r="I118" s="320">
        <v>141663</v>
      </c>
      <c r="J118" s="320">
        <v>111579</v>
      </c>
      <c r="K118" s="321">
        <f t="shared" si="192"/>
        <v>0</v>
      </c>
      <c r="L118" s="317">
        <v>39</v>
      </c>
      <c r="M118" s="318">
        <f t="shared" si="205"/>
        <v>217165</v>
      </c>
      <c r="N118" s="318">
        <f t="shared" si="206"/>
        <v>5568.333333333333</v>
      </c>
      <c r="O118" s="320"/>
      <c r="P118" s="320"/>
      <c r="Q118" s="320"/>
      <c r="R118" s="320"/>
      <c r="S118" s="320">
        <v>217165</v>
      </c>
      <c r="T118" s="320">
        <v>184716</v>
      </c>
      <c r="U118" s="321">
        <f t="shared" si="193"/>
        <v>0</v>
      </c>
      <c r="V118" s="317">
        <v>40</v>
      </c>
      <c r="W118" s="318">
        <f t="shared" si="207"/>
        <v>248734</v>
      </c>
      <c r="X118" s="318">
        <f t="shared" si="208"/>
        <v>6218.35</v>
      </c>
      <c r="Y118" s="320"/>
      <c r="Z118" s="320"/>
      <c r="AA118" s="320"/>
      <c r="AB118" s="320"/>
      <c r="AC118" s="320">
        <v>248734</v>
      </c>
      <c r="AD118" s="320">
        <v>209917</v>
      </c>
      <c r="AE118" s="321">
        <f t="shared" si="194"/>
        <v>0</v>
      </c>
      <c r="AF118" s="317">
        <v>45</v>
      </c>
      <c r="AG118" s="318">
        <f t="shared" si="209"/>
        <v>267556.61</v>
      </c>
      <c r="AH118" s="318">
        <f t="shared" si="210"/>
        <v>5945.7024444444442</v>
      </c>
      <c r="AI118" s="320"/>
      <c r="AJ118" s="320"/>
      <c r="AK118" s="320"/>
      <c r="AL118" s="320"/>
      <c r="AM118" s="320">
        <v>267556.61</v>
      </c>
      <c r="AN118" s="320">
        <v>234086</v>
      </c>
      <c r="AO118" s="321">
        <f t="shared" si="195"/>
        <v>0</v>
      </c>
      <c r="AP118" s="317">
        <v>52</v>
      </c>
      <c r="AQ118" s="318">
        <f t="shared" si="211"/>
        <v>285878</v>
      </c>
      <c r="AR118" s="318">
        <f t="shared" si="212"/>
        <v>5497.6538461538457</v>
      </c>
      <c r="AS118" s="320"/>
      <c r="AT118" s="320"/>
      <c r="AU118" s="320"/>
      <c r="AV118" s="320"/>
      <c r="AW118" s="320">
        <v>285878</v>
      </c>
      <c r="AX118" s="320">
        <v>261684</v>
      </c>
      <c r="AY118" s="321">
        <f t="shared" si="196"/>
        <v>0</v>
      </c>
      <c r="AZ118" s="317">
        <v>29</v>
      </c>
      <c r="BA118" s="318">
        <f t="shared" si="213"/>
        <v>161246</v>
      </c>
      <c r="BB118" s="318">
        <f t="shared" si="214"/>
        <v>5560.2068965517237</v>
      </c>
      <c r="BC118" s="320"/>
      <c r="BD118" s="320"/>
      <c r="BE118" s="320"/>
      <c r="BF118" s="320"/>
      <c r="BG118" s="320">
        <v>161246</v>
      </c>
      <c r="BH118" s="320">
        <v>128157</v>
      </c>
      <c r="BI118" s="321">
        <f t="shared" si="197"/>
        <v>0</v>
      </c>
      <c r="BJ118" s="323">
        <v>19</v>
      </c>
      <c r="BK118" s="318">
        <f t="shared" si="198"/>
        <v>132660</v>
      </c>
      <c r="BL118" s="318">
        <f t="shared" si="199"/>
        <v>6982.105263157895</v>
      </c>
      <c r="BM118" s="320"/>
      <c r="BN118" s="320"/>
      <c r="BO118" s="320"/>
      <c r="BP118" s="320"/>
      <c r="BQ118" s="320">
        <v>132660</v>
      </c>
      <c r="BR118" s="320">
        <v>96401</v>
      </c>
      <c r="BS118" s="321">
        <f t="shared" si="200"/>
        <v>0</v>
      </c>
      <c r="BT118" s="207">
        <v>28</v>
      </c>
      <c r="BU118" s="318">
        <v>196136</v>
      </c>
      <c r="BV118" s="318">
        <f t="shared" si="201"/>
        <v>7004.8571428571431</v>
      </c>
      <c r="BW118" s="208"/>
      <c r="BX118" s="208"/>
      <c r="BY118" s="208"/>
      <c r="BZ118" s="208"/>
      <c r="CA118" s="208">
        <v>196136</v>
      </c>
      <c r="CB118" s="208">
        <v>153476</v>
      </c>
      <c r="CC118" s="367">
        <f t="shared" si="202"/>
        <v>0</v>
      </c>
    </row>
    <row r="119" spans="1:81" s="316" customFormat="1" ht="15.95" customHeight="1">
      <c r="A119" s="325" t="s">
        <v>205</v>
      </c>
      <c r="B119" s="317">
        <v>2</v>
      </c>
      <c r="C119" s="318">
        <f t="shared" si="203"/>
        <v>1477</v>
      </c>
      <c r="D119" s="318">
        <f t="shared" si="204"/>
        <v>738.5</v>
      </c>
      <c r="E119" s="320"/>
      <c r="F119" s="320"/>
      <c r="G119" s="320">
        <v>1477</v>
      </c>
      <c r="H119" s="320"/>
      <c r="I119" s="320"/>
      <c r="J119" s="320">
        <v>1477</v>
      </c>
      <c r="K119" s="321">
        <f t="shared" si="192"/>
        <v>0</v>
      </c>
      <c r="L119" s="317">
        <v>0</v>
      </c>
      <c r="M119" s="318">
        <f t="shared" si="205"/>
        <v>0</v>
      </c>
      <c r="N119" s="318">
        <f t="shared" si="206"/>
        <v>0</v>
      </c>
      <c r="O119" s="320"/>
      <c r="P119" s="320"/>
      <c r="Q119" s="320"/>
      <c r="R119" s="320"/>
      <c r="S119" s="320"/>
      <c r="T119" s="320">
        <v>0</v>
      </c>
      <c r="U119" s="321">
        <f t="shared" si="193"/>
        <v>0</v>
      </c>
      <c r="V119" s="317">
        <v>0</v>
      </c>
      <c r="W119" s="318">
        <f t="shared" si="207"/>
        <v>0</v>
      </c>
      <c r="X119" s="318">
        <f t="shared" si="208"/>
        <v>0</v>
      </c>
      <c r="Y119" s="320"/>
      <c r="Z119" s="320"/>
      <c r="AA119" s="320"/>
      <c r="AB119" s="320"/>
      <c r="AC119" s="320"/>
      <c r="AD119" s="320">
        <v>0</v>
      </c>
      <c r="AE119" s="321">
        <f t="shared" si="194"/>
        <v>0</v>
      </c>
      <c r="AF119" s="317">
        <v>0</v>
      </c>
      <c r="AG119" s="318">
        <f t="shared" si="209"/>
        <v>0</v>
      </c>
      <c r="AH119" s="318">
        <f t="shared" si="210"/>
        <v>0</v>
      </c>
      <c r="AI119" s="320"/>
      <c r="AJ119" s="320"/>
      <c r="AK119" s="320"/>
      <c r="AL119" s="320"/>
      <c r="AM119" s="320"/>
      <c r="AN119" s="320">
        <v>0</v>
      </c>
      <c r="AO119" s="321">
        <f t="shared" si="195"/>
        <v>0</v>
      </c>
      <c r="AP119" s="317">
        <v>0</v>
      </c>
      <c r="AQ119" s="318">
        <f t="shared" si="211"/>
        <v>0</v>
      </c>
      <c r="AR119" s="318">
        <f t="shared" si="212"/>
        <v>0</v>
      </c>
      <c r="AS119" s="320"/>
      <c r="AT119" s="320">
        <v>0</v>
      </c>
      <c r="AU119" s="320"/>
      <c r="AV119" s="320"/>
      <c r="AW119" s="320"/>
      <c r="AX119" s="320">
        <v>0</v>
      </c>
      <c r="AY119" s="321">
        <f t="shared" si="196"/>
        <v>0</v>
      </c>
      <c r="AZ119" s="317">
        <v>0</v>
      </c>
      <c r="BA119" s="318">
        <f t="shared" si="213"/>
        <v>0</v>
      </c>
      <c r="BB119" s="318">
        <f t="shared" si="214"/>
        <v>0</v>
      </c>
      <c r="BC119" s="320"/>
      <c r="BD119" s="320">
        <v>0</v>
      </c>
      <c r="BE119" s="320"/>
      <c r="BF119" s="320"/>
      <c r="BG119" s="320"/>
      <c r="BH119" s="320">
        <v>0</v>
      </c>
      <c r="BI119" s="321">
        <f t="shared" si="197"/>
        <v>0</v>
      </c>
      <c r="BJ119" s="323">
        <v>0</v>
      </c>
      <c r="BK119" s="318">
        <f t="shared" si="198"/>
        <v>0</v>
      </c>
      <c r="BL119" s="318">
        <f t="shared" si="199"/>
        <v>0</v>
      </c>
      <c r="BM119" s="320"/>
      <c r="BN119" s="320"/>
      <c r="BO119" s="320"/>
      <c r="BP119" s="320">
        <v>0</v>
      </c>
      <c r="BQ119" s="320"/>
      <c r="BR119" s="320">
        <v>0</v>
      </c>
      <c r="BS119" s="321">
        <f t="shared" si="200"/>
        <v>0</v>
      </c>
      <c r="BT119" s="207">
        <v>0</v>
      </c>
      <c r="BU119" s="318">
        <v>0</v>
      </c>
      <c r="BV119" s="318">
        <f t="shared" si="201"/>
        <v>0</v>
      </c>
      <c r="BW119" s="208"/>
      <c r="BX119" s="208"/>
      <c r="BY119" s="208"/>
      <c r="BZ119" s="208">
        <v>0</v>
      </c>
      <c r="CA119" s="208"/>
      <c r="CB119" s="208">
        <v>0</v>
      </c>
      <c r="CC119" s="367">
        <f t="shared" si="202"/>
        <v>0</v>
      </c>
    </row>
    <row r="120" spans="1:81" s="316" customFormat="1" ht="15.95" customHeight="1">
      <c r="A120" s="325" t="s">
        <v>206</v>
      </c>
      <c r="B120" s="317">
        <v>10</v>
      </c>
      <c r="C120" s="318">
        <f t="shared" si="203"/>
        <v>21086.68</v>
      </c>
      <c r="D120" s="318">
        <f t="shared" si="204"/>
        <v>2108.6680000000001</v>
      </c>
      <c r="E120" s="320"/>
      <c r="F120" s="320"/>
      <c r="G120" s="320"/>
      <c r="H120" s="320"/>
      <c r="I120" s="320">
        <v>21086.68</v>
      </c>
      <c r="J120" s="320">
        <v>21086.68</v>
      </c>
      <c r="K120" s="321">
        <f t="shared" si="192"/>
        <v>0</v>
      </c>
      <c r="L120" s="317">
        <v>10</v>
      </c>
      <c r="M120" s="318">
        <f t="shared" si="205"/>
        <v>16431.439999999999</v>
      </c>
      <c r="N120" s="318">
        <f t="shared" si="206"/>
        <v>1643.1439999999998</v>
      </c>
      <c r="O120" s="320"/>
      <c r="P120" s="320"/>
      <c r="Q120" s="320"/>
      <c r="R120" s="320"/>
      <c r="S120" s="320">
        <v>16431.439999999999</v>
      </c>
      <c r="T120" s="320">
        <v>16431.439999999999</v>
      </c>
      <c r="U120" s="321">
        <f t="shared" si="193"/>
        <v>0</v>
      </c>
      <c r="V120" s="317">
        <v>10</v>
      </c>
      <c r="W120" s="318">
        <f t="shared" si="207"/>
        <v>12371</v>
      </c>
      <c r="X120" s="318">
        <f t="shared" si="208"/>
        <v>1237.0999999999999</v>
      </c>
      <c r="Y120" s="320"/>
      <c r="Z120" s="320"/>
      <c r="AA120" s="320"/>
      <c r="AB120" s="320"/>
      <c r="AC120" s="320">
        <v>12371</v>
      </c>
      <c r="AD120" s="320">
        <v>12371</v>
      </c>
      <c r="AE120" s="321">
        <f t="shared" si="194"/>
        <v>0</v>
      </c>
      <c r="AF120" s="317">
        <v>12</v>
      </c>
      <c r="AG120" s="318">
        <f t="shared" si="209"/>
        <v>16062.66</v>
      </c>
      <c r="AH120" s="318">
        <f t="shared" si="210"/>
        <v>1338.5550000000001</v>
      </c>
      <c r="AI120" s="320"/>
      <c r="AJ120" s="320"/>
      <c r="AK120" s="320"/>
      <c r="AL120" s="320"/>
      <c r="AM120" s="320">
        <v>16062.66</v>
      </c>
      <c r="AN120" s="320">
        <v>16062.66</v>
      </c>
      <c r="AO120" s="321">
        <f t="shared" si="195"/>
        <v>0</v>
      </c>
      <c r="AP120" s="317">
        <v>6</v>
      </c>
      <c r="AQ120" s="318">
        <f t="shared" si="211"/>
        <v>7875.75</v>
      </c>
      <c r="AR120" s="318">
        <f t="shared" si="212"/>
        <v>1312.625</v>
      </c>
      <c r="AS120" s="320"/>
      <c r="AT120" s="320"/>
      <c r="AU120" s="320"/>
      <c r="AV120" s="320"/>
      <c r="AW120" s="320">
        <v>7875.75</v>
      </c>
      <c r="AX120" s="320">
        <v>6900</v>
      </c>
      <c r="AY120" s="321">
        <f t="shared" si="196"/>
        <v>0</v>
      </c>
      <c r="AZ120" s="317">
        <v>7</v>
      </c>
      <c r="BA120" s="318">
        <f t="shared" si="213"/>
        <v>6508.26</v>
      </c>
      <c r="BB120" s="318">
        <f t="shared" si="214"/>
        <v>929.75142857142862</v>
      </c>
      <c r="BC120" s="320"/>
      <c r="BD120" s="320"/>
      <c r="BE120" s="320"/>
      <c r="BF120" s="320"/>
      <c r="BG120" s="320">
        <v>6508.26</v>
      </c>
      <c r="BH120" s="320">
        <v>6252.26</v>
      </c>
      <c r="BI120" s="321">
        <f t="shared" si="197"/>
        <v>0</v>
      </c>
      <c r="BJ120" s="323">
        <v>4</v>
      </c>
      <c r="BK120" s="318">
        <f t="shared" si="198"/>
        <v>12152.71</v>
      </c>
      <c r="BL120" s="318">
        <f t="shared" si="199"/>
        <v>3038.1774999999998</v>
      </c>
      <c r="BM120" s="320"/>
      <c r="BN120" s="320"/>
      <c r="BO120" s="320"/>
      <c r="BP120" s="320"/>
      <c r="BQ120" s="320">
        <v>12152.71</v>
      </c>
      <c r="BR120" s="320">
        <v>12152.71</v>
      </c>
      <c r="BS120" s="321">
        <f t="shared" si="200"/>
        <v>0</v>
      </c>
      <c r="BT120" s="207">
        <v>6</v>
      </c>
      <c r="BU120" s="318">
        <v>12948</v>
      </c>
      <c r="BV120" s="318">
        <f t="shared" si="201"/>
        <v>2158</v>
      </c>
      <c r="BW120" s="208"/>
      <c r="BX120" s="208"/>
      <c r="BY120" s="208"/>
      <c r="BZ120" s="208"/>
      <c r="CA120" s="208">
        <v>12948</v>
      </c>
      <c r="CB120" s="208">
        <v>12948</v>
      </c>
      <c r="CC120" s="367">
        <f t="shared" si="202"/>
        <v>0</v>
      </c>
    </row>
    <row r="121" spans="1:81" s="316" customFormat="1" ht="15.95" customHeight="1">
      <c r="A121" s="325" t="s">
        <v>207</v>
      </c>
      <c r="B121" s="317">
        <v>1050</v>
      </c>
      <c r="C121" s="318">
        <f t="shared" si="203"/>
        <v>3356463</v>
      </c>
      <c r="D121" s="318">
        <f t="shared" si="204"/>
        <v>3196.6314285714284</v>
      </c>
      <c r="E121" s="320"/>
      <c r="F121" s="320"/>
      <c r="G121" s="320"/>
      <c r="H121" s="320">
        <v>3356463</v>
      </c>
      <c r="I121" s="320"/>
      <c r="J121" s="320">
        <v>2944843</v>
      </c>
      <c r="K121" s="321">
        <f t="shared" si="192"/>
        <v>0</v>
      </c>
      <c r="L121" s="317">
        <v>1038</v>
      </c>
      <c r="M121" s="318">
        <f t="shared" si="205"/>
        <v>3453953</v>
      </c>
      <c r="N121" s="318">
        <f t="shared" si="206"/>
        <v>3327.5077071290943</v>
      </c>
      <c r="O121" s="320"/>
      <c r="P121" s="320"/>
      <c r="Q121" s="320"/>
      <c r="R121" s="320">
        <v>3453953</v>
      </c>
      <c r="S121" s="320"/>
      <c r="T121" s="320">
        <v>3090660</v>
      </c>
      <c r="U121" s="321">
        <f t="shared" si="193"/>
        <v>0</v>
      </c>
      <c r="V121" s="317">
        <v>989</v>
      </c>
      <c r="W121" s="318">
        <f t="shared" si="207"/>
        <v>3216533</v>
      </c>
      <c r="X121" s="318">
        <f t="shared" si="208"/>
        <v>3252.30839231547</v>
      </c>
      <c r="Y121" s="320"/>
      <c r="Z121" s="320"/>
      <c r="AA121" s="320"/>
      <c r="AB121" s="320">
        <v>3216533</v>
      </c>
      <c r="AC121" s="320"/>
      <c r="AD121" s="320">
        <v>2906378</v>
      </c>
      <c r="AE121" s="321">
        <f t="shared" si="194"/>
        <v>0</v>
      </c>
      <c r="AF121" s="317">
        <v>959</v>
      </c>
      <c r="AG121" s="318">
        <f t="shared" si="209"/>
        <v>3159904</v>
      </c>
      <c r="AH121" s="318">
        <f t="shared" si="210"/>
        <v>3294.9989572471322</v>
      </c>
      <c r="AI121" s="320"/>
      <c r="AJ121" s="320"/>
      <c r="AK121" s="320"/>
      <c r="AL121" s="320">
        <v>3159904</v>
      </c>
      <c r="AM121" s="320"/>
      <c r="AN121" s="320">
        <v>2850262</v>
      </c>
      <c r="AO121" s="321">
        <f t="shared" si="195"/>
        <v>0</v>
      </c>
      <c r="AP121" s="317">
        <v>895</v>
      </c>
      <c r="AQ121" s="318">
        <f t="shared" si="211"/>
        <v>3147902</v>
      </c>
      <c r="AR121" s="318">
        <f t="shared" si="212"/>
        <v>3517.208938547486</v>
      </c>
      <c r="AS121" s="320"/>
      <c r="AT121" s="320"/>
      <c r="AU121" s="320"/>
      <c r="AV121" s="320">
        <v>3147902</v>
      </c>
      <c r="AW121" s="320"/>
      <c r="AX121" s="320">
        <v>2777643</v>
      </c>
      <c r="AY121" s="321">
        <f t="shared" si="196"/>
        <v>0</v>
      </c>
      <c r="AZ121" s="317">
        <v>738</v>
      </c>
      <c r="BA121" s="318">
        <f t="shared" si="213"/>
        <v>2629312</v>
      </c>
      <c r="BB121" s="318">
        <f t="shared" si="214"/>
        <v>3562.7533875338754</v>
      </c>
      <c r="BC121" s="320"/>
      <c r="BD121" s="320"/>
      <c r="BE121" s="320"/>
      <c r="BF121" s="320">
        <v>2629312</v>
      </c>
      <c r="BG121" s="320"/>
      <c r="BH121" s="320">
        <v>2324216</v>
      </c>
      <c r="BI121" s="321">
        <f t="shared" si="197"/>
        <v>0</v>
      </c>
      <c r="BJ121" s="323">
        <v>713</v>
      </c>
      <c r="BK121" s="318">
        <f t="shared" si="198"/>
        <v>2440754</v>
      </c>
      <c r="BL121" s="318">
        <f t="shared" si="199"/>
        <v>3423.217391304348</v>
      </c>
      <c r="BM121" s="320"/>
      <c r="BN121" s="320"/>
      <c r="BO121" s="320"/>
      <c r="BP121" s="320">
        <v>2440754</v>
      </c>
      <c r="BQ121" s="320"/>
      <c r="BR121" s="320">
        <v>2213352</v>
      </c>
      <c r="BS121" s="321">
        <f t="shared" si="200"/>
        <v>0</v>
      </c>
      <c r="BT121" s="207">
        <v>698</v>
      </c>
      <c r="BU121" s="318">
        <v>2480803</v>
      </c>
      <c r="BV121" s="318">
        <f t="shared" si="201"/>
        <v>3554.1590257879657</v>
      </c>
      <c r="BW121" s="208"/>
      <c r="BX121" s="208"/>
      <c r="BY121" s="208"/>
      <c r="BZ121" s="208">
        <v>2480803</v>
      </c>
      <c r="CA121" s="208"/>
      <c r="CB121" s="208">
        <v>2190072</v>
      </c>
      <c r="CC121" s="367">
        <f t="shared" si="202"/>
        <v>0</v>
      </c>
    </row>
    <row r="122" spans="1:81" s="316" customFormat="1" ht="15.95" customHeight="1">
      <c r="A122" s="325" t="s">
        <v>208</v>
      </c>
      <c r="B122" s="317">
        <v>38</v>
      </c>
      <c r="C122" s="318">
        <f t="shared" si="203"/>
        <v>221551</v>
      </c>
      <c r="D122" s="318">
        <f t="shared" si="204"/>
        <v>5830.2894736842109</v>
      </c>
      <c r="E122" s="320"/>
      <c r="F122" s="320"/>
      <c r="G122" s="320"/>
      <c r="H122" s="320">
        <v>221551</v>
      </c>
      <c r="I122" s="320"/>
      <c r="J122" s="320">
        <v>214849</v>
      </c>
      <c r="K122" s="321">
        <f t="shared" si="192"/>
        <v>0</v>
      </c>
      <c r="L122" s="317">
        <v>55</v>
      </c>
      <c r="M122" s="318">
        <f t="shared" si="205"/>
        <v>334873</v>
      </c>
      <c r="N122" s="318">
        <f t="shared" si="206"/>
        <v>6088.6</v>
      </c>
      <c r="O122" s="320"/>
      <c r="P122" s="320"/>
      <c r="Q122" s="320"/>
      <c r="R122" s="320">
        <v>334873</v>
      </c>
      <c r="S122" s="320"/>
      <c r="T122" s="320">
        <v>284717</v>
      </c>
      <c r="U122" s="321">
        <f t="shared" si="193"/>
        <v>0</v>
      </c>
      <c r="V122" s="317">
        <v>68</v>
      </c>
      <c r="W122" s="318">
        <f t="shared" si="207"/>
        <v>375521</v>
      </c>
      <c r="X122" s="318">
        <f t="shared" si="208"/>
        <v>5522.3676470588234</v>
      </c>
      <c r="Y122" s="320"/>
      <c r="Z122" s="320"/>
      <c r="AA122" s="320"/>
      <c r="AB122" s="320">
        <v>375521</v>
      </c>
      <c r="AC122" s="320"/>
      <c r="AD122" s="320">
        <v>286443</v>
      </c>
      <c r="AE122" s="321">
        <f t="shared" si="194"/>
        <v>0</v>
      </c>
      <c r="AF122" s="317">
        <v>78</v>
      </c>
      <c r="AG122" s="318">
        <f t="shared" si="209"/>
        <v>460747</v>
      </c>
      <c r="AH122" s="318">
        <f t="shared" si="210"/>
        <v>5907.0128205128203</v>
      </c>
      <c r="AI122" s="320"/>
      <c r="AJ122" s="320"/>
      <c r="AK122" s="320"/>
      <c r="AL122" s="320">
        <v>460747</v>
      </c>
      <c r="AM122" s="320"/>
      <c r="AN122" s="320">
        <v>395762</v>
      </c>
      <c r="AO122" s="321">
        <f t="shared" si="195"/>
        <v>0</v>
      </c>
      <c r="AP122" s="317">
        <v>165</v>
      </c>
      <c r="AQ122" s="318">
        <f t="shared" si="211"/>
        <v>1076758</v>
      </c>
      <c r="AR122" s="318">
        <f t="shared" si="212"/>
        <v>6525.8060606060608</v>
      </c>
      <c r="AS122" s="320"/>
      <c r="AT122" s="320"/>
      <c r="AU122" s="320"/>
      <c r="AV122" s="320">
        <v>1076758</v>
      </c>
      <c r="AW122" s="320"/>
      <c r="AX122" s="320">
        <v>963042</v>
      </c>
      <c r="AY122" s="321">
        <f t="shared" si="196"/>
        <v>0</v>
      </c>
      <c r="AZ122" s="317">
        <v>127</v>
      </c>
      <c r="BA122" s="318">
        <f t="shared" si="213"/>
        <v>758057</v>
      </c>
      <c r="BB122" s="318">
        <f t="shared" si="214"/>
        <v>5968.9527559055114</v>
      </c>
      <c r="BC122" s="320"/>
      <c r="BD122" s="320"/>
      <c r="BE122" s="320"/>
      <c r="BF122" s="320">
        <v>758057</v>
      </c>
      <c r="BG122" s="320"/>
      <c r="BH122" s="320">
        <v>684156</v>
      </c>
      <c r="BI122" s="321">
        <f t="shared" si="197"/>
        <v>0</v>
      </c>
      <c r="BJ122" s="323">
        <v>153</v>
      </c>
      <c r="BK122" s="318">
        <f t="shared" si="198"/>
        <v>992767</v>
      </c>
      <c r="BL122" s="318">
        <f t="shared" si="199"/>
        <v>6488.6732026143791</v>
      </c>
      <c r="BM122" s="320"/>
      <c r="BN122" s="320"/>
      <c r="BO122" s="320"/>
      <c r="BP122" s="320">
        <v>992767</v>
      </c>
      <c r="BQ122" s="320"/>
      <c r="BR122" s="320">
        <v>916732</v>
      </c>
      <c r="BS122" s="321">
        <f t="shared" si="200"/>
        <v>0</v>
      </c>
      <c r="BT122" s="207">
        <v>166</v>
      </c>
      <c r="BU122" s="318">
        <v>1047052</v>
      </c>
      <c r="BV122" s="318">
        <f t="shared" si="201"/>
        <v>6307.5421686746986</v>
      </c>
      <c r="BW122" s="208"/>
      <c r="BX122" s="208"/>
      <c r="BY122" s="208"/>
      <c r="BZ122" s="208">
        <v>1047052</v>
      </c>
      <c r="CA122" s="208"/>
      <c r="CB122" s="208">
        <v>927859</v>
      </c>
      <c r="CC122" s="367">
        <f t="shared" si="202"/>
        <v>0</v>
      </c>
    </row>
    <row r="123" spans="1:81" s="316" customFormat="1" ht="15.95" customHeight="1">
      <c r="A123" s="325" t="s">
        <v>209</v>
      </c>
      <c r="B123" s="317">
        <v>1</v>
      </c>
      <c r="C123" s="318">
        <f t="shared" si="203"/>
        <v>1100</v>
      </c>
      <c r="D123" s="318">
        <f t="shared" si="204"/>
        <v>1100</v>
      </c>
      <c r="E123" s="320"/>
      <c r="F123" s="320"/>
      <c r="G123" s="320">
        <v>1100</v>
      </c>
      <c r="H123" s="320"/>
      <c r="I123" s="320"/>
      <c r="J123" s="320">
        <v>1100</v>
      </c>
      <c r="K123" s="321">
        <f t="shared" si="192"/>
        <v>0</v>
      </c>
      <c r="L123" s="317">
        <v>2</v>
      </c>
      <c r="M123" s="318">
        <f t="shared" si="205"/>
        <v>3705</v>
      </c>
      <c r="N123" s="318">
        <f t="shared" si="206"/>
        <v>1852.5</v>
      </c>
      <c r="O123" s="320"/>
      <c r="P123" s="320"/>
      <c r="Q123" s="320">
        <v>3705</v>
      </c>
      <c r="R123" s="320"/>
      <c r="S123" s="320"/>
      <c r="T123" s="320">
        <v>3705</v>
      </c>
      <c r="U123" s="321">
        <f t="shared" si="193"/>
        <v>0</v>
      </c>
      <c r="V123" s="317">
        <v>3</v>
      </c>
      <c r="W123" s="318">
        <f t="shared" si="207"/>
        <v>5829</v>
      </c>
      <c r="X123" s="318">
        <f t="shared" si="208"/>
        <v>1943</v>
      </c>
      <c r="Y123" s="320"/>
      <c r="Z123" s="320"/>
      <c r="AA123" s="320">
        <v>5829</v>
      </c>
      <c r="AB123" s="320"/>
      <c r="AC123" s="320"/>
      <c r="AD123" s="320">
        <v>1488</v>
      </c>
      <c r="AE123" s="321">
        <f t="shared" si="194"/>
        <v>0</v>
      </c>
      <c r="AF123" s="317">
        <v>4</v>
      </c>
      <c r="AG123" s="318">
        <f t="shared" si="209"/>
        <v>5499.42</v>
      </c>
      <c r="AH123" s="318">
        <f t="shared" si="210"/>
        <v>1374.855</v>
      </c>
      <c r="AI123" s="320"/>
      <c r="AJ123" s="320"/>
      <c r="AK123" s="320">
        <v>5499.42</v>
      </c>
      <c r="AL123" s="320"/>
      <c r="AM123" s="320"/>
      <c r="AN123" s="320">
        <v>4769.42</v>
      </c>
      <c r="AO123" s="321">
        <f t="shared" si="195"/>
        <v>0</v>
      </c>
      <c r="AP123" s="317">
        <v>0</v>
      </c>
      <c r="AQ123" s="318">
        <f t="shared" si="211"/>
        <v>0</v>
      </c>
      <c r="AR123" s="318">
        <f t="shared" si="212"/>
        <v>0</v>
      </c>
      <c r="AS123" s="320"/>
      <c r="AT123" s="320"/>
      <c r="AU123" s="320">
        <v>0</v>
      </c>
      <c r="AV123" s="320"/>
      <c r="AW123" s="320"/>
      <c r="AX123" s="320">
        <v>0</v>
      </c>
      <c r="AY123" s="321">
        <f t="shared" si="196"/>
        <v>0</v>
      </c>
      <c r="AZ123" s="317">
        <v>0</v>
      </c>
      <c r="BA123" s="318">
        <f t="shared" si="213"/>
        <v>0</v>
      </c>
      <c r="BB123" s="318">
        <f t="shared" si="214"/>
        <v>0</v>
      </c>
      <c r="BC123" s="320"/>
      <c r="BD123" s="320"/>
      <c r="BE123" s="320">
        <v>0</v>
      </c>
      <c r="BF123" s="320"/>
      <c r="BG123" s="320"/>
      <c r="BH123" s="320">
        <v>0</v>
      </c>
      <c r="BI123" s="321">
        <f t="shared" si="197"/>
        <v>0</v>
      </c>
      <c r="BJ123" s="323">
        <v>0</v>
      </c>
      <c r="BK123" s="318">
        <f t="shared" si="198"/>
        <v>0</v>
      </c>
      <c r="BL123" s="318">
        <f t="shared" si="199"/>
        <v>0</v>
      </c>
      <c r="BM123" s="320"/>
      <c r="BN123" s="320"/>
      <c r="BO123" s="320">
        <v>0</v>
      </c>
      <c r="BP123" s="320"/>
      <c r="BQ123" s="320"/>
      <c r="BR123" s="320">
        <v>0</v>
      </c>
      <c r="BS123" s="321">
        <f t="shared" si="200"/>
        <v>0</v>
      </c>
      <c r="BT123" s="207">
        <v>10</v>
      </c>
      <c r="BU123" s="318">
        <v>11931</v>
      </c>
      <c r="BV123" s="318">
        <f t="shared" si="201"/>
        <v>1193.0999999999999</v>
      </c>
      <c r="BW123" s="208"/>
      <c r="BX123" s="208"/>
      <c r="BY123" s="208">
        <v>11931.25</v>
      </c>
      <c r="BZ123" s="208"/>
      <c r="CA123" s="208"/>
      <c r="CB123" s="208">
        <v>11673.25</v>
      </c>
      <c r="CC123" s="367">
        <f t="shared" si="202"/>
        <v>0</v>
      </c>
    </row>
    <row r="124" spans="1:81" s="316" customFormat="1" ht="15.95" customHeight="1">
      <c r="A124" s="325" t="s">
        <v>210</v>
      </c>
      <c r="B124" s="317">
        <v>837</v>
      </c>
      <c r="C124" s="318">
        <f t="shared" si="203"/>
        <v>1148808.29</v>
      </c>
      <c r="D124" s="318">
        <f t="shared" si="204"/>
        <v>1372.5308124253286</v>
      </c>
      <c r="E124" s="320"/>
      <c r="F124" s="320"/>
      <c r="G124" s="320"/>
      <c r="H124" s="320"/>
      <c r="I124" s="320">
        <v>1148808.29</v>
      </c>
      <c r="J124" s="320">
        <v>1113884.29</v>
      </c>
      <c r="K124" s="321">
        <f t="shared" si="192"/>
        <v>0</v>
      </c>
      <c r="L124" s="317">
        <v>914</v>
      </c>
      <c r="M124" s="318">
        <f t="shared" si="205"/>
        <v>1431857.1</v>
      </c>
      <c r="N124" s="318">
        <f t="shared" si="206"/>
        <v>1566.5832603938732</v>
      </c>
      <c r="O124" s="320"/>
      <c r="P124" s="320"/>
      <c r="Q124" s="320"/>
      <c r="R124" s="320"/>
      <c r="S124" s="320">
        <v>1431857.1</v>
      </c>
      <c r="T124" s="320">
        <v>1391817.6</v>
      </c>
      <c r="U124" s="321">
        <f t="shared" si="193"/>
        <v>0</v>
      </c>
      <c r="V124" s="317">
        <v>662</v>
      </c>
      <c r="W124" s="318">
        <f t="shared" si="207"/>
        <v>1797375</v>
      </c>
      <c r="X124" s="318">
        <f t="shared" si="208"/>
        <v>2715.0679758308156</v>
      </c>
      <c r="Y124" s="320"/>
      <c r="Z124" s="320"/>
      <c r="AA124" s="320"/>
      <c r="AB124" s="320"/>
      <c r="AC124" s="320">
        <v>1797375</v>
      </c>
      <c r="AD124" s="320">
        <v>1763511</v>
      </c>
      <c r="AE124" s="321">
        <f t="shared" si="194"/>
        <v>0</v>
      </c>
      <c r="AF124" s="317">
        <v>645</v>
      </c>
      <c r="AG124" s="318">
        <f t="shared" si="209"/>
        <v>1796510.53</v>
      </c>
      <c r="AH124" s="318">
        <f t="shared" si="210"/>
        <v>2785.287643410853</v>
      </c>
      <c r="AI124" s="320"/>
      <c r="AJ124" s="320"/>
      <c r="AK124" s="320"/>
      <c r="AL124" s="320"/>
      <c r="AM124" s="320">
        <v>1796510.53</v>
      </c>
      <c r="AN124" s="320">
        <v>1765444.23</v>
      </c>
      <c r="AO124" s="321">
        <f t="shared" si="195"/>
        <v>0</v>
      </c>
      <c r="AP124" s="317">
        <v>627</v>
      </c>
      <c r="AQ124" s="318">
        <f t="shared" si="211"/>
        <v>1720605.68</v>
      </c>
      <c r="AR124" s="318">
        <f t="shared" si="212"/>
        <v>2744.1876874003187</v>
      </c>
      <c r="AS124" s="320"/>
      <c r="AT124" s="320"/>
      <c r="AU124" s="320"/>
      <c r="AV124" s="320"/>
      <c r="AW124" s="320">
        <v>1720605.68</v>
      </c>
      <c r="AX124" s="320">
        <v>1674264.68</v>
      </c>
      <c r="AY124" s="321">
        <f t="shared" si="196"/>
        <v>0</v>
      </c>
      <c r="AZ124" s="317">
        <v>603</v>
      </c>
      <c r="BA124" s="318">
        <f t="shared" si="213"/>
        <v>1481741.67</v>
      </c>
      <c r="BB124" s="318">
        <f t="shared" si="214"/>
        <v>2457.2830348258703</v>
      </c>
      <c r="BC124" s="320"/>
      <c r="BD124" s="320"/>
      <c r="BE124" s="320"/>
      <c r="BF124" s="320"/>
      <c r="BG124" s="320">
        <v>1481741.67</v>
      </c>
      <c r="BH124" s="320">
        <v>1429997.67</v>
      </c>
      <c r="BI124" s="321">
        <f t="shared" si="197"/>
        <v>0</v>
      </c>
      <c r="BJ124" s="323">
        <v>634</v>
      </c>
      <c r="BK124" s="318">
        <f t="shared" si="198"/>
        <v>1519189.25</v>
      </c>
      <c r="BL124" s="318">
        <f t="shared" si="199"/>
        <v>2396.1975552050471</v>
      </c>
      <c r="BM124" s="320"/>
      <c r="BN124" s="320"/>
      <c r="BO124" s="320"/>
      <c r="BP124" s="320"/>
      <c r="BQ124" s="320">
        <v>1519189.25</v>
      </c>
      <c r="BR124" s="320">
        <v>1485895.25</v>
      </c>
      <c r="BS124" s="321">
        <f t="shared" si="200"/>
        <v>0</v>
      </c>
      <c r="BT124" s="207">
        <v>630</v>
      </c>
      <c r="BU124" s="318">
        <v>1463721</v>
      </c>
      <c r="BV124" s="318">
        <f t="shared" si="201"/>
        <v>2323.3666666666668</v>
      </c>
      <c r="BW124" s="208"/>
      <c r="BX124" s="208"/>
      <c r="BY124" s="208"/>
      <c r="BZ124" s="208"/>
      <c r="CA124" s="208">
        <v>1463720.58</v>
      </c>
      <c r="CB124" s="208">
        <v>1431656.42</v>
      </c>
      <c r="CC124" s="367">
        <f t="shared" si="202"/>
        <v>0</v>
      </c>
    </row>
    <row r="125" spans="1:81" s="316" customFormat="1" ht="15.95" customHeight="1">
      <c r="A125" s="325" t="s">
        <v>211</v>
      </c>
      <c r="B125" s="317">
        <v>0</v>
      </c>
      <c r="C125" s="318">
        <f t="shared" si="203"/>
        <v>0</v>
      </c>
      <c r="D125" s="318">
        <f t="shared" si="204"/>
        <v>0</v>
      </c>
      <c r="E125" s="320"/>
      <c r="F125" s="320">
        <v>0</v>
      </c>
      <c r="G125" s="320"/>
      <c r="H125" s="320"/>
      <c r="I125" s="320"/>
      <c r="J125" s="320">
        <v>0</v>
      </c>
      <c r="K125" s="321">
        <f t="shared" si="192"/>
        <v>0</v>
      </c>
      <c r="L125" s="317">
        <v>0</v>
      </c>
      <c r="M125" s="318">
        <f t="shared" si="205"/>
        <v>0</v>
      </c>
      <c r="N125" s="318">
        <f t="shared" si="206"/>
        <v>0</v>
      </c>
      <c r="O125" s="320"/>
      <c r="P125" s="320"/>
      <c r="Q125" s="320"/>
      <c r="R125" s="320"/>
      <c r="S125" s="320"/>
      <c r="T125" s="320">
        <v>0</v>
      </c>
      <c r="U125" s="321">
        <f t="shared" si="193"/>
        <v>0</v>
      </c>
      <c r="V125" s="317"/>
      <c r="W125" s="318">
        <f t="shared" si="207"/>
        <v>0</v>
      </c>
      <c r="X125" s="318">
        <f t="shared" si="208"/>
        <v>0</v>
      </c>
      <c r="Y125" s="320"/>
      <c r="Z125" s="320"/>
      <c r="AA125" s="320"/>
      <c r="AB125" s="320"/>
      <c r="AC125" s="320"/>
      <c r="AD125" s="320"/>
      <c r="AE125" s="321">
        <f t="shared" si="194"/>
        <v>0</v>
      </c>
      <c r="AF125" s="317">
        <v>0</v>
      </c>
      <c r="AG125" s="318">
        <f t="shared" si="209"/>
        <v>0</v>
      </c>
      <c r="AH125" s="318">
        <f t="shared" si="210"/>
        <v>0</v>
      </c>
      <c r="AI125" s="320"/>
      <c r="AJ125" s="320">
        <v>0</v>
      </c>
      <c r="AK125" s="320"/>
      <c r="AL125" s="320"/>
      <c r="AM125" s="320"/>
      <c r="AN125" s="320">
        <v>0</v>
      </c>
      <c r="AO125" s="321">
        <f t="shared" si="195"/>
        <v>0</v>
      </c>
      <c r="AP125" s="317">
        <v>0</v>
      </c>
      <c r="AQ125" s="318">
        <f t="shared" si="211"/>
        <v>0</v>
      </c>
      <c r="AR125" s="318">
        <f t="shared" si="212"/>
        <v>0</v>
      </c>
      <c r="AS125" s="320"/>
      <c r="AT125" s="320">
        <v>0</v>
      </c>
      <c r="AU125" s="320"/>
      <c r="AV125" s="320"/>
      <c r="AW125" s="320"/>
      <c r="AX125" s="320">
        <v>0</v>
      </c>
      <c r="AY125" s="321">
        <f t="shared" si="196"/>
        <v>0</v>
      </c>
      <c r="AZ125" s="317">
        <v>0</v>
      </c>
      <c r="BA125" s="318">
        <f t="shared" si="213"/>
        <v>0</v>
      </c>
      <c r="BB125" s="318">
        <f t="shared" si="214"/>
        <v>0</v>
      </c>
      <c r="BC125" s="320"/>
      <c r="BD125" s="320">
        <v>0</v>
      </c>
      <c r="BE125" s="320"/>
      <c r="BF125" s="320"/>
      <c r="BG125" s="320"/>
      <c r="BH125" s="320">
        <v>0</v>
      </c>
      <c r="BI125" s="321">
        <f t="shared" si="197"/>
        <v>0</v>
      </c>
      <c r="BJ125" s="323">
        <v>0</v>
      </c>
      <c r="BK125" s="318">
        <f t="shared" si="198"/>
        <v>0</v>
      </c>
      <c r="BL125" s="318">
        <f t="shared" si="199"/>
        <v>0</v>
      </c>
      <c r="BM125" s="320"/>
      <c r="BN125" s="320">
        <v>0</v>
      </c>
      <c r="BO125" s="320"/>
      <c r="BP125" s="320"/>
      <c r="BQ125" s="320"/>
      <c r="BR125" s="320">
        <v>0</v>
      </c>
      <c r="BS125" s="321">
        <f t="shared" si="200"/>
        <v>0</v>
      </c>
      <c r="BT125" s="207">
        <v>0</v>
      </c>
      <c r="BU125" s="318">
        <v>0</v>
      </c>
      <c r="BV125" s="318">
        <f t="shared" si="201"/>
        <v>0</v>
      </c>
      <c r="BW125" s="208"/>
      <c r="BX125" s="208">
        <v>0</v>
      </c>
      <c r="BY125" s="208"/>
      <c r="BZ125" s="208"/>
      <c r="CA125" s="208"/>
      <c r="CB125" s="208">
        <v>0</v>
      </c>
      <c r="CC125" s="367">
        <f t="shared" si="202"/>
        <v>0</v>
      </c>
    </row>
    <row r="126" spans="1:81" s="316" customFormat="1" ht="15.95" customHeight="1">
      <c r="A126" s="325" t="s">
        <v>212</v>
      </c>
      <c r="B126" s="317">
        <v>9</v>
      </c>
      <c r="C126" s="318">
        <f t="shared" si="203"/>
        <v>7029.41</v>
      </c>
      <c r="D126" s="318">
        <f t="shared" si="204"/>
        <v>781.04555555555555</v>
      </c>
      <c r="E126" s="320"/>
      <c r="F126" s="320"/>
      <c r="G126" s="320">
        <v>7029.41</v>
      </c>
      <c r="H126" s="320"/>
      <c r="I126" s="320"/>
      <c r="J126" s="320">
        <v>5329.64</v>
      </c>
      <c r="K126" s="321">
        <f t="shared" si="192"/>
        <v>0</v>
      </c>
      <c r="L126" s="317">
        <v>0</v>
      </c>
      <c r="M126" s="318">
        <f t="shared" si="205"/>
        <v>0</v>
      </c>
      <c r="N126" s="318">
        <f t="shared" si="206"/>
        <v>0</v>
      </c>
      <c r="O126" s="320"/>
      <c r="P126" s="320"/>
      <c r="Q126" s="320"/>
      <c r="R126" s="320"/>
      <c r="S126" s="320"/>
      <c r="T126" s="320">
        <v>0</v>
      </c>
      <c r="U126" s="321">
        <f t="shared" si="193"/>
        <v>0</v>
      </c>
      <c r="V126" s="317">
        <v>8</v>
      </c>
      <c r="W126" s="318">
        <f t="shared" si="207"/>
        <v>6709</v>
      </c>
      <c r="X126" s="318">
        <f t="shared" si="208"/>
        <v>838.625</v>
      </c>
      <c r="Y126" s="320"/>
      <c r="Z126" s="320"/>
      <c r="AA126" s="320">
        <v>6709</v>
      </c>
      <c r="AB126" s="320"/>
      <c r="AC126" s="320"/>
      <c r="AD126" s="320">
        <v>6168</v>
      </c>
      <c r="AE126" s="321">
        <f t="shared" si="194"/>
        <v>0</v>
      </c>
      <c r="AF126" s="317">
        <v>12</v>
      </c>
      <c r="AG126" s="318">
        <f t="shared" si="209"/>
        <v>17750.11</v>
      </c>
      <c r="AH126" s="318">
        <f t="shared" si="210"/>
        <v>1479.1758333333335</v>
      </c>
      <c r="AI126" s="320"/>
      <c r="AJ126" s="320"/>
      <c r="AK126" s="320">
        <v>17750.11</v>
      </c>
      <c r="AL126" s="320"/>
      <c r="AM126" s="320"/>
      <c r="AN126" s="320">
        <v>17750.11</v>
      </c>
      <c r="AO126" s="321">
        <f t="shared" si="195"/>
        <v>0</v>
      </c>
      <c r="AP126" s="317">
        <v>7</v>
      </c>
      <c r="AQ126" s="318">
        <f t="shared" si="211"/>
        <v>13889.85</v>
      </c>
      <c r="AR126" s="318">
        <f t="shared" si="212"/>
        <v>1984.2642857142857</v>
      </c>
      <c r="AS126" s="320"/>
      <c r="AT126" s="320"/>
      <c r="AU126" s="320">
        <v>13889.85</v>
      </c>
      <c r="AV126" s="320"/>
      <c r="AW126" s="320"/>
      <c r="AX126" s="320">
        <v>13889.85</v>
      </c>
      <c r="AY126" s="321">
        <f t="shared" si="196"/>
        <v>0</v>
      </c>
      <c r="AZ126" s="317">
        <v>9</v>
      </c>
      <c r="BA126" s="318">
        <f t="shared" si="213"/>
        <v>12249.55</v>
      </c>
      <c r="BB126" s="318">
        <f t="shared" si="214"/>
        <v>1361.0611111111111</v>
      </c>
      <c r="BC126" s="320"/>
      <c r="BD126" s="320"/>
      <c r="BE126" s="320">
        <v>12249.55</v>
      </c>
      <c r="BF126" s="320"/>
      <c r="BG126" s="320"/>
      <c r="BH126" s="320">
        <v>11442.05</v>
      </c>
      <c r="BI126" s="321">
        <f t="shared" si="197"/>
        <v>0</v>
      </c>
      <c r="BJ126" s="323">
        <v>10</v>
      </c>
      <c r="BK126" s="318">
        <f t="shared" si="198"/>
        <v>11119.77</v>
      </c>
      <c r="BL126" s="318">
        <f t="shared" si="199"/>
        <v>1111.9770000000001</v>
      </c>
      <c r="BM126" s="320"/>
      <c r="BN126" s="320"/>
      <c r="BO126" s="320">
        <v>11119.77</v>
      </c>
      <c r="BP126" s="320"/>
      <c r="BQ126" s="320"/>
      <c r="BR126" s="320">
        <v>11119.77</v>
      </c>
      <c r="BS126" s="321">
        <f t="shared" si="200"/>
        <v>0</v>
      </c>
      <c r="BT126" s="207">
        <v>6</v>
      </c>
      <c r="BU126" s="318">
        <v>9509</v>
      </c>
      <c r="BV126" s="318">
        <f t="shared" si="201"/>
        <v>1584.8333333333333</v>
      </c>
      <c r="BW126" s="208"/>
      <c r="BX126" s="208"/>
      <c r="BY126" s="208">
        <v>9509.0400000000009</v>
      </c>
      <c r="BZ126" s="208"/>
      <c r="CA126" s="208"/>
      <c r="CB126" s="208">
        <v>9509.0400000000009</v>
      </c>
      <c r="CC126" s="367">
        <f t="shared" si="202"/>
        <v>0</v>
      </c>
    </row>
    <row r="127" spans="1:81" s="316" customFormat="1" ht="15.95" customHeight="1">
      <c r="A127" s="325" t="s">
        <v>213</v>
      </c>
      <c r="B127" s="317">
        <v>3</v>
      </c>
      <c r="C127" s="318">
        <f t="shared" si="203"/>
        <v>7384.69</v>
      </c>
      <c r="D127" s="318">
        <f t="shared" si="204"/>
        <v>2461.563333333333</v>
      </c>
      <c r="E127" s="320"/>
      <c r="F127" s="320"/>
      <c r="G127" s="320">
        <v>7384.69</v>
      </c>
      <c r="H127" s="320"/>
      <c r="I127" s="320"/>
      <c r="J127" s="320">
        <v>7384.69</v>
      </c>
      <c r="K127" s="321">
        <f t="shared" si="192"/>
        <v>0</v>
      </c>
      <c r="L127" s="317">
        <v>1</v>
      </c>
      <c r="M127" s="318">
        <f t="shared" si="205"/>
        <v>1172.73</v>
      </c>
      <c r="N127" s="318">
        <f t="shared" si="206"/>
        <v>1172.73</v>
      </c>
      <c r="O127" s="320"/>
      <c r="P127" s="320"/>
      <c r="Q127" s="320">
        <v>1172.73</v>
      </c>
      <c r="R127" s="320"/>
      <c r="S127" s="320"/>
      <c r="T127" s="320">
        <v>1172.73</v>
      </c>
      <c r="U127" s="321">
        <f t="shared" si="193"/>
        <v>0</v>
      </c>
      <c r="V127" s="317">
        <v>2</v>
      </c>
      <c r="W127" s="318">
        <f t="shared" si="207"/>
        <v>3718</v>
      </c>
      <c r="X127" s="318">
        <f t="shared" si="208"/>
        <v>1859</v>
      </c>
      <c r="Y127" s="320"/>
      <c r="Z127" s="320"/>
      <c r="AA127" s="320">
        <v>3718</v>
      </c>
      <c r="AB127" s="320"/>
      <c r="AC127" s="320"/>
      <c r="AD127" s="320">
        <v>3718</v>
      </c>
      <c r="AE127" s="321">
        <f t="shared" si="194"/>
        <v>0</v>
      </c>
      <c r="AF127" s="317">
        <v>2</v>
      </c>
      <c r="AG127" s="318">
        <f t="shared" si="209"/>
        <v>2874.61</v>
      </c>
      <c r="AH127" s="318">
        <f t="shared" si="210"/>
        <v>1437.3050000000001</v>
      </c>
      <c r="AI127" s="320"/>
      <c r="AJ127" s="320"/>
      <c r="AK127" s="320">
        <v>2874.61</v>
      </c>
      <c r="AL127" s="320"/>
      <c r="AM127" s="320"/>
      <c r="AN127" s="320">
        <v>2874.61</v>
      </c>
      <c r="AO127" s="321">
        <f t="shared" si="195"/>
        <v>0</v>
      </c>
      <c r="AP127" s="317">
        <v>2</v>
      </c>
      <c r="AQ127" s="318">
        <f t="shared" si="211"/>
        <v>6348.29</v>
      </c>
      <c r="AR127" s="318">
        <f t="shared" si="212"/>
        <v>3174.145</v>
      </c>
      <c r="AS127" s="320"/>
      <c r="AT127" s="320"/>
      <c r="AU127" s="320">
        <v>6348.29</v>
      </c>
      <c r="AV127" s="320"/>
      <c r="AW127" s="320"/>
      <c r="AX127" s="320">
        <v>6348.29</v>
      </c>
      <c r="AY127" s="321">
        <f t="shared" si="196"/>
        <v>0</v>
      </c>
      <c r="AZ127" s="317">
        <v>2</v>
      </c>
      <c r="BA127" s="318">
        <f t="shared" si="213"/>
        <v>7152.93</v>
      </c>
      <c r="BB127" s="318">
        <f t="shared" si="214"/>
        <v>3576.4650000000001</v>
      </c>
      <c r="BC127" s="320"/>
      <c r="BD127" s="320"/>
      <c r="BE127" s="320">
        <v>7152.93</v>
      </c>
      <c r="BF127" s="320"/>
      <c r="BG127" s="320"/>
      <c r="BH127" s="320">
        <v>7152.93</v>
      </c>
      <c r="BI127" s="321">
        <f t="shared" si="197"/>
        <v>0</v>
      </c>
      <c r="BJ127" s="323">
        <v>2</v>
      </c>
      <c r="BK127" s="318">
        <f t="shared" si="198"/>
        <v>7375.38</v>
      </c>
      <c r="BL127" s="318">
        <f t="shared" si="199"/>
        <v>3687.69</v>
      </c>
      <c r="BM127" s="320"/>
      <c r="BN127" s="320"/>
      <c r="BO127" s="320">
        <v>7375.38</v>
      </c>
      <c r="BP127" s="320"/>
      <c r="BQ127" s="320"/>
      <c r="BR127" s="320">
        <v>7375.38</v>
      </c>
      <c r="BS127" s="321">
        <f t="shared" si="200"/>
        <v>0</v>
      </c>
      <c r="BT127" s="207">
        <v>0</v>
      </c>
      <c r="BU127" s="318">
        <v>0</v>
      </c>
      <c r="BV127" s="318">
        <f t="shared" si="201"/>
        <v>0</v>
      </c>
      <c r="BW127" s="208"/>
      <c r="BX127" s="208"/>
      <c r="BY127" s="208">
        <v>0</v>
      </c>
      <c r="BZ127" s="208"/>
      <c r="CA127" s="208"/>
      <c r="CB127" s="208">
        <v>0</v>
      </c>
      <c r="CC127" s="367">
        <f t="shared" si="202"/>
        <v>0</v>
      </c>
    </row>
    <row r="128" spans="1:81" s="316" customFormat="1" ht="15.95" customHeight="1">
      <c r="A128" s="325" t="s">
        <v>214</v>
      </c>
      <c r="B128" s="317"/>
      <c r="C128" s="318"/>
      <c r="D128" s="318"/>
      <c r="E128" s="320"/>
      <c r="F128" s="320"/>
      <c r="G128" s="320"/>
      <c r="H128" s="320"/>
      <c r="I128" s="320"/>
      <c r="J128" s="320"/>
      <c r="K128" s="321">
        <f t="shared" si="192"/>
        <v>0</v>
      </c>
      <c r="L128" s="317"/>
      <c r="M128" s="318">
        <f t="shared" si="205"/>
        <v>0</v>
      </c>
      <c r="N128" s="318">
        <f t="shared" si="206"/>
        <v>0</v>
      </c>
      <c r="O128" s="320"/>
      <c r="P128" s="320"/>
      <c r="Q128" s="320"/>
      <c r="R128" s="320"/>
      <c r="S128" s="320"/>
      <c r="T128" s="320"/>
      <c r="U128" s="321">
        <f t="shared" si="193"/>
        <v>0</v>
      </c>
      <c r="V128" s="317">
        <v>13</v>
      </c>
      <c r="W128" s="318">
        <f t="shared" si="207"/>
        <v>19525</v>
      </c>
      <c r="X128" s="318">
        <f t="shared" si="208"/>
        <v>1501.9230769230769</v>
      </c>
      <c r="Y128" s="320"/>
      <c r="Z128" s="320"/>
      <c r="AA128" s="320"/>
      <c r="AB128" s="320"/>
      <c r="AC128" s="320">
        <v>19525</v>
      </c>
      <c r="AD128" s="320">
        <v>15175</v>
      </c>
      <c r="AE128" s="321">
        <f t="shared" si="194"/>
        <v>0</v>
      </c>
      <c r="AF128" s="317">
        <v>4</v>
      </c>
      <c r="AG128" s="318">
        <f t="shared" si="209"/>
        <v>3900</v>
      </c>
      <c r="AH128" s="318">
        <f t="shared" si="210"/>
        <v>975</v>
      </c>
      <c r="AI128" s="320"/>
      <c r="AJ128" s="320"/>
      <c r="AK128" s="320"/>
      <c r="AL128" s="320"/>
      <c r="AM128" s="320">
        <v>3900</v>
      </c>
      <c r="AN128" s="320">
        <v>2300</v>
      </c>
      <c r="AO128" s="321">
        <f t="shared" si="195"/>
        <v>0</v>
      </c>
      <c r="AP128" s="317">
        <v>9</v>
      </c>
      <c r="AQ128" s="318">
        <f t="shared" si="211"/>
        <v>7706.74</v>
      </c>
      <c r="AR128" s="318">
        <f t="shared" si="212"/>
        <v>856.30444444444447</v>
      </c>
      <c r="AS128" s="320"/>
      <c r="AT128" s="320"/>
      <c r="AU128" s="320"/>
      <c r="AV128" s="320"/>
      <c r="AW128" s="320">
        <v>7706.74</v>
      </c>
      <c r="AX128" s="320">
        <v>7306.74</v>
      </c>
      <c r="AY128" s="321">
        <f t="shared" si="196"/>
        <v>0</v>
      </c>
      <c r="AZ128" s="317">
        <v>2</v>
      </c>
      <c r="BA128" s="318">
        <f t="shared" si="213"/>
        <v>945</v>
      </c>
      <c r="BB128" s="318">
        <f t="shared" si="214"/>
        <v>472.5</v>
      </c>
      <c r="BC128" s="320"/>
      <c r="BD128" s="320"/>
      <c r="BE128" s="320"/>
      <c r="BF128" s="320"/>
      <c r="BG128" s="320">
        <v>945</v>
      </c>
      <c r="BH128" s="320">
        <v>945</v>
      </c>
      <c r="BI128" s="321">
        <f t="shared" si="197"/>
        <v>0</v>
      </c>
      <c r="BJ128" s="323">
        <v>0</v>
      </c>
      <c r="BK128" s="318">
        <f t="shared" si="198"/>
        <v>0</v>
      </c>
      <c r="BL128" s="318">
        <f t="shared" si="199"/>
        <v>0</v>
      </c>
      <c r="BM128" s="320"/>
      <c r="BN128" s="320"/>
      <c r="BO128" s="320"/>
      <c r="BP128" s="320"/>
      <c r="BQ128" s="320">
        <v>0</v>
      </c>
      <c r="BR128" s="320">
        <v>0</v>
      </c>
      <c r="BS128" s="321">
        <f t="shared" si="200"/>
        <v>0</v>
      </c>
      <c r="BT128" s="207">
        <v>0</v>
      </c>
      <c r="BU128" s="318">
        <f t="shared" ref="BU128:BU143" si="215">SUM(BW128:CA128)</f>
        <v>0</v>
      </c>
      <c r="BV128" s="318">
        <f t="shared" si="201"/>
        <v>0</v>
      </c>
      <c r="BW128" s="208"/>
      <c r="BX128" s="208"/>
      <c r="BY128" s="208"/>
      <c r="BZ128" s="208"/>
      <c r="CA128" s="208">
        <v>0</v>
      </c>
      <c r="CB128" s="208">
        <v>0</v>
      </c>
      <c r="CC128" s="367">
        <f t="shared" si="202"/>
        <v>0</v>
      </c>
    </row>
    <row r="129" spans="1:81" s="316" customFormat="1" ht="15.95" customHeight="1">
      <c r="A129" s="325" t="s">
        <v>215</v>
      </c>
      <c r="B129" s="317"/>
      <c r="C129" s="318"/>
      <c r="D129" s="318"/>
      <c r="E129" s="320"/>
      <c r="F129" s="320"/>
      <c r="G129" s="320"/>
      <c r="H129" s="320"/>
      <c r="I129" s="320"/>
      <c r="J129" s="320"/>
      <c r="K129" s="321">
        <f t="shared" si="192"/>
        <v>0</v>
      </c>
      <c r="L129" s="317"/>
      <c r="M129" s="318">
        <f t="shared" si="205"/>
        <v>0</v>
      </c>
      <c r="N129" s="318">
        <f t="shared" si="206"/>
        <v>0</v>
      </c>
      <c r="O129" s="320"/>
      <c r="P129" s="320"/>
      <c r="Q129" s="320"/>
      <c r="R129" s="320"/>
      <c r="S129" s="320"/>
      <c r="T129" s="320"/>
      <c r="U129" s="321">
        <f t="shared" si="193"/>
        <v>0</v>
      </c>
      <c r="V129" s="317">
        <v>4</v>
      </c>
      <c r="W129" s="318">
        <f t="shared" si="207"/>
        <v>3791</v>
      </c>
      <c r="X129" s="318">
        <f t="shared" si="208"/>
        <v>947.75</v>
      </c>
      <c r="Y129" s="320"/>
      <c r="Z129" s="320"/>
      <c r="AA129" s="320"/>
      <c r="AB129" s="320"/>
      <c r="AC129" s="320">
        <v>3791</v>
      </c>
      <c r="AD129" s="320">
        <v>3791</v>
      </c>
      <c r="AE129" s="321">
        <f t="shared" si="194"/>
        <v>0</v>
      </c>
      <c r="AF129" s="317">
        <f>8+4</f>
        <v>12</v>
      </c>
      <c r="AG129" s="318">
        <f>SUM(AJ129:AM129)</f>
        <v>6000</v>
      </c>
      <c r="AH129" s="318">
        <f t="shared" si="210"/>
        <v>500</v>
      </c>
      <c r="AJ129" s="320">
        <v>2000</v>
      </c>
      <c r="AK129" s="320"/>
      <c r="AL129" s="320"/>
      <c r="AM129" s="320">
        <v>4000</v>
      </c>
      <c r="AN129" s="320">
        <f>4000+2000</f>
        <v>6000</v>
      </c>
      <c r="AO129" s="321">
        <f t="shared" si="195"/>
        <v>0</v>
      </c>
      <c r="AP129" s="317">
        <v>8</v>
      </c>
      <c r="AQ129" s="318">
        <f>SUM(AT129:AW129)</f>
        <v>4000</v>
      </c>
      <c r="AR129" s="318">
        <f t="shared" si="212"/>
        <v>500</v>
      </c>
      <c r="AT129" s="320"/>
      <c r="AU129" s="320"/>
      <c r="AV129" s="320"/>
      <c r="AW129" s="320">
        <v>4000</v>
      </c>
      <c r="AX129" s="320">
        <v>4000</v>
      </c>
      <c r="AY129" s="321">
        <f t="shared" si="196"/>
        <v>0</v>
      </c>
      <c r="AZ129" s="317">
        <v>0</v>
      </c>
      <c r="BA129" s="318">
        <f>SUM(BD129:BG129)</f>
        <v>0</v>
      </c>
      <c r="BB129" s="318">
        <f t="shared" si="214"/>
        <v>0</v>
      </c>
      <c r="BC129" s="320"/>
      <c r="BD129" s="320"/>
      <c r="BE129" s="320"/>
      <c r="BF129" s="320"/>
      <c r="BG129" s="320">
        <v>0</v>
      </c>
      <c r="BH129" s="320">
        <v>0</v>
      </c>
      <c r="BI129" s="321">
        <f t="shared" si="197"/>
        <v>0</v>
      </c>
      <c r="BJ129" s="323">
        <v>7</v>
      </c>
      <c r="BK129" s="318">
        <f>SUM(BN129:BQ129)</f>
        <v>5100</v>
      </c>
      <c r="BL129" s="318">
        <f t="shared" si="199"/>
        <v>728.57142857142856</v>
      </c>
      <c r="BN129" s="320">
        <v>3000</v>
      </c>
      <c r="BO129" s="320"/>
      <c r="BP129" s="320"/>
      <c r="BQ129" s="320">
        <v>2100</v>
      </c>
      <c r="BR129" s="320">
        <v>4300</v>
      </c>
      <c r="BS129" s="321">
        <f>IF(BR129=0,0,(IF(BQ129&lt;=BR129,BQ129,BR129)))</f>
        <v>2100</v>
      </c>
      <c r="BT129" s="207">
        <v>0</v>
      </c>
      <c r="BU129" s="318">
        <f t="shared" si="215"/>
        <v>0</v>
      </c>
      <c r="BV129" s="318">
        <f t="shared" si="201"/>
        <v>0</v>
      </c>
      <c r="BW129" s="208"/>
      <c r="BX129" s="208">
        <v>0</v>
      </c>
      <c r="BY129" s="208"/>
      <c r="BZ129" s="208"/>
      <c r="CA129" s="208"/>
      <c r="CB129" s="208">
        <v>0</v>
      </c>
      <c r="CC129" s="367">
        <f t="shared" si="202"/>
        <v>0</v>
      </c>
    </row>
    <row r="130" spans="1:81" s="316" customFormat="1" ht="15.95" customHeight="1">
      <c r="A130" s="325" t="s">
        <v>216</v>
      </c>
      <c r="B130" s="317"/>
      <c r="C130" s="318"/>
      <c r="D130" s="318"/>
      <c r="E130" s="320"/>
      <c r="F130" s="320"/>
      <c r="G130" s="320"/>
      <c r="H130" s="320"/>
      <c r="I130" s="320"/>
      <c r="J130" s="320"/>
      <c r="K130" s="321">
        <f t="shared" si="192"/>
        <v>0</v>
      </c>
      <c r="L130" s="317"/>
      <c r="M130" s="318">
        <f t="shared" si="205"/>
        <v>0</v>
      </c>
      <c r="N130" s="318">
        <f t="shared" si="206"/>
        <v>0</v>
      </c>
      <c r="O130" s="320"/>
      <c r="P130" s="320"/>
      <c r="Q130" s="320"/>
      <c r="R130" s="320"/>
      <c r="S130" s="320"/>
      <c r="T130" s="320"/>
      <c r="U130" s="321">
        <f t="shared" si="193"/>
        <v>0</v>
      </c>
      <c r="V130" s="317">
        <v>1592</v>
      </c>
      <c r="W130" s="318">
        <f t="shared" si="207"/>
        <v>493811</v>
      </c>
      <c r="X130" s="318">
        <f t="shared" si="208"/>
        <v>310.1827889447236</v>
      </c>
      <c r="Y130" s="320"/>
      <c r="Z130" s="320"/>
      <c r="AA130" s="320"/>
      <c r="AB130" s="320"/>
      <c r="AC130" s="320">
        <v>493811</v>
      </c>
      <c r="AD130" s="320">
        <v>474973</v>
      </c>
      <c r="AE130" s="321">
        <f t="shared" si="194"/>
        <v>0</v>
      </c>
      <c r="AF130" s="317">
        <v>1623</v>
      </c>
      <c r="AG130" s="318">
        <f t="shared" si="209"/>
        <v>565680.93999999994</v>
      </c>
      <c r="AH130" s="318">
        <f t="shared" si="210"/>
        <v>348.54032039433145</v>
      </c>
      <c r="AI130" s="320"/>
      <c r="AJ130" s="320"/>
      <c r="AK130" s="320"/>
      <c r="AL130" s="320"/>
      <c r="AM130" s="320">
        <v>565680.93999999994</v>
      </c>
      <c r="AN130" s="320">
        <v>489739.13</v>
      </c>
      <c r="AO130" s="321">
        <f t="shared" si="195"/>
        <v>0</v>
      </c>
      <c r="AP130" s="317">
        <v>1424</v>
      </c>
      <c r="AQ130" s="318">
        <f t="shared" ref="AQ130:AQ131" si="216">SUM(AS130:AW130)</f>
        <v>526412.64</v>
      </c>
      <c r="AR130" s="318">
        <f t="shared" si="212"/>
        <v>369.67179775280897</v>
      </c>
      <c r="AS130" s="320"/>
      <c r="AT130" s="320"/>
      <c r="AU130" s="320"/>
      <c r="AV130" s="320"/>
      <c r="AW130" s="320">
        <v>526412.64</v>
      </c>
      <c r="AX130" s="320">
        <v>489344</v>
      </c>
      <c r="AY130" s="321">
        <f t="shared" si="196"/>
        <v>0</v>
      </c>
      <c r="AZ130" s="317">
        <v>1380</v>
      </c>
      <c r="BA130" s="318">
        <f t="shared" ref="BA130:BA131" si="217">SUM(BC130:BG130)</f>
        <v>572368.56999999995</v>
      </c>
      <c r="BB130" s="318">
        <f t="shared" si="214"/>
        <v>414.75983333333329</v>
      </c>
      <c r="BC130" s="320"/>
      <c r="BD130" s="320"/>
      <c r="BE130" s="320"/>
      <c r="BF130" s="320"/>
      <c r="BG130" s="320">
        <v>572368.56999999995</v>
      </c>
      <c r="BH130" s="320">
        <v>539039.01</v>
      </c>
      <c r="BI130" s="321">
        <f t="shared" si="197"/>
        <v>0</v>
      </c>
      <c r="BJ130" s="323">
        <v>1495</v>
      </c>
      <c r="BK130" s="318">
        <f t="shared" si="198"/>
        <v>612239.41</v>
      </c>
      <c r="BL130" s="318">
        <f t="shared" si="199"/>
        <v>409.52468896321074</v>
      </c>
      <c r="BM130" s="320"/>
      <c r="BN130" s="320"/>
      <c r="BO130" s="320"/>
      <c r="BP130" s="320"/>
      <c r="BQ130" s="320">
        <v>612239.41</v>
      </c>
      <c r="BR130" s="320">
        <v>569153.13</v>
      </c>
      <c r="BS130" s="321">
        <f t="shared" si="200"/>
        <v>0</v>
      </c>
      <c r="BT130" s="207">
        <v>1570</v>
      </c>
      <c r="BU130" s="318">
        <v>773718</v>
      </c>
      <c r="BV130" s="318">
        <f t="shared" si="201"/>
        <v>492.81401273885348</v>
      </c>
      <c r="BW130" s="208"/>
      <c r="BX130" s="208"/>
      <c r="BY130" s="208"/>
      <c r="BZ130" s="208"/>
      <c r="CA130" s="208">
        <v>773718.41</v>
      </c>
      <c r="CB130" s="208">
        <v>716454.75</v>
      </c>
      <c r="CC130" s="367">
        <f t="shared" si="202"/>
        <v>0</v>
      </c>
    </row>
    <row r="131" spans="1:81" s="316" customFormat="1" ht="15.95" customHeight="1">
      <c r="A131" s="325" t="s">
        <v>217</v>
      </c>
      <c r="B131" s="317"/>
      <c r="C131" s="318"/>
      <c r="D131" s="318"/>
      <c r="E131" s="320"/>
      <c r="F131" s="320"/>
      <c r="G131" s="320"/>
      <c r="H131" s="320"/>
      <c r="I131" s="320"/>
      <c r="J131" s="320"/>
      <c r="K131" s="321">
        <f t="shared" si="192"/>
        <v>0</v>
      </c>
      <c r="L131" s="317"/>
      <c r="M131" s="318">
        <f t="shared" si="205"/>
        <v>0</v>
      </c>
      <c r="N131" s="318">
        <f t="shared" si="206"/>
        <v>0</v>
      </c>
      <c r="O131" s="320"/>
      <c r="P131" s="320"/>
      <c r="Q131" s="320"/>
      <c r="R131" s="320"/>
      <c r="S131" s="320"/>
      <c r="T131" s="320"/>
      <c r="U131" s="321">
        <f t="shared" si="193"/>
        <v>0</v>
      </c>
      <c r="V131" s="317">
        <v>2</v>
      </c>
      <c r="W131" s="318">
        <f t="shared" si="207"/>
        <v>500</v>
      </c>
      <c r="X131" s="318">
        <f t="shared" si="208"/>
        <v>250</v>
      </c>
      <c r="Y131" s="320">
        <v>500</v>
      </c>
      <c r="Z131" s="320"/>
      <c r="AA131" s="320"/>
      <c r="AB131" s="320"/>
      <c r="AC131" s="320"/>
      <c r="AD131" s="320">
        <v>250</v>
      </c>
      <c r="AE131" s="321">
        <f t="shared" si="194"/>
        <v>250</v>
      </c>
      <c r="AF131" s="317">
        <v>0</v>
      </c>
      <c r="AG131" s="318">
        <f t="shared" si="209"/>
        <v>0</v>
      </c>
      <c r="AH131" s="318">
        <f t="shared" si="210"/>
        <v>0</v>
      </c>
      <c r="AI131" s="320">
        <v>0</v>
      </c>
      <c r="AJ131" s="320"/>
      <c r="AK131" s="320"/>
      <c r="AL131" s="320"/>
      <c r="AM131" s="320"/>
      <c r="AN131" s="320">
        <v>0</v>
      </c>
      <c r="AO131" s="321">
        <f t="shared" si="195"/>
        <v>0</v>
      </c>
      <c r="AP131" s="317">
        <v>0</v>
      </c>
      <c r="AQ131" s="318">
        <f t="shared" si="216"/>
        <v>0</v>
      </c>
      <c r="AR131" s="318">
        <f t="shared" si="212"/>
        <v>0</v>
      </c>
      <c r="AS131" s="320">
        <v>0</v>
      </c>
      <c r="AT131" s="320"/>
      <c r="AU131" s="320"/>
      <c r="AV131" s="320"/>
      <c r="AW131" s="320"/>
      <c r="AX131" s="320">
        <v>0</v>
      </c>
      <c r="AY131" s="321">
        <f t="shared" si="196"/>
        <v>0</v>
      </c>
      <c r="AZ131" s="317">
        <v>0</v>
      </c>
      <c r="BA131" s="318">
        <f t="shared" si="217"/>
        <v>0</v>
      </c>
      <c r="BB131" s="318">
        <f t="shared" si="214"/>
        <v>0</v>
      </c>
      <c r="BC131" s="320">
        <v>0</v>
      </c>
      <c r="BD131" s="320"/>
      <c r="BE131" s="320"/>
      <c r="BF131" s="320"/>
      <c r="BG131" s="320"/>
      <c r="BH131" s="320">
        <v>0</v>
      </c>
      <c r="BI131" s="321">
        <f t="shared" si="197"/>
        <v>0</v>
      </c>
      <c r="BJ131" s="323">
        <v>0</v>
      </c>
      <c r="BK131" s="318">
        <f t="shared" si="198"/>
        <v>0</v>
      </c>
      <c r="BL131" s="318">
        <f t="shared" si="199"/>
        <v>0</v>
      </c>
      <c r="BM131" s="320">
        <v>0</v>
      </c>
      <c r="BN131" s="320"/>
      <c r="BO131" s="320"/>
      <c r="BP131" s="320"/>
      <c r="BQ131" s="320"/>
      <c r="BR131" s="320">
        <v>0</v>
      </c>
      <c r="BS131" s="321">
        <f t="shared" si="200"/>
        <v>0</v>
      </c>
      <c r="BT131" s="207">
        <v>1</v>
      </c>
      <c r="BU131" s="318">
        <v>756</v>
      </c>
      <c r="BV131" s="318">
        <f t="shared" si="201"/>
        <v>756</v>
      </c>
      <c r="BW131" s="208">
        <v>756</v>
      </c>
      <c r="BX131" s="208"/>
      <c r="BY131" s="208"/>
      <c r="BZ131" s="208"/>
      <c r="CA131" s="208"/>
      <c r="CB131" s="208">
        <v>756</v>
      </c>
      <c r="CC131" s="367">
        <f t="shared" si="202"/>
        <v>756</v>
      </c>
    </row>
    <row r="132" spans="1:81" s="316" customFormat="1" ht="15.95" customHeight="1">
      <c r="A132" s="325" t="s">
        <v>218</v>
      </c>
      <c r="B132" s="317"/>
      <c r="C132" s="318"/>
      <c r="D132" s="318"/>
      <c r="E132" s="320"/>
      <c r="F132" s="320"/>
      <c r="G132" s="320"/>
      <c r="H132" s="320"/>
      <c r="I132" s="320"/>
      <c r="J132" s="320"/>
      <c r="K132" s="321">
        <f t="shared" si="192"/>
        <v>0</v>
      </c>
      <c r="L132" s="317"/>
      <c r="M132" s="318">
        <f t="shared" si="205"/>
        <v>0</v>
      </c>
      <c r="N132" s="318">
        <f t="shared" si="206"/>
        <v>0</v>
      </c>
      <c r="O132" s="320"/>
      <c r="P132" s="320"/>
      <c r="Q132" s="320"/>
      <c r="R132" s="320"/>
      <c r="S132" s="320"/>
      <c r="T132" s="320"/>
      <c r="U132" s="321">
        <f t="shared" si="193"/>
        <v>0</v>
      </c>
      <c r="V132" s="317">
        <v>3</v>
      </c>
      <c r="W132" s="318">
        <f>SUM(Y132:AC132)</f>
        <v>400</v>
      </c>
      <c r="X132" s="318">
        <f>IFERROR(W132/V132,0)</f>
        <v>133.33333333333334</v>
      </c>
      <c r="Y132" s="320">
        <v>400</v>
      </c>
      <c r="Z132" s="320"/>
      <c r="AA132" s="320"/>
      <c r="AB132" s="320"/>
      <c r="AC132" s="320"/>
      <c r="AD132" s="320">
        <v>300</v>
      </c>
      <c r="AE132" s="321">
        <f t="shared" si="194"/>
        <v>300</v>
      </c>
      <c r="AF132" s="317">
        <v>0</v>
      </c>
      <c r="AG132" s="318">
        <f>SUM(AI132:AM132)</f>
        <v>0</v>
      </c>
      <c r="AH132" s="318">
        <f>IFERROR(AG132/AF132,0)</f>
        <v>0</v>
      </c>
      <c r="AI132" s="320">
        <v>0</v>
      </c>
      <c r="AJ132" s="320"/>
      <c r="AK132" s="320"/>
      <c r="AL132" s="320"/>
      <c r="AM132" s="320"/>
      <c r="AN132" s="320">
        <v>0</v>
      </c>
      <c r="AO132" s="321">
        <f t="shared" si="195"/>
        <v>0</v>
      </c>
      <c r="AP132" s="317">
        <v>0</v>
      </c>
      <c r="AQ132" s="318">
        <f>SUM(AS132:AW132)</f>
        <v>0</v>
      </c>
      <c r="AR132" s="318">
        <f>IFERROR(AQ132/AP132,0)</f>
        <v>0</v>
      </c>
      <c r="AS132" s="320">
        <v>0</v>
      </c>
      <c r="AT132" s="320"/>
      <c r="AU132" s="320"/>
      <c r="AV132" s="320"/>
      <c r="AW132" s="320"/>
      <c r="AX132" s="320">
        <v>0</v>
      </c>
      <c r="AY132" s="321">
        <f t="shared" si="196"/>
        <v>0</v>
      </c>
      <c r="AZ132" s="317">
        <v>0</v>
      </c>
      <c r="BA132" s="318">
        <f>SUM(BC132:BG132)</f>
        <v>0</v>
      </c>
      <c r="BB132" s="318">
        <f>IFERROR(BA132/AZ132,0)</f>
        <v>0</v>
      </c>
      <c r="BC132" s="320">
        <v>0</v>
      </c>
      <c r="BD132" s="320"/>
      <c r="BE132" s="320"/>
      <c r="BF132" s="320"/>
      <c r="BG132" s="320"/>
      <c r="BH132" s="320">
        <v>0</v>
      </c>
      <c r="BI132" s="321">
        <f t="shared" si="197"/>
        <v>0</v>
      </c>
      <c r="BJ132" s="323">
        <v>0</v>
      </c>
      <c r="BK132" s="318">
        <f t="shared" si="198"/>
        <v>0</v>
      </c>
      <c r="BL132" s="318">
        <f t="shared" si="199"/>
        <v>0</v>
      </c>
      <c r="BM132" s="320">
        <v>0</v>
      </c>
      <c r="BN132" s="320"/>
      <c r="BO132" s="320"/>
      <c r="BP132" s="320"/>
      <c r="BQ132" s="320"/>
      <c r="BR132" s="320">
        <v>0</v>
      </c>
      <c r="BS132" s="321">
        <f t="shared" si="200"/>
        <v>0</v>
      </c>
      <c r="BT132" s="207">
        <v>0</v>
      </c>
      <c r="BU132" s="318">
        <f t="shared" si="215"/>
        <v>0</v>
      </c>
      <c r="BV132" s="318">
        <f t="shared" si="201"/>
        <v>0</v>
      </c>
      <c r="BW132" s="208">
        <v>0</v>
      </c>
      <c r="BX132" s="208"/>
      <c r="BY132" s="208"/>
      <c r="BZ132" s="208"/>
      <c r="CA132" s="208"/>
      <c r="CB132" s="208">
        <v>0</v>
      </c>
      <c r="CC132" s="367">
        <f t="shared" si="202"/>
        <v>0</v>
      </c>
    </row>
    <row r="133" spans="1:81" s="316" customFormat="1" ht="15.95" customHeight="1">
      <c r="A133" s="325" t="s">
        <v>219</v>
      </c>
      <c r="B133" s="317"/>
      <c r="C133" s="318">
        <f>SUM(E133:I133)</f>
        <v>0</v>
      </c>
      <c r="D133" s="318">
        <f>IFERROR(C133/B133,0)</f>
        <v>0</v>
      </c>
      <c r="E133" s="320"/>
      <c r="F133" s="320"/>
      <c r="G133" s="320"/>
      <c r="H133" s="320"/>
      <c r="I133" s="320"/>
      <c r="J133" s="320"/>
      <c r="K133" s="321">
        <f t="shared" si="192"/>
        <v>0</v>
      </c>
      <c r="L133" s="317"/>
      <c r="M133" s="318">
        <f>SUM(O133:S133)</f>
        <v>0</v>
      </c>
      <c r="N133" s="318">
        <f>IFERROR(M133/L133,0)</f>
        <v>0</v>
      </c>
      <c r="O133" s="320"/>
      <c r="P133" s="320"/>
      <c r="Q133" s="320"/>
      <c r="R133" s="320"/>
      <c r="S133" s="320"/>
      <c r="T133" s="320"/>
      <c r="U133" s="321">
        <f t="shared" si="193"/>
        <v>0</v>
      </c>
      <c r="V133" s="317">
        <v>0</v>
      </c>
      <c r="W133" s="318">
        <f>SUM(Y133:AC133)</f>
        <v>0</v>
      </c>
      <c r="X133" s="318">
        <f>IFERROR(W133/V133,0)</f>
        <v>0</v>
      </c>
      <c r="Y133" s="320"/>
      <c r="Z133" s="320"/>
      <c r="AA133" s="320"/>
      <c r="AB133" s="320"/>
      <c r="AC133" s="320"/>
      <c r="AD133" s="320">
        <v>0</v>
      </c>
      <c r="AE133" s="321">
        <f t="shared" si="194"/>
        <v>0</v>
      </c>
      <c r="AF133" s="317">
        <v>11</v>
      </c>
      <c r="AG133" s="318">
        <f>SUM(AI133:AM133)</f>
        <v>2750</v>
      </c>
      <c r="AH133" s="318">
        <f>IFERROR(AG133/AF133,0)</f>
        <v>250</v>
      </c>
      <c r="AI133" s="320">
        <v>2750</v>
      </c>
      <c r="AJ133" s="320"/>
      <c r="AK133" s="320"/>
      <c r="AL133" s="320"/>
      <c r="AM133" s="320"/>
      <c r="AN133" s="320">
        <v>0</v>
      </c>
      <c r="AO133" s="321">
        <f t="shared" si="195"/>
        <v>0</v>
      </c>
      <c r="AP133" s="317">
        <v>0</v>
      </c>
      <c r="AQ133" s="318">
        <f>SUM(AS133:AW133)</f>
        <v>0</v>
      </c>
      <c r="AR133" s="318">
        <f>IFERROR(AQ133/AP133,0)</f>
        <v>0</v>
      </c>
      <c r="AS133" s="320">
        <v>0</v>
      </c>
      <c r="AT133" s="320"/>
      <c r="AU133" s="320"/>
      <c r="AV133" s="320"/>
      <c r="AW133" s="320"/>
      <c r="AX133" s="320">
        <v>0</v>
      </c>
      <c r="AY133" s="321">
        <f t="shared" si="196"/>
        <v>0</v>
      </c>
      <c r="AZ133" s="317">
        <v>0</v>
      </c>
      <c r="BA133" s="318">
        <f>SUM(BC133:BG133)</f>
        <v>0</v>
      </c>
      <c r="BB133" s="318">
        <f>IFERROR(BA133/AZ133,0)</f>
        <v>0</v>
      </c>
      <c r="BC133" s="320">
        <v>0</v>
      </c>
      <c r="BD133" s="320"/>
      <c r="BE133" s="320"/>
      <c r="BF133" s="320"/>
      <c r="BG133" s="320"/>
      <c r="BH133" s="320">
        <v>0</v>
      </c>
      <c r="BI133" s="321">
        <f t="shared" si="197"/>
        <v>0</v>
      </c>
      <c r="BJ133" s="323">
        <v>0</v>
      </c>
      <c r="BK133" s="318">
        <f t="shared" si="198"/>
        <v>0</v>
      </c>
      <c r="BL133" s="318">
        <f t="shared" si="199"/>
        <v>0</v>
      </c>
      <c r="BM133" s="320">
        <v>0</v>
      </c>
      <c r="BN133" s="320"/>
      <c r="BO133" s="320"/>
      <c r="BP133" s="320"/>
      <c r="BQ133" s="320"/>
      <c r="BR133" s="320">
        <v>0</v>
      </c>
      <c r="BS133" s="321">
        <f t="shared" si="200"/>
        <v>0</v>
      </c>
      <c r="BT133" s="207">
        <v>0</v>
      </c>
      <c r="BU133" s="318">
        <f t="shared" si="215"/>
        <v>0</v>
      </c>
      <c r="BV133" s="318">
        <f t="shared" si="201"/>
        <v>0</v>
      </c>
      <c r="BW133" s="208">
        <v>0</v>
      </c>
      <c r="BX133" s="208"/>
      <c r="BY133" s="208"/>
      <c r="BZ133" s="208"/>
      <c r="CA133" s="208"/>
      <c r="CB133" s="208">
        <v>0</v>
      </c>
      <c r="CC133" s="367">
        <f t="shared" si="202"/>
        <v>0</v>
      </c>
    </row>
    <row r="134" spans="1:81" s="316" customFormat="1" ht="15.95" customHeight="1">
      <c r="A134" s="325" t="s">
        <v>220</v>
      </c>
      <c r="B134" s="317"/>
      <c r="C134" s="318">
        <f>SUM(E134:I134)</f>
        <v>0</v>
      </c>
      <c r="D134" s="318">
        <f>IFERROR(C134/B134,0)</f>
        <v>0</v>
      </c>
      <c r="E134" s="320"/>
      <c r="F134" s="320"/>
      <c r="G134" s="320"/>
      <c r="H134" s="320"/>
      <c r="I134" s="320"/>
      <c r="J134" s="320"/>
      <c r="K134" s="321">
        <f t="shared" si="192"/>
        <v>0</v>
      </c>
      <c r="L134" s="317"/>
      <c r="M134" s="318">
        <f>SUM(O134:S134)</f>
        <v>0</v>
      </c>
      <c r="N134" s="318">
        <f>IFERROR(M134/L134,0)</f>
        <v>0</v>
      </c>
      <c r="O134" s="320"/>
      <c r="P134" s="320"/>
      <c r="Q134" s="320"/>
      <c r="R134" s="320"/>
      <c r="S134" s="320"/>
      <c r="T134" s="320"/>
      <c r="U134" s="321">
        <f t="shared" si="193"/>
        <v>0</v>
      </c>
      <c r="V134" s="317">
        <v>0</v>
      </c>
      <c r="W134" s="318">
        <f>SUM(Y134:AC134)</f>
        <v>0</v>
      </c>
      <c r="X134" s="318">
        <f>IFERROR(W134/V134,0)</f>
        <v>0</v>
      </c>
      <c r="Y134" s="320"/>
      <c r="Z134" s="320"/>
      <c r="AA134" s="320"/>
      <c r="AB134" s="320"/>
      <c r="AC134" s="320"/>
      <c r="AD134" s="320"/>
      <c r="AE134" s="321">
        <f t="shared" si="194"/>
        <v>0</v>
      </c>
      <c r="AF134" s="317">
        <v>3</v>
      </c>
      <c r="AG134" s="318">
        <f>SUM(AI134:AM134)</f>
        <v>2088</v>
      </c>
      <c r="AH134" s="318">
        <f>IFERROR(AG134/AF134,0)</f>
        <v>696</v>
      </c>
      <c r="AI134" s="320"/>
      <c r="AJ134" s="320"/>
      <c r="AL134" s="320">
        <v>2088</v>
      </c>
      <c r="AM134" s="320"/>
      <c r="AN134" s="320">
        <v>2088</v>
      </c>
      <c r="AO134" s="321">
        <f t="shared" si="195"/>
        <v>0</v>
      </c>
      <c r="AP134" s="317">
        <v>1</v>
      </c>
      <c r="AQ134" s="318">
        <f>SUM(AS134:AW134)</f>
        <v>732</v>
      </c>
      <c r="AR134" s="318">
        <f>IFERROR(AQ134/AP134,0)</f>
        <v>732</v>
      </c>
      <c r="AS134" s="320"/>
      <c r="AT134" s="320"/>
      <c r="AV134" s="320">
        <v>732</v>
      </c>
      <c r="AW134" s="320"/>
      <c r="AX134" s="320">
        <v>732</v>
      </c>
      <c r="AY134" s="321">
        <f t="shared" si="196"/>
        <v>0</v>
      </c>
      <c r="AZ134" s="317">
        <v>10</v>
      </c>
      <c r="BA134" s="318">
        <f>SUM(BC134:BG134)</f>
        <v>18492.490000000002</v>
      </c>
      <c r="BB134" s="318">
        <f>IFERROR(BA134/AZ134,0)</f>
        <v>1849.2490000000003</v>
      </c>
      <c r="BC134" s="320"/>
      <c r="BD134" s="320"/>
      <c r="BE134" s="320"/>
      <c r="BF134" s="320"/>
      <c r="BG134" s="320">
        <v>18492.490000000002</v>
      </c>
      <c r="BH134" s="320">
        <v>18492.490000000002</v>
      </c>
      <c r="BI134" s="321">
        <f t="shared" si="197"/>
        <v>0</v>
      </c>
      <c r="BJ134" s="323">
        <v>14</v>
      </c>
      <c r="BK134" s="318">
        <f t="shared" si="198"/>
        <v>23967.4</v>
      </c>
      <c r="BL134" s="318">
        <f t="shared" si="199"/>
        <v>1711.957142857143</v>
      </c>
      <c r="BM134" s="320"/>
      <c r="BN134" s="320"/>
      <c r="BO134" s="320"/>
      <c r="BP134" s="320"/>
      <c r="BQ134" s="320">
        <v>23967.4</v>
      </c>
      <c r="BR134" s="320">
        <v>23967.4</v>
      </c>
      <c r="BS134" s="321">
        <f t="shared" si="200"/>
        <v>0</v>
      </c>
      <c r="BT134" s="207">
        <v>0</v>
      </c>
      <c r="BU134" s="318">
        <v>0</v>
      </c>
      <c r="BV134" s="318">
        <f t="shared" si="201"/>
        <v>0</v>
      </c>
      <c r="BW134" s="208">
        <v>0</v>
      </c>
      <c r="BX134" s="208"/>
      <c r="BY134" s="208"/>
      <c r="BZ134" s="208"/>
      <c r="CA134" s="208"/>
      <c r="CB134" s="208">
        <v>0</v>
      </c>
      <c r="CC134" s="367">
        <f t="shared" si="202"/>
        <v>0</v>
      </c>
    </row>
    <row r="135" spans="1:81" s="316" customFormat="1" ht="15.95" customHeight="1">
      <c r="A135" s="325" t="s">
        <v>221</v>
      </c>
      <c r="B135" s="317"/>
      <c r="C135" s="318">
        <f>SUM(E135:I135)</f>
        <v>0</v>
      </c>
      <c r="D135" s="318">
        <f>IFERROR(C135/B135,0)</f>
        <v>0</v>
      </c>
      <c r="E135" s="320"/>
      <c r="F135" s="320"/>
      <c r="G135" s="320"/>
      <c r="H135" s="320"/>
      <c r="I135" s="320"/>
      <c r="J135" s="320"/>
      <c r="K135" s="321">
        <f t="shared" si="192"/>
        <v>0</v>
      </c>
      <c r="L135" s="317"/>
      <c r="M135" s="318">
        <f>SUM(O135:S135)</f>
        <v>0</v>
      </c>
      <c r="N135" s="318">
        <f>IFERROR(M135/L135,0)</f>
        <v>0</v>
      </c>
      <c r="O135" s="320"/>
      <c r="P135" s="320"/>
      <c r="Q135" s="320"/>
      <c r="R135" s="320"/>
      <c r="S135" s="320"/>
      <c r="T135" s="320"/>
      <c r="U135" s="321">
        <f t="shared" si="193"/>
        <v>0</v>
      </c>
      <c r="V135" s="317"/>
      <c r="W135" s="318">
        <f>SUM(Y135:AC135)</f>
        <v>0</v>
      </c>
      <c r="X135" s="318">
        <f>IFERROR(W135/V135,0)</f>
        <v>0</v>
      </c>
      <c r="Y135" s="320"/>
      <c r="Z135" s="320"/>
      <c r="AA135" s="320"/>
      <c r="AB135" s="320"/>
      <c r="AC135" s="320"/>
      <c r="AD135" s="320"/>
      <c r="AE135" s="321">
        <f t="shared" si="194"/>
        <v>0</v>
      </c>
      <c r="AF135" s="317"/>
      <c r="AG135" s="318">
        <f>SUM(AI135:AM135)</f>
        <v>0</v>
      </c>
      <c r="AH135" s="318">
        <f>IFERROR(AG135/AF135,0)</f>
        <v>0</v>
      </c>
      <c r="AI135" s="320"/>
      <c r="AJ135" s="320"/>
      <c r="AK135" s="320"/>
      <c r="AL135" s="320"/>
      <c r="AM135" s="320"/>
      <c r="AN135" s="320"/>
      <c r="AO135" s="321">
        <f t="shared" si="195"/>
        <v>0</v>
      </c>
      <c r="AP135" s="317">
        <v>2</v>
      </c>
      <c r="AQ135" s="318">
        <f>SUM(AS135:AW135)</f>
        <v>822</v>
      </c>
      <c r="AR135" s="318">
        <f>IFERROR(AQ135/AP135,0)</f>
        <v>411</v>
      </c>
      <c r="AS135" s="320"/>
      <c r="AT135" s="320"/>
      <c r="AU135" s="320"/>
      <c r="AV135" s="320"/>
      <c r="AW135" s="320">
        <v>822</v>
      </c>
      <c r="AX135" s="320">
        <v>822</v>
      </c>
      <c r="AY135" s="321">
        <f t="shared" si="196"/>
        <v>0</v>
      </c>
      <c r="AZ135" s="317">
        <v>2</v>
      </c>
      <c r="BA135" s="318">
        <f>SUM(BC135:BG135)</f>
        <v>606</v>
      </c>
      <c r="BB135" s="318">
        <f>IFERROR(BA135/AZ135,0)</f>
        <v>303</v>
      </c>
      <c r="BC135" s="320"/>
      <c r="BD135" s="320">
        <v>165</v>
      </c>
      <c r="BE135" s="320"/>
      <c r="BF135" s="320"/>
      <c r="BG135" s="320">
        <v>441</v>
      </c>
      <c r="BH135" s="320">
        <v>105</v>
      </c>
      <c r="BI135" s="321">
        <f t="shared" si="197"/>
        <v>0</v>
      </c>
      <c r="BJ135" s="323">
        <v>3</v>
      </c>
      <c r="BK135" s="318">
        <f t="shared" si="198"/>
        <v>855</v>
      </c>
      <c r="BL135" s="318">
        <f t="shared" si="199"/>
        <v>285</v>
      </c>
      <c r="BM135" s="320"/>
      <c r="BN135" s="320">
        <v>225</v>
      </c>
      <c r="BO135" s="320"/>
      <c r="BP135" s="320"/>
      <c r="BQ135" s="320">
        <v>630</v>
      </c>
      <c r="BR135" s="320">
        <v>855</v>
      </c>
      <c r="BS135" s="321">
        <f t="shared" si="200"/>
        <v>0</v>
      </c>
      <c r="BT135" s="207">
        <v>1</v>
      </c>
      <c r="BU135" s="318">
        <v>429</v>
      </c>
      <c r="BV135" s="318">
        <f t="shared" si="201"/>
        <v>429</v>
      </c>
      <c r="BW135" s="208"/>
      <c r="BX135" s="208">
        <v>105</v>
      </c>
      <c r="BY135" s="208"/>
      <c r="BZ135" s="208"/>
      <c r="CA135" s="208">
        <v>324</v>
      </c>
      <c r="CB135" s="208">
        <v>429</v>
      </c>
      <c r="CC135" s="367">
        <f t="shared" si="202"/>
        <v>0</v>
      </c>
    </row>
    <row r="136" spans="1:81" s="316" customFormat="1" ht="15.95" customHeight="1">
      <c r="A136" s="325" t="s">
        <v>222</v>
      </c>
      <c r="B136" s="317"/>
      <c r="C136" s="318">
        <f t="shared" ref="C136:C142" si="218">SUM(E136:I136)</f>
        <v>0</v>
      </c>
      <c r="D136" s="318">
        <f t="shared" ref="D136:D142" si="219">IFERROR(C136/B136,0)</f>
        <v>0</v>
      </c>
      <c r="E136" s="320"/>
      <c r="F136" s="320"/>
      <c r="G136" s="320"/>
      <c r="H136" s="320"/>
      <c r="I136" s="320"/>
      <c r="J136" s="320"/>
      <c r="K136" s="321">
        <f t="shared" si="192"/>
        <v>0</v>
      </c>
      <c r="L136" s="317"/>
      <c r="M136" s="318">
        <f t="shared" ref="M136:M142" si="220">SUM(O136:S136)</f>
        <v>0</v>
      </c>
      <c r="N136" s="318">
        <f t="shared" ref="N136:N142" si="221">IFERROR(M136/L136,0)</f>
        <v>0</v>
      </c>
      <c r="O136" s="320"/>
      <c r="P136" s="320"/>
      <c r="Q136" s="320"/>
      <c r="R136" s="320"/>
      <c r="S136" s="320"/>
      <c r="T136" s="320"/>
      <c r="U136" s="321">
        <f t="shared" si="193"/>
        <v>0</v>
      </c>
      <c r="V136" s="317"/>
      <c r="W136" s="318">
        <f t="shared" ref="W136:W142" si="222">SUM(Y136:AC136)</f>
        <v>0</v>
      </c>
      <c r="X136" s="318">
        <f t="shared" ref="X136:X142" si="223">IFERROR(W136/V136,0)</f>
        <v>0</v>
      </c>
      <c r="Y136" s="320"/>
      <c r="Z136" s="320"/>
      <c r="AA136" s="320"/>
      <c r="AB136" s="320"/>
      <c r="AC136" s="320"/>
      <c r="AD136" s="320"/>
      <c r="AE136" s="321">
        <f t="shared" si="194"/>
        <v>0</v>
      </c>
      <c r="AF136" s="317"/>
      <c r="AG136" s="318">
        <f t="shared" ref="AG136:AG142" si="224">SUM(AI136:AM136)</f>
        <v>0</v>
      </c>
      <c r="AH136" s="318">
        <f t="shared" ref="AH136:AH142" si="225">IFERROR(AG136/AF136,0)</f>
        <v>0</v>
      </c>
      <c r="AI136" s="320"/>
      <c r="AJ136" s="320"/>
      <c r="AK136" s="320"/>
      <c r="AL136" s="320"/>
      <c r="AM136" s="320"/>
      <c r="AN136" s="320"/>
      <c r="AO136" s="321">
        <f t="shared" si="195"/>
        <v>0</v>
      </c>
      <c r="AP136" s="317">
        <v>0</v>
      </c>
      <c r="AQ136" s="318">
        <f t="shared" ref="AQ136:AQ142" si="226">SUM(AS136:AW136)</f>
        <v>0</v>
      </c>
      <c r="AR136" s="318">
        <f t="shared" ref="AR136:AR142" si="227">IFERROR(AQ136/AP136,0)</f>
        <v>0</v>
      </c>
      <c r="AS136" s="320"/>
      <c r="AT136" s="320"/>
      <c r="AU136" s="320"/>
      <c r="AV136" s="320"/>
      <c r="AW136" s="320"/>
      <c r="AX136" s="320"/>
      <c r="AY136" s="321">
        <f t="shared" si="196"/>
        <v>0</v>
      </c>
      <c r="AZ136" s="317">
        <v>69</v>
      </c>
      <c r="BA136" s="318">
        <f t="shared" ref="BA136:BA142" si="228">SUM(BC136:BG136)</f>
        <v>20000</v>
      </c>
      <c r="BB136" s="318">
        <f t="shared" ref="BB136:BB142" si="229">IFERROR(BA136/AZ136,0)</f>
        <v>289.85507246376812</v>
      </c>
      <c r="BC136" s="320">
        <v>20000</v>
      </c>
      <c r="BD136" s="320"/>
      <c r="BE136" s="320"/>
      <c r="BF136" s="320"/>
      <c r="BG136" s="320"/>
      <c r="BH136" s="320">
        <v>17900</v>
      </c>
      <c r="BI136" s="321">
        <f t="shared" si="197"/>
        <v>17900</v>
      </c>
      <c r="BJ136" s="323">
        <v>63</v>
      </c>
      <c r="BK136" s="318">
        <f t="shared" si="198"/>
        <v>19659</v>
      </c>
      <c r="BL136" s="318">
        <f t="shared" si="199"/>
        <v>312.04761904761904</v>
      </c>
      <c r="BM136" s="320">
        <v>19659</v>
      </c>
      <c r="BN136" s="320"/>
      <c r="BO136" s="320"/>
      <c r="BP136" s="320"/>
      <c r="BQ136" s="320"/>
      <c r="BR136" s="320">
        <v>18900</v>
      </c>
      <c r="BS136" s="321">
        <f t="shared" si="200"/>
        <v>18900</v>
      </c>
      <c r="BT136" s="207">
        <v>64</v>
      </c>
      <c r="BU136" s="318">
        <v>18569</v>
      </c>
      <c r="BV136" s="318">
        <f t="shared" si="201"/>
        <v>290.140625</v>
      </c>
      <c r="BW136" s="208">
        <v>20000</v>
      </c>
      <c r="BX136" s="208"/>
      <c r="BY136" s="208"/>
      <c r="BZ136" s="208"/>
      <c r="CA136" s="208"/>
      <c r="CB136" s="208">
        <v>18569</v>
      </c>
      <c r="CC136" s="367">
        <f t="shared" si="202"/>
        <v>18569</v>
      </c>
    </row>
    <row r="137" spans="1:81" s="316" customFormat="1" ht="15.95" customHeight="1">
      <c r="A137" s="325" t="s">
        <v>223</v>
      </c>
      <c r="B137" s="317"/>
      <c r="C137" s="318">
        <f t="shared" si="218"/>
        <v>0</v>
      </c>
      <c r="D137" s="318">
        <f t="shared" si="219"/>
        <v>0</v>
      </c>
      <c r="E137" s="320"/>
      <c r="F137" s="320"/>
      <c r="G137" s="320"/>
      <c r="H137" s="320"/>
      <c r="I137" s="320"/>
      <c r="J137" s="320"/>
      <c r="K137" s="321">
        <f t="shared" si="192"/>
        <v>0</v>
      </c>
      <c r="L137" s="317"/>
      <c r="M137" s="318">
        <f t="shared" si="220"/>
        <v>0</v>
      </c>
      <c r="N137" s="318">
        <f t="shared" si="221"/>
        <v>0</v>
      </c>
      <c r="O137" s="320"/>
      <c r="P137" s="320"/>
      <c r="Q137" s="320"/>
      <c r="R137" s="320"/>
      <c r="S137" s="320"/>
      <c r="T137" s="320"/>
      <c r="U137" s="321">
        <f t="shared" si="193"/>
        <v>0</v>
      </c>
      <c r="V137" s="317"/>
      <c r="W137" s="318">
        <f t="shared" si="222"/>
        <v>0</v>
      </c>
      <c r="X137" s="318">
        <f t="shared" si="223"/>
        <v>0</v>
      </c>
      <c r="Y137" s="320"/>
      <c r="Z137" s="320"/>
      <c r="AA137" s="320"/>
      <c r="AB137" s="320"/>
      <c r="AC137" s="320"/>
      <c r="AD137" s="320"/>
      <c r="AE137" s="321">
        <f t="shared" si="194"/>
        <v>0</v>
      </c>
      <c r="AF137" s="317"/>
      <c r="AG137" s="318">
        <f t="shared" si="224"/>
        <v>0</v>
      </c>
      <c r="AH137" s="318">
        <f t="shared" si="225"/>
        <v>0</v>
      </c>
      <c r="AI137" s="320"/>
      <c r="AJ137" s="320"/>
      <c r="AK137" s="320"/>
      <c r="AL137" s="320"/>
      <c r="AM137" s="320"/>
      <c r="AN137" s="320"/>
      <c r="AO137" s="321">
        <f t="shared" si="195"/>
        <v>0</v>
      </c>
      <c r="AP137" s="317">
        <v>0</v>
      </c>
      <c r="AQ137" s="318">
        <f t="shared" si="226"/>
        <v>0</v>
      </c>
      <c r="AR137" s="318">
        <v>0</v>
      </c>
      <c r="AS137" s="320">
        <v>0</v>
      </c>
      <c r="AT137" s="320"/>
      <c r="AU137" s="320"/>
      <c r="AV137" s="320"/>
      <c r="AW137" s="320"/>
      <c r="AX137" s="320"/>
      <c r="AY137" s="321">
        <f t="shared" si="196"/>
        <v>0</v>
      </c>
      <c r="AZ137" s="317">
        <v>1073</v>
      </c>
      <c r="BA137" s="318">
        <f t="shared" si="228"/>
        <v>545990.29</v>
      </c>
      <c r="BB137" s="318">
        <f t="shared" si="229"/>
        <v>508.84463187325258</v>
      </c>
      <c r="BC137" s="320">
        <v>545990.29</v>
      </c>
      <c r="BD137" s="320"/>
      <c r="BE137" s="320"/>
      <c r="BF137" s="320"/>
      <c r="BG137" s="320"/>
      <c r="BH137" s="320">
        <v>471399.75</v>
      </c>
      <c r="BI137" s="321">
        <f t="shared" si="197"/>
        <v>471399.75</v>
      </c>
      <c r="BJ137" s="323">
        <v>596</v>
      </c>
      <c r="BK137" s="318">
        <f t="shared" si="198"/>
        <v>193111.96</v>
      </c>
      <c r="BL137" s="318">
        <f t="shared" si="199"/>
        <v>324.01335570469797</v>
      </c>
      <c r="BM137" s="320">
        <v>193111.96</v>
      </c>
      <c r="BN137" s="320"/>
      <c r="BO137" s="320"/>
      <c r="BP137" s="320"/>
      <c r="BQ137" s="320"/>
      <c r="BR137" s="320">
        <v>189000</v>
      </c>
      <c r="BS137" s="321">
        <f t="shared" si="200"/>
        <v>189000</v>
      </c>
      <c r="BT137" s="207">
        <v>0</v>
      </c>
      <c r="BU137" s="318">
        <f t="shared" si="215"/>
        <v>0</v>
      </c>
      <c r="BV137" s="318">
        <f t="shared" si="201"/>
        <v>0</v>
      </c>
      <c r="BW137" s="208">
        <v>0</v>
      </c>
      <c r="BX137" s="208"/>
      <c r="BY137" s="208"/>
      <c r="BZ137" s="208"/>
      <c r="CA137" s="208"/>
      <c r="CB137" s="208">
        <v>0</v>
      </c>
      <c r="CC137" s="367">
        <f t="shared" si="202"/>
        <v>0</v>
      </c>
    </row>
    <row r="138" spans="1:81" s="316" customFormat="1" ht="15.95" customHeight="1">
      <c r="A138" s="214" t="s">
        <v>259</v>
      </c>
      <c r="B138" s="317"/>
      <c r="C138" s="318">
        <f t="shared" si="218"/>
        <v>0</v>
      </c>
      <c r="D138" s="318">
        <f t="shared" si="219"/>
        <v>0</v>
      </c>
      <c r="E138" s="320"/>
      <c r="F138" s="320"/>
      <c r="G138" s="320"/>
      <c r="H138" s="320"/>
      <c r="I138" s="320"/>
      <c r="J138" s="320"/>
      <c r="K138" s="321">
        <f t="shared" si="192"/>
        <v>0</v>
      </c>
      <c r="L138" s="317"/>
      <c r="M138" s="318">
        <f t="shared" si="220"/>
        <v>0</v>
      </c>
      <c r="N138" s="318">
        <f t="shared" si="221"/>
        <v>0</v>
      </c>
      <c r="O138" s="320"/>
      <c r="P138" s="320"/>
      <c r="Q138" s="320"/>
      <c r="R138" s="320"/>
      <c r="S138" s="320"/>
      <c r="T138" s="320"/>
      <c r="U138" s="321">
        <f t="shared" si="193"/>
        <v>0</v>
      </c>
      <c r="V138" s="317"/>
      <c r="W138" s="318">
        <f t="shared" si="222"/>
        <v>0</v>
      </c>
      <c r="X138" s="318">
        <f t="shared" si="223"/>
        <v>0</v>
      </c>
      <c r="Y138" s="320"/>
      <c r="Z138" s="320"/>
      <c r="AA138" s="320"/>
      <c r="AB138" s="320"/>
      <c r="AC138" s="320"/>
      <c r="AD138" s="320"/>
      <c r="AE138" s="321">
        <f t="shared" si="194"/>
        <v>0</v>
      </c>
      <c r="AF138" s="317"/>
      <c r="AG138" s="318">
        <f t="shared" si="224"/>
        <v>0</v>
      </c>
      <c r="AH138" s="318">
        <f t="shared" si="225"/>
        <v>0</v>
      </c>
      <c r="AI138" s="320"/>
      <c r="AJ138" s="320"/>
      <c r="AK138" s="320"/>
      <c r="AL138" s="320"/>
      <c r="AM138" s="320"/>
      <c r="AN138" s="320"/>
      <c r="AO138" s="321">
        <f t="shared" si="195"/>
        <v>0</v>
      </c>
      <c r="AP138" s="317"/>
      <c r="AQ138" s="318">
        <f t="shared" si="226"/>
        <v>0</v>
      </c>
      <c r="AR138" s="318">
        <f t="shared" si="227"/>
        <v>0</v>
      </c>
      <c r="AS138" s="320"/>
      <c r="AT138" s="320"/>
      <c r="AU138" s="320"/>
      <c r="AV138" s="320"/>
      <c r="AW138" s="320"/>
      <c r="AX138" s="320"/>
      <c r="AY138" s="321">
        <f t="shared" si="196"/>
        <v>0</v>
      </c>
      <c r="AZ138" s="317"/>
      <c r="BA138" s="318">
        <f t="shared" si="228"/>
        <v>0</v>
      </c>
      <c r="BB138" s="318">
        <f t="shared" si="229"/>
        <v>0</v>
      </c>
      <c r="BC138" s="320"/>
      <c r="BD138" s="320"/>
      <c r="BE138" s="320"/>
      <c r="BF138" s="320"/>
      <c r="BG138" s="320"/>
      <c r="BH138" s="320"/>
      <c r="BI138" s="321">
        <f t="shared" si="197"/>
        <v>0</v>
      </c>
      <c r="BJ138" s="323"/>
      <c r="BK138" s="318">
        <f t="shared" si="198"/>
        <v>0</v>
      </c>
      <c r="BL138" s="318">
        <f t="shared" si="199"/>
        <v>0</v>
      </c>
      <c r="BM138" s="320"/>
      <c r="BN138" s="320"/>
      <c r="BO138" s="320"/>
      <c r="BP138" s="320"/>
      <c r="BQ138" s="320"/>
      <c r="BR138" s="320"/>
      <c r="BS138" s="321">
        <f t="shared" si="200"/>
        <v>0</v>
      </c>
      <c r="BT138" s="207">
        <v>20</v>
      </c>
      <c r="BU138" s="318">
        <v>7013</v>
      </c>
      <c r="BV138" s="318">
        <f t="shared" si="201"/>
        <v>350.65</v>
      </c>
      <c r="BW138" s="208">
        <v>7013.25</v>
      </c>
      <c r="BX138" s="208"/>
      <c r="BY138" s="208"/>
      <c r="BZ138" s="208"/>
      <c r="CA138" s="208"/>
      <c r="CB138" s="208">
        <v>7013.25</v>
      </c>
      <c r="CC138" s="367">
        <f t="shared" si="202"/>
        <v>7013.25</v>
      </c>
    </row>
    <row r="139" spans="1:81" s="316" customFormat="1" ht="15.95" customHeight="1">
      <c r="A139" s="214" t="s">
        <v>260</v>
      </c>
      <c r="B139" s="317"/>
      <c r="C139" s="318">
        <f t="shared" si="218"/>
        <v>0</v>
      </c>
      <c r="D139" s="318">
        <f t="shared" si="219"/>
        <v>0</v>
      </c>
      <c r="E139" s="320"/>
      <c r="F139" s="320"/>
      <c r="G139" s="320"/>
      <c r="H139" s="320"/>
      <c r="I139" s="320"/>
      <c r="J139" s="320"/>
      <c r="K139" s="321">
        <f t="shared" si="192"/>
        <v>0</v>
      </c>
      <c r="L139" s="317"/>
      <c r="M139" s="318">
        <f t="shared" si="220"/>
        <v>0</v>
      </c>
      <c r="N139" s="318">
        <f t="shared" si="221"/>
        <v>0</v>
      </c>
      <c r="O139" s="320"/>
      <c r="P139" s="320"/>
      <c r="Q139" s="320"/>
      <c r="R139" s="320"/>
      <c r="S139" s="320"/>
      <c r="T139" s="320"/>
      <c r="U139" s="321">
        <f t="shared" si="193"/>
        <v>0</v>
      </c>
      <c r="V139" s="317"/>
      <c r="W139" s="318">
        <f t="shared" si="222"/>
        <v>0</v>
      </c>
      <c r="X139" s="318">
        <f t="shared" si="223"/>
        <v>0</v>
      </c>
      <c r="Y139" s="320"/>
      <c r="Z139" s="320"/>
      <c r="AA139" s="320"/>
      <c r="AB139" s="320"/>
      <c r="AC139" s="320"/>
      <c r="AD139" s="320"/>
      <c r="AE139" s="321">
        <f t="shared" si="194"/>
        <v>0</v>
      </c>
      <c r="AF139" s="317"/>
      <c r="AG139" s="318">
        <f t="shared" si="224"/>
        <v>0</v>
      </c>
      <c r="AH139" s="318">
        <f t="shared" si="225"/>
        <v>0</v>
      </c>
      <c r="AI139" s="320"/>
      <c r="AJ139" s="320"/>
      <c r="AK139" s="320"/>
      <c r="AL139" s="320"/>
      <c r="AM139" s="320"/>
      <c r="AN139" s="320"/>
      <c r="AO139" s="321">
        <f t="shared" si="195"/>
        <v>0</v>
      </c>
      <c r="AP139" s="317"/>
      <c r="AQ139" s="318">
        <f t="shared" si="226"/>
        <v>0</v>
      </c>
      <c r="AR139" s="318">
        <f t="shared" si="227"/>
        <v>0</v>
      </c>
      <c r="AS139" s="320"/>
      <c r="AT139" s="320"/>
      <c r="AU139" s="320"/>
      <c r="AV139" s="320"/>
      <c r="AW139" s="320"/>
      <c r="AX139" s="320"/>
      <c r="AY139" s="321">
        <f t="shared" si="196"/>
        <v>0</v>
      </c>
      <c r="AZ139" s="317"/>
      <c r="BA139" s="318">
        <f t="shared" si="228"/>
        <v>0</v>
      </c>
      <c r="BB139" s="318">
        <f t="shared" si="229"/>
        <v>0</v>
      </c>
      <c r="BC139" s="320"/>
      <c r="BD139" s="320"/>
      <c r="BE139" s="320"/>
      <c r="BF139" s="320"/>
      <c r="BG139" s="320"/>
      <c r="BH139" s="320"/>
      <c r="BI139" s="321">
        <f t="shared" si="197"/>
        <v>0</v>
      </c>
      <c r="BJ139" s="323"/>
      <c r="BK139" s="318">
        <f t="shared" si="198"/>
        <v>0</v>
      </c>
      <c r="BL139" s="318">
        <f t="shared" si="199"/>
        <v>0</v>
      </c>
      <c r="BM139" s="320"/>
      <c r="BN139" s="320"/>
      <c r="BO139" s="320"/>
      <c r="BP139" s="320"/>
      <c r="BQ139" s="320"/>
      <c r="BR139" s="320"/>
      <c r="BS139" s="321">
        <f t="shared" si="200"/>
        <v>0</v>
      </c>
      <c r="BT139" s="207">
        <v>15</v>
      </c>
      <c r="BU139" s="318">
        <v>13491</v>
      </c>
      <c r="BV139" s="318">
        <f t="shared" si="201"/>
        <v>899.4</v>
      </c>
      <c r="BW139" s="208">
        <v>13490.5</v>
      </c>
      <c r="BX139" s="208"/>
      <c r="BY139" s="208"/>
      <c r="BZ139" s="208"/>
      <c r="CA139" s="208"/>
      <c r="CB139" s="208">
        <v>13000</v>
      </c>
      <c r="CC139" s="367">
        <f t="shared" si="202"/>
        <v>13000</v>
      </c>
    </row>
    <row r="140" spans="1:81" s="316" customFormat="1" ht="15.95" customHeight="1">
      <c r="A140" s="214" t="s">
        <v>261</v>
      </c>
      <c r="B140" s="317"/>
      <c r="C140" s="318">
        <f t="shared" si="218"/>
        <v>0</v>
      </c>
      <c r="D140" s="318">
        <f t="shared" si="219"/>
        <v>0</v>
      </c>
      <c r="E140" s="320"/>
      <c r="F140" s="320"/>
      <c r="G140" s="320"/>
      <c r="H140" s="320"/>
      <c r="I140" s="320"/>
      <c r="J140" s="320"/>
      <c r="K140" s="321">
        <f t="shared" si="192"/>
        <v>0</v>
      </c>
      <c r="L140" s="317"/>
      <c r="M140" s="318">
        <f t="shared" si="220"/>
        <v>0</v>
      </c>
      <c r="N140" s="318">
        <f t="shared" si="221"/>
        <v>0</v>
      </c>
      <c r="O140" s="320"/>
      <c r="P140" s="320"/>
      <c r="Q140" s="320"/>
      <c r="R140" s="320"/>
      <c r="S140" s="320"/>
      <c r="T140" s="320"/>
      <c r="U140" s="321">
        <f t="shared" si="193"/>
        <v>0</v>
      </c>
      <c r="V140" s="317"/>
      <c r="W140" s="318">
        <f t="shared" si="222"/>
        <v>0</v>
      </c>
      <c r="X140" s="318">
        <f t="shared" si="223"/>
        <v>0</v>
      </c>
      <c r="Y140" s="320"/>
      <c r="Z140" s="320"/>
      <c r="AA140" s="320"/>
      <c r="AB140" s="320"/>
      <c r="AC140" s="320"/>
      <c r="AD140" s="320"/>
      <c r="AE140" s="321">
        <f t="shared" si="194"/>
        <v>0</v>
      </c>
      <c r="AF140" s="317"/>
      <c r="AG140" s="318">
        <f t="shared" si="224"/>
        <v>0</v>
      </c>
      <c r="AH140" s="318">
        <f t="shared" si="225"/>
        <v>0</v>
      </c>
      <c r="AI140" s="320"/>
      <c r="AJ140" s="320"/>
      <c r="AK140" s="320"/>
      <c r="AL140" s="320"/>
      <c r="AM140" s="320"/>
      <c r="AN140" s="320"/>
      <c r="AO140" s="321">
        <f t="shared" si="195"/>
        <v>0</v>
      </c>
      <c r="AP140" s="317"/>
      <c r="AQ140" s="318">
        <f t="shared" si="226"/>
        <v>0</v>
      </c>
      <c r="AR140" s="318">
        <f t="shared" si="227"/>
        <v>0</v>
      </c>
      <c r="AS140" s="320"/>
      <c r="AT140" s="320"/>
      <c r="AU140" s="320"/>
      <c r="AV140" s="320"/>
      <c r="AW140" s="320"/>
      <c r="AX140" s="320"/>
      <c r="AY140" s="321">
        <f t="shared" si="196"/>
        <v>0</v>
      </c>
      <c r="AZ140" s="317"/>
      <c r="BA140" s="318">
        <f t="shared" si="228"/>
        <v>0</v>
      </c>
      <c r="BB140" s="318">
        <f t="shared" si="229"/>
        <v>0</v>
      </c>
      <c r="BC140" s="320"/>
      <c r="BD140" s="320"/>
      <c r="BE140" s="320"/>
      <c r="BF140" s="320"/>
      <c r="BG140" s="320"/>
      <c r="BH140" s="320"/>
      <c r="BI140" s="321">
        <f t="shared" si="197"/>
        <v>0</v>
      </c>
      <c r="BJ140" s="323"/>
      <c r="BK140" s="318">
        <f t="shared" si="198"/>
        <v>0</v>
      </c>
      <c r="BL140" s="318">
        <f t="shared" si="199"/>
        <v>0</v>
      </c>
      <c r="BM140" s="320"/>
      <c r="BN140" s="320"/>
      <c r="BO140" s="320"/>
      <c r="BP140" s="320"/>
      <c r="BQ140" s="320"/>
      <c r="BR140" s="320"/>
      <c r="BS140" s="321">
        <f t="shared" si="200"/>
        <v>0</v>
      </c>
      <c r="BT140" s="207">
        <v>5</v>
      </c>
      <c r="BU140" s="318">
        <v>9398</v>
      </c>
      <c r="BV140" s="318">
        <f t="shared" si="201"/>
        <v>1879.6</v>
      </c>
      <c r="BW140" s="208">
        <v>8098</v>
      </c>
      <c r="BX140" s="208">
        <v>1300</v>
      </c>
      <c r="BY140" s="208"/>
      <c r="BZ140" s="208"/>
      <c r="CA140" s="208"/>
      <c r="CB140" s="208">
        <v>9398</v>
      </c>
      <c r="CC140" s="367">
        <f t="shared" si="202"/>
        <v>8098</v>
      </c>
    </row>
    <row r="141" spans="1:81" s="316" customFormat="1" ht="15.95" customHeight="1">
      <c r="A141" s="214"/>
      <c r="B141" s="317"/>
      <c r="C141" s="318">
        <f t="shared" si="218"/>
        <v>0</v>
      </c>
      <c r="D141" s="318">
        <f t="shared" si="219"/>
        <v>0</v>
      </c>
      <c r="E141" s="320"/>
      <c r="F141" s="320"/>
      <c r="G141" s="320"/>
      <c r="H141" s="320"/>
      <c r="I141" s="320"/>
      <c r="J141" s="320"/>
      <c r="K141" s="321">
        <f t="shared" si="192"/>
        <v>0</v>
      </c>
      <c r="L141" s="317"/>
      <c r="M141" s="318">
        <f t="shared" si="220"/>
        <v>0</v>
      </c>
      <c r="N141" s="318">
        <f t="shared" si="221"/>
        <v>0</v>
      </c>
      <c r="O141" s="320"/>
      <c r="P141" s="320"/>
      <c r="Q141" s="320"/>
      <c r="R141" s="320"/>
      <c r="S141" s="320"/>
      <c r="T141" s="320"/>
      <c r="U141" s="321">
        <f t="shared" si="193"/>
        <v>0</v>
      </c>
      <c r="V141" s="317"/>
      <c r="W141" s="318">
        <f t="shared" si="222"/>
        <v>0</v>
      </c>
      <c r="X141" s="318">
        <f t="shared" si="223"/>
        <v>0</v>
      </c>
      <c r="Y141" s="320"/>
      <c r="Z141" s="320"/>
      <c r="AA141" s="320"/>
      <c r="AB141" s="320"/>
      <c r="AC141" s="320"/>
      <c r="AD141" s="320"/>
      <c r="AE141" s="321">
        <f t="shared" si="194"/>
        <v>0</v>
      </c>
      <c r="AF141" s="317"/>
      <c r="AG141" s="318">
        <f t="shared" si="224"/>
        <v>0</v>
      </c>
      <c r="AH141" s="318">
        <f t="shared" si="225"/>
        <v>0</v>
      </c>
      <c r="AI141" s="320"/>
      <c r="AJ141" s="320"/>
      <c r="AK141" s="320"/>
      <c r="AL141" s="320"/>
      <c r="AM141" s="320"/>
      <c r="AN141" s="320"/>
      <c r="AO141" s="321">
        <f t="shared" si="195"/>
        <v>0</v>
      </c>
      <c r="AP141" s="317"/>
      <c r="AQ141" s="318">
        <f t="shared" si="226"/>
        <v>0</v>
      </c>
      <c r="AR141" s="318">
        <f t="shared" si="227"/>
        <v>0</v>
      </c>
      <c r="AS141" s="320"/>
      <c r="AT141" s="320"/>
      <c r="AU141" s="320"/>
      <c r="AV141" s="320"/>
      <c r="AW141" s="320"/>
      <c r="AX141" s="320"/>
      <c r="AY141" s="321">
        <f t="shared" si="196"/>
        <v>0</v>
      </c>
      <c r="AZ141" s="317"/>
      <c r="BA141" s="318">
        <f t="shared" si="228"/>
        <v>0</v>
      </c>
      <c r="BB141" s="318">
        <f t="shared" si="229"/>
        <v>0</v>
      </c>
      <c r="BC141" s="320"/>
      <c r="BD141" s="320"/>
      <c r="BE141" s="320"/>
      <c r="BF141" s="320"/>
      <c r="BG141" s="320"/>
      <c r="BH141" s="320"/>
      <c r="BI141" s="321">
        <f t="shared" si="197"/>
        <v>0</v>
      </c>
      <c r="BJ141" s="323"/>
      <c r="BK141" s="318">
        <f t="shared" si="198"/>
        <v>0</v>
      </c>
      <c r="BL141" s="318">
        <f t="shared" si="199"/>
        <v>0</v>
      </c>
      <c r="BM141" s="320"/>
      <c r="BN141" s="320"/>
      <c r="BO141" s="320"/>
      <c r="BP141" s="320"/>
      <c r="BQ141" s="320"/>
      <c r="BR141" s="320"/>
      <c r="BS141" s="321">
        <f t="shared" si="200"/>
        <v>0</v>
      </c>
      <c r="BT141" s="207"/>
      <c r="BU141" s="318">
        <f t="shared" si="215"/>
        <v>0</v>
      </c>
      <c r="BV141" s="318">
        <f t="shared" si="201"/>
        <v>0</v>
      </c>
      <c r="BW141" s="208"/>
      <c r="BX141" s="208"/>
      <c r="BY141" s="208"/>
      <c r="BZ141" s="208"/>
      <c r="CA141" s="208"/>
      <c r="CB141" s="208"/>
      <c r="CC141" s="367">
        <f t="shared" si="202"/>
        <v>0</v>
      </c>
    </row>
    <row r="142" spans="1:81" s="316" customFormat="1" ht="15.95" customHeight="1">
      <c r="A142" s="214"/>
      <c r="B142" s="317"/>
      <c r="C142" s="318">
        <f t="shared" si="218"/>
        <v>0</v>
      </c>
      <c r="D142" s="318">
        <f t="shared" si="219"/>
        <v>0</v>
      </c>
      <c r="E142" s="320"/>
      <c r="F142" s="320"/>
      <c r="G142" s="320"/>
      <c r="H142" s="320"/>
      <c r="I142" s="320"/>
      <c r="J142" s="320"/>
      <c r="K142" s="321">
        <f t="shared" si="192"/>
        <v>0</v>
      </c>
      <c r="L142" s="317"/>
      <c r="M142" s="318">
        <f t="shared" si="220"/>
        <v>0</v>
      </c>
      <c r="N142" s="318">
        <f t="shared" si="221"/>
        <v>0</v>
      </c>
      <c r="O142" s="320"/>
      <c r="P142" s="320"/>
      <c r="Q142" s="320"/>
      <c r="R142" s="320"/>
      <c r="S142" s="320"/>
      <c r="T142" s="320"/>
      <c r="U142" s="321">
        <f t="shared" si="193"/>
        <v>0</v>
      </c>
      <c r="V142" s="317"/>
      <c r="W142" s="318">
        <f t="shared" si="222"/>
        <v>0</v>
      </c>
      <c r="X142" s="318">
        <f t="shared" si="223"/>
        <v>0</v>
      </c>
      <c r="Y142" s="320"/>
      <c r="Z142" s="320"/>
      <c r="AA142" s="320"/>
      <c r="AB142" s="320"/>
      <c r="AC142" s="320"/>
      <c r="AD142" s="320"/>
      <c r="AE142" s="321">
        <f t="shared" si="194"/>
        <v>0</v>
      </c>
      <c r="AF142" s="317"/>
      <c r="AG142" s="318">
        <f t="shared" si="224"/>
        <v>0</v>
      </c>
      <c r="AH142" s="318">
        <f t="shared" si="225"/>
        <v>0</v>
      </c>
      <c r="AI142" s="320"/>
      <c r="AJ142" s="320"/>
      <c r="AK142" s="320"/>
      <c r="AL142" s="320"/>
      <c r="AM142" s="320"/>
      <c r="AN142" s="320"/>
      <c r="AO142" s="321">
        <f t="shared" si="195"/>
        <v>0</v>
      </c>
      <c r="AP142" s="317"/>
      <c r="AQ142" s="318">
        <f t="shared" si="226"/>
        <v>0</v>
      </c>
      <c r="AR142" s="318">
        <f t="shared" si="227"/>
        <v>0</v>
      </c>
      <c r="AS142" s="320"/>
      <c r="AT142" s="320"/>
      <c r="AU142" s="320"/>
      <c r="AV142" s="320"/>
      <c r="AW142" s="320"/>
      <c r="AX142" s="320"/>
      <c r="AY142" s="321">
        <f t="shared" si="196"/>
        <v>0</v>
      </c>
      <c r="AZ142" s="317"/>
      <c r="BA142" s="318">
        <f t="shared" si="228"/>
        <v>0</v>
      </c>
      <c r="BB142" s="318">
        <f t="shared" si="229"/>
        <v>0</v>
      </c>
      <c r="BC142" s="320"/>
      <c r="BD142" s="320"/>
      <c r="BE142" s="320"/>
      <c r="BF142" s="320"/>
      <c r="BG142" s="320"/>
      <c r="BH142" s="320"/>
      <c r="BI142" s="321">
        <f t="shared" si="197"/>
        <v>0</v>
      </c>
      <c r="BJ142" s="323"/>
      <c r="BK142" s="318">
        <f t="shared" si="198"/>
        <v>0</v>
      </c>
      <c r="BL142" s="318">
        <f t="shared" si="199"/>
        <v>0</v>
      </c>
      <c r="BM142" s="320"/>
      <c r="BN142" s="320"/>
      <c r="BO142" s="320"/>
      <c r="BP142" s="320"/>
      <c r="BQ142" s="320"/>
      <c r="BR142" s="320"/>
      <c r="BS142" s="321">
        <f t="shared" si="200"/>
        <v>0</v>
      </c>
      <c r="BT142" s="207"/>
      <c r="BU142" s="318">
        <f t="shared" si="215"/>
        <v>0</v>
      </c>
      <c r="BV142" s="318">
        <f t="shared" si="201"/>
        <v>0</v>
      </c>
      <c r="BW142" s="208"/>
      <c r="BX142" s="208"/>
      <c r="BY142" s="208"/>
      <c r="BZ142" s="208"/>
      <c r="CA142" s="208"/>
      <c r="CB142" s="208"/>
      <c r="CC142" s="367">
        <f t="shared" si="202"/>
        <v>0</v>
      </c>
    </row>
    <row r="143" spans="1:81" s="316" customFormat="1" ht="15.95" customHeight="1">
      <c r="A143" s="214"/>
      <c r="B143" s="317"/>
      <c r="C143" s="318">
        <f>SUM(E143:I143)</f>
        <v>0</v>
      </c>
      <c r="D143" s="318">
        <f>IFERROR(C143/B143,0)</f>
        <v>0</v>
      </c>
      <c r="E143" s="320"/>
      <c r="F143" s="320"/>
      <c r="G143" s="320"/>
      <c r="H143" s="320"/>
      <c r="I143" s="320"/>
      <c r="J143" s="320"/>
      <c r="K143" s="321">
        <f t="shared" si="192"/>
        <v>0</v>
      </c>
      <c r="L143" s="317"/>
      <c r="M143" s="318">
        <f>SUM(O143:S143)</f>
        <v>0</v>
      </c>
      <c r="N143" s="318">
        <f>IFERROR(M143/L143,0)</f>
        <v>0</v>
      </c>
      <c r="O143" s="320"/>
      <c r="P143" s="320"/>
      <c r="Q143" s="320"/>
      <c r="R143" s="320"/>
      <c r="S143" s="320"/>
      <c r="T143" s="320"/>
      <c r="U143" s="321">
        <f t="shared" si="193"/>
        <v>0</v>
      </c>
      <c r="V143" s="317"/>
      <c r="W143" s="318">
        <f>SUM(Y143:AC143)</f>
        <v>0</v>
      </c>
      <c r="X143" s="318">
        <f>IFERROR(W143/V143,0)</f>
        <v>0</v>
      </c>
      <c r="Y143" s="320"/>
      <c r="Z143" s="320"/>
      <c r="AA143" s="320"/>
      <c r="AB143" s="320"/>
      <c r="AC143" s="320"/>
      <c r="AD143" s="320"/>
      <c r="AE143" s="321">
        <f t="shared" si="194"/>
        <v>0</v>
      </c>
      <c r="AF143" s="317"/>
      <c r="AG143" s="318">
        <f>SUM(AI143:AM143)</f>
        <v>0</v>
      </c>
      <c r="AH143" s="318">
        <f>IFERROR(AG143/AF143,0)</f>
        <v>0</v>
      </c>
      <c r="AI143" s="320"/>
      <c r="AJ143" s="320"/>
      <c r="AK143" s="320"/>
      <c r="AL143" s="320"/>
      <c r="AM143" s="320"/>
      <c r="AN143" s="320"/>
      <c r="AO143" s="321">
        <f t="shared" si="195"/>
        <v>0</v>
      </c>
      <c r="AP143" s="317"/>
      <c r="AQ143" s="318">
        <f>SUM(AS143:AW143)</f>
        <v>0</v>
      </c>
      <c r="AR143" s="318">
        <f>IFERROR(AQ143/AP143,0)</f>
        <v>0</v>
      </c>
      <c r="AS143" s="320"/>
      <c r="AT143" s="320"/>
      <c r="AU143" s="320"/>
      <c r="AV143" s="320"/>
      <c r="AW143" s="320"/>
      <c r="AX143" s="320"/>
      <c r="AY143" s="321">
        <f t="shared" si="196"/>
        <v>0</v>
      </c>
      <c r="AZ143" s="317"/>
      <c r="BA143" s="318">
        <f>SUM(BC143:BG143)</f>
        <v>0</v>
      </c>
      <c r="BB143" s="318">
        <f>IFERROR(BA143/AZ143,0)</f>
        <v>0</v>
      </c>
      <c r="BC143" s="320"/>
      <c r="BD143" s="320"/>
      <c r="BE143" s="320"/>
      <c r="BF143" s="320"/>
      <c r="BG143" s="320"/>
      <c r="BH143" s="320"/>
      <c r="BI143" s="321">
        <f t="shared" si="197"/>
        <v>0</v>
      </c>
      <c r="BJ143" s="323"/>
      <c r="BK143" s="318">
        <f t="shared" si="198"/>
        <v>0</v>
      </c>
      <c r="BL143" s="318">
        <f t="shared" si="199"/>
        <v>0</v>
      </c>
      <c r="BM143" s="320"/>
      <c r="BN143" s="320"/>
      <c r="BO143" s="320"/>
      <c r="BP143" s="320"/>
      <c r="BQ143" s="320"/>
      <c r="BR143" s="320"/>
      <c r="BS143" s="321">
        <f t="shared" si="200"/>
        <v>0</v>
      </c>
      <c r="BT143" s="207"/>
      <c r="BU143" s="318">
        <f t="shared" si="215"/>
        <v>0</v>
      </c>
      <c r="BV143" s="318">
        <f t="shared" si="201"/>
        <v>0</v>
      </c>
      <c r="BW143" s="208"/>
      <c r="BX143" s="208"/>
      <c r="BY143" s="208"/>
      <c r="BZ143" s="208"/>
      <c r="CA143" s="208"/>
      <c r="CB143" s="208"/>
      <c r="CC143" s="367">
        <f t="shared" si="202"/>
        <v>0</v>
      </c>
    </row>
    <row r="144" spans="1:81" s="316" customFormat="1" ht="15.95" customHeight="1">
      <c r="A144" s="327" t="s">
        <v>153</v>
      </c>
      <c r="B144" s="317"/>
      <c r="C144" s="318"/>
      <c r="D144" s="318"/>
      <c r="E144" s="320"/>
      <c r="F144" s="320"/>
      <c r="G144" s="320"/>
      <c r="H144" s="320"/>
      <c r="I144" s="320"/>
      <c r="J144" s="320"/>
      <c r="K144" s="321"/>
      <c r="L144" s="317"/>
      <c r="M144" s="318"/>
      <c r="N144" s="318"/>
      <c r="O144" s="320"/>
      <c r="P144" s="320"/>
      <c r="Q144" s="320"/>
      <c r="R144" s="320"/>
      <c r="S144" s="320"/>
      <c r="T144" s="320"/>
      <c r="U144" s="321"/>
      <c r="V144" s="317"/>
      <c r="W144" s="318"/>
      <c r="X144" s="318"/>
      <c r="Y144" s="320"/>
      <c r="Z144" s="320"/>
      <c r="AA144" s="320"/>
      <c r="AB144" s="320"/>
      <c r="AC144" s="320"/>
      <c r="AD144" s="320"/>
      <c r="AE144" s="321"/>
      <c r="AF144" s="317"/>
      <c r="AG144" s="318"/>
      <c r="AH144" s="318"/>
      <c r="AI144" s="320"/>
      <c r="AJ144" s="320"/>
      <c r="AK144" s="320"/>
      <c r="AL144" s="320"/>
      <c r="AM144" s="320"/>
      <c r="AN144" s="320"/>
      <c r="AO144" s="321"/>
      <c r="AP144" s="317"/>
      <c r="AQ144" s="318"/>
      <c r="AR144" s="318"/>
      <c r="AS144" s="320"/>
      <c r="AT144" s="320"/>
      <c r="AU144" s="320"/>
      <c r="AV144" s="320"/>
      <c r="AW144" s="320"/>
      <c r="AX144" s="320"/>
      <c r="AY144" s="321"/>
      <c r="AZ144" s="317"/>
      <c r="BA144" s="318"/>
      <c r="BB144" s="318"/>
      <c r="BC144" s="320"/>
      <c r="BD144" s="320"/>
      <c r="BE144" s="320"/>
      <c r="BF144" s="320"/>
      <c r="BG144" s="320"/>
      <c r="BH144" s="320"/>
      <c r="BI144" s="321"/>
      <c r="BJ144" s="317"/>
      <c r="BK144" s="318"/>
      <c r="BL144" s="318"/>
      <c r="BM144" s="320"/>
      <c r="BN144" s="320"/>
      <c r="BO144" s="320"/>
      <c r="BP144" s="320"/>
      <c r="BQ144" s="320"/>
      <c r="BR144" s="320"/>
      <c r="BS144" s="321"/>
      <c r="BT144" s="317"/>
      <c r="BU144" s="318"/>
      <c r="BV144" s="318"/>
      <c r="BW144" s="320"/>
      <c r="BX144" s="320"/>
      <c r="BY144" s="320"/>
      <c r="BZ144" s="320"/>
      <c r="CA144" s="320"/>
      <c r="CB144" s="320"/>
      <c r="CC144" s="321"/>
    </row>
    <row r="145" spans="1:81" s="316" customFormat="1" ht="15.95" customHeight="1">
      <c r="A145" s="328" t="s">
        <v>224</v>
      </c>
      <c r="B145" s="329">
        <f>SUM(B$113:B144)</f>
        <v>1985</v>
      </c>
      <c r="C145" s="318">
        <f>SUM(C$113:C144)</f>
        <v>4908563.0700000012</v>
      </c>
      <c r="D145" s="318">
        <f>IFERROR(C145/B145,0)</f>
        <v>2472.8277430730486</v>
      </c>
      <c r="E145" s="330">
        <f>SUM(E$113:E144)</f>
        <v>2000</v>
      </c>
      <c r="F145" s="330">
        <f>SUM(F$113:F144)</f>
        <v>0</v>
      </c>
      <c r="G145" s="330">
        <f>SUM(G$113:G144)</f>
        <v>16991.099999999999</v>
      </c>
      <c r="H145" s="330">
        <f>SUM(H$113:H144)</f>
        <v>3578014</v>
      </c>
      <c r="I145" s="330">
        <f>SUM(I$113:I144)</f>
        <v>1311557.97</v>
      </c>
      <c r="J145" s="330">
        <f>SUM(J$113:J144)</f>
        <v>4423533.3000000007</v>
      </c>
      <c r="K145" s="321">
        <f>SUM(K$113:K144)</f>
        <v>2000</v>
      </c>
      <c r="L145" s="329">
        <f>SUM(L$113:L144)</f>
        <v>2152</v>
      </c>
      <c r="M145" s="318">
        <f>SUM(M$113:M144)</f>
        <v>5521977.7700000005</v>
      </c>
      <c r="N145" s="318">
        <f>IFERROR(M145/L145,0)</f>
        <v>2565.9748001858738</v>
      </c>
      <c r="O145" s="330">
        <f>SUM(O$113:O144)</f>
        <v>16250</v>
      </c>
      <c r="P145" s="330">
        <f>SUM(P$113:P144)</f>
        <v>0</v>
      </c>
      <c r="Q145" s="330">
        <f>SUM(Q$113:Q144)</f>
        <v>4877.7299999999996</v>
      </c>
      <c r="R145" s="330">
        <f>SUM(R$113:R144)</f>
        <v>3788826</v>
      </c>
      <c r="S145" s="330">
        <f>SUM(S$113:S144)</f>
        <v>1712024.04</v>
      </c>
      <c r="T145" s="330">
        <f>SUM(T$113:T144)</f>
        <v>5032108.2700000005</v>
      </c>
      <c r="U145" s="321">
        <f>SUM(U$113:U144)</f>
        <v>16250</v>
      </c>
      <c r="V145" s="329">
        <f>SUM(V$113:V144)</f>
        <v>3515</v>
      </c>
      <c r="W145" s="318">
        <f>SUM(W$113:W144)</f>
        <v>6289719</v>
      </c>
      <c r="X145" s="318">
        <f>IFERROR(W145/V145,0)</f>
        <v>1789.3937411095305</v>
      </c>
      <c r="Y145" s="330">
        <f>SUM(Y$113:Y144)</f>
        <v>18400</v>
      </c>
      <c r="Z145" s="330">
        <f>SUM(Z$113:Z144)</f>
        <v>0</v>
      </c>
      <c r="AA145" s="330">
        <f>SUM(AA$113:AA144)</f>
        <v>16256</v>
      </c>
      <c r="AB145" s="330">
        <f>SUM(AB$113:AB144)</f>
        <v>3592054</v>
      </c>
      <c r="AC145" s="330">
        <f>SUM(AC$113:AC144)</f>
        <v>2663009</v>
      </c>
      <c r="AD145" s="330">
        <f>SUM(AD$113:AD144)</f>
        <v>5786639</v>
      </c>
      <c r="AE145" s="321">
        <f>SUM(AE$113:AE144)</f>
        <v>18050</v>
      </c>
      <c r="AF145" s="329">
        <f>SUM(AF$113:AF144)</f>
        <v>3550</v>
      </c>
      <c r="AG145" s="318">
        <f>SUM(AG$113:AG144)</f>
        <v>6431547.8800000008</v>
      </c>
      <c r="AH145" s="318">
        <f>IFERROR(AG145/AF145,0)</f>
        <v>1811.7036281690143</v>
      </c>
      <c r="AI145" s="330">
        <f>SUM(AI$113:AI144)</f>
        <v>15000</v>
      </c>
      <c r="AJ145" s="330">
        <f>SUM(AJ$113:AJ144)</f>
        <v>2000</v>
      </c>
      <c r="AK145" s="330">
        <f>SUM(AK$113:AK144)</f>
        <v>26124.14</v>
      </c>
      <c r="AL145" s="330">
        <f>SUM(AL$113:AL144)</f>
        <v>3622739</v>
      </c>
      <c r="AM145" s="330">
        <f>SUM(AM$113:AM144)</f>
        <v>2765684.7399999998</v>
      </c>
      <c r="AN145" s="330">
        <f>SUM(AN$113:AN144)</f>
        <v>5895657.1600000011</v>
      </c>
      <c r="AO145" s="321">
        <f>SUM(AO$113:AO144)</f>
        <v>11250</v>
      </c>
      <c r="AP145" s="329">
        <f>SUM(AP$113:AP144)</f>
        <v>3341</v>
      </c>
      <c r="AQ145" s="318">
        <f>SUM(AQ$113:AQ144)</f>
        <v>6930312.1999999993</v>
      </c>
      <c r="AR145" s="318">
        <f>IFERROR(AQ145/AP145,0)</f>
        <v>2074.3227177491767</v>
      </c>
      <c r="AS145" s="330">
        <f>SUM(AS$113:AS144)</f>
        <v>13673.25</v>
      </c>
      <c r="AT145" s="330">
        <f>SUM(AT$113:AT144)</f>
        <v>0</v>
      </c>
      <c r="AU145" s="330">
        <f>SUM(AU$113:AU144)</f>
        <v>20238.14</v>
      </c>
      <c r="AV145" s="330">
        <f>SUM(AV$113:AV144)</f>
        <v>4225392</v>
      </c>
      <c r="AW145" s="330">
        <f>SUM(AW$113:AW144)</f>
        <v>2671008.81</v>
      </c>
      <c r="AX145" s="330">
        <f>SUM(AX$113:AX144)</f>
        <v>6327407.8099999996</v>
      </c>
      <c r="AY145" s="321">
        <f>SUM(AY$113:AY144)</f>
        <v>13673.25</v>
      </c>
      <c r="AZ145" s="329">
        <f>SUM(AZ$113:AZ144)</f>
        <v>4252</v>
      </c>
      <c r="BA145" s="318">
        <f>SUM(BA$113:BA144)</f>
        <v>6384964.7599999998</v>
      </c>
      <c r="BB145" s="318">
        <f>IFERROR(BA145/AZ145,0)</f>
        <v>1501.637996237065</v>
      </c>
      <c r="BC145" s="330">
        <f>SUM(BC$113:BC144)</f>
        <v>574200.29</v>
      </c>
      <c r="BD145" s="330">
        <f>SUM(BD$113:BD144)</f>
        <v>165</v>
      </c>
      <c r="BE145" s="330">
        <f>SUM(BE$113:BE144)</f>
        <v>19402.48</v>
      </c>
      <c r="BF145" s="330">
        <f>SUM(BF$113:BF144)</f>
        <v>3387369</v>
      </c>
      <c r="BG145" s="330">
        <f>SUM(BG$113:BG144)</f>
        <v>2403827.9900000002</v>
      </c>
      <c r="BH145" s="330">
        <f>SUM(BH$113:BH144)</f>
        <v>5784962.6599999992</v>
      </c>
      <c r="BI145" s="321">
        <f>SUM(BI$113:BI144)</f>
        <v>496509.75</v>
      </c>
      <c r="BJ145" s="329">
        <f>SUM(BJ$113:BJ144)</f>
        <v>3987</v>
      </c>
      <c r="BK145" s="318">
        <f>SUM(BK$113:BK144)</f>
        <v>6234600.3799999999</v>
      </c>
      <c r="BL145" s="318">
        <f>IFERROR(BK145/BJ145,0)</f>
        <v>1563.7322247303737</v>
      </c>
      <c r="BM145" s="330">
        <f>SUM(BM$113:BM144)</f>
        <v>226270.96</v>
      </c>
      <c r="BN145" s="330">
        <f>SUM(BN$113:BN144)</f>
        <v>3225</v>
      </c>
      <c r="BO145" s="330">
        <f>SUM(BO$113:BO144)</f>
        <v>18495.150000000001</v>
      </c>
      <c r="BP145" s="330">
        <f>SUM(BP$113:BP144)</f>
        <v>3433521</v>
      </c>
      <c r="BQ145" s="330">
        <f>SUM(BQ$113:BQ144)</f>
        <v>2553088.27</v>
      </c>
      <c r="BR145" s="330">
        <f>SUM(BR$113:BR144)</f>
        <v>5763198.1399999997</v>
      </c>
      <c r="BS145" s="321">
        <f>SUM(BS$113:BS144)</f>
        <v>222500</v>
      </c>
      <c r="BT145" s="329">
        <f>SUM(BT$113:BT144)</f>
        <v>3475</v>
      </c>
      <c r="BU145" s="318">
        <f>SUM(BU$113:BU144)</f>
        <v>6293015</v>
      </c>
      <c r="BV145" s="318">
        <f>IFERROR(BU145/BT145,0)</f>
        <v>1810.9395683453238</v>
      </c>
      <c r="BW145" s="330">
        <f>SUM(BW$113:BW144)</f>
        <v>73357.75</v>
      </c>
      <c r="BX145" s="330">
        <f>SUM(BX$113:BX144)</f>
        <v>1405</v>
      </c>
      <c r="BY145" s="330">
        <f>SUM(BY$113:BY144)</f>
        <v>21440.29</v>
      </c>
      <c r="BZ145" s="330">
        <f>SUM(BZ$113:BZ144)</f>
        <v>3527855</v>
      </c>
      <c r="CA145" s="330">
        <f>SUM(CA$113:CA144)</f>
        <v>2670387.4900000002</v>
      </c>
      <c r="CB145" s="330">
        <f>SUM(CB$113:CB144)</f>
        <v>5727270.21</v>
      </c>
      <c r="CC145" s="321">
        <f>SUM(CC$113:CC144)</f>
        <v>70436.25</v>
      </c>
    </row>
    <row r="146" spans="1:81" s="316" customFormat="1" ht="15.95" customHeight="1">
      <c r="A146" s="322"/>
      <c r="B146" s="317"/>
      <c r="C146" s="318"/>
      <c r="D146" s="318"/>
      <c r="E146" s="320"/>
      <c r="F146" s="320"/>
      <c r="G146" s="320"/>
      <c r="H146" s="320"/>
      <c r="I146" s="320"/>
      <c r="J146" s="320"/>
      <c r="K146" s="321"/>
      <c r="L146" s="317"/>
      <c r="M146" s="318"/>
      <c r="N146" s="318"/>
      <c r="O146" s="320"/>
      <c r="P146" s="320"/>
      <c r="Q146" s="320"/>
      <c r="R146" s="320"/>
      <c r="S146" s="320"/>
      <c r="T146" s="320"/>
      <c r="U146" s="321"/>
      <c r="V146" s="317"/>
      <c r="W146" s="318"/>
      <c r="X146" s="318"/>
      <c r="Y146" s="320"/>
      <c r="Z146" s="320"/>
      <c r="AA146" s="320"/>
      <c r="AB146" s="320"/>
      <c r="AC146" s="320"/>
      <c r="AD146" s="320"/>
      <c r="AE146" s="321"/>
      <c r="AF146" s="317"/>
      <c r="AG146" s="318"/>
      <c r="AH146" s="318"/>
      <c r="AI146" s="320"/>
      <c r="AJ146" s="320"/>
      <c r="AK146" s="320"/>
      <c r="AL146" s="320"/>
      <c r="AM146" s="320"/>
      <c r="AN146" s="320"/>
      <c r="AO146" s="321"/>
      <c r="AP146" s="317"/>
      <c r="AQ146" s="318"/>
      <c r="AR146" s="318"/>
      <c r="AS146" s="320"/>
      <c r="AT146" s="320"/>
      <c r="AU146" s="320"/>
      <c r="AV146" s="320"/>
      <c r="AW146" s="320"/>
      <c r="AX146" s="320"/>
      <c r="AY146" s="321"/>
      <c r="AZ146" s="317"/>
      <c r="BA146" s="318"/>
      <c r="BB146" s="318"/>
      <c r="BC146" s="320"/>
      <c r="BD146" s="320"/>
      <c r="BE146" s="320"/>
      <c r="BF146" s="320"/>
      <c r="BG146" s="320"/>
      <c r="BH146" s="320"/>
      <c r="BI146" s="321"/>
      <c r="BJ146" s="317"/>
      <c r="BK146" s="318"/>
      <c r="BL146" s="318"/>
      <c r="BM146" s="320"/>
      <c r="BN146" s="320"/>
      <c r="BO146" s="320"/>
      <c r="BP146" s="320"/>
      <c r="BQ146" s="320"/>
      <c r="BR146" s="320"/>
      <c r="BS146" s="321"/>
      <c r="BT146" s="317"/>
      <c r="BU146" s="318"/>
      <c r="BV146" s="318"/>
      <c r="BW146" s="320"/>
      <c r="BX146" s="320"/>
      <c r="BY146" s="320"/>
      <c r="BZ146" s="320"/>
      <c r="CA146" s="320"/>
      <c r="CB146" s="320"/>
      <c r="CC146" s="321"/>
    </row>
    <row r="147" spans="1:81" s="315" customFormat="1" ht="33" customHeight="1">
      <c r="A147" s="332" t="s">
        <v>225</v>
      </c>
      <c r="B147" s="333">
        <f>SUM(B145,B111,B66)</f>
        <v>6239</v>
      </c>
      <c r="C147" s="334">
        <f>SUM(C145,C111,C66)</f>
        <v>15008453.5</v>
      </c>
      <c r="D147" s="334">
        <f>IFERROR(C147/B147,0)</f>
        <v>2405.5863920500078</v>
      </c>
      <c r="E147" s="335">
        <f t="shared" ref="E147:M147" si="230">SUM(E145,E111,E66)</f>
        <v>487936.57</v>
      </c>
      <c r="F147" s="335">
        <f t="shared" si="230"/>
        <v>349252.6</v>
      </c>
      <c r="G147" s="335">
        <f t="shared" si="230"/>
        <v>610850.14</v>
      </c>
      <c r="H147" s="335">
        <f t="shared" si="230"/>
        <v>11826880.039999999</v>
      </c>
      <c r="I147" s="335">
        <f t="shared" si="230"/>
        <v>1733534.15</v>
      </c>
      <c r="J147" s="335">
        <f t="shared" si="230"/>
        <v>13469859.850000001</v>
      </c>
      <c r="K147" s="336">
        <f t="shared" si="230"/>
        <v>412514.32</v>
      </c>
      <c r="L147" s="333">
        <f t="shared" si="230"/>
        <v>6275</v>
      </c>
      <c r="M147" s="337">
        <f t="shared" si="230"/>
        <v>15111490.15</v>
      </c>
      <c r="N147" s="334">
        <f>IFERROR(M147/L147,0)</f>
        <v>2408.2056015936255</v>
      </c>
      <c r="O147" s="335">
        <f t="shared" ref="O147:W147" si="231">SUM(O145,O111,O66)</f>
        <v>602561.68999999994</v>
      </c>
      <c r="P147" s="335">
        <f t="shared" si="231"/>
        <v>435896.92</v>
      </c>
      <c r="Q147" s="335">
        <f t="shared" si="231"/>
        <v>571699.58000000007</v>
      </c>
      <c r="R147" s="335">
        <f t="shared" si="231"/>
        <v>11425042.289999999</v>
      </c>
      <c r="S147" s="335">
        <f t="shared" si="231"/>
        <v>2076289.67</v>
      </c>
      <c r="T147" s="335">
        <f t="shared" si="231"/>
        <v>13593015.940000001</v>
      </c>
      <c r="U147" s="336">
        <f t="shared" si="231"/>
        <v>480813.83999999997</v>
      </c>
      <c r="V147" s="333">
        <f t="shared" si="231"/>
        <v>7886</v>
      </c>
      <c r="W147" s="334">
        <f t="shared" si="231"/>
        <v>16085615</v>
      </c>
      <c r="X147" s="334">
        <f>IFERROR(W147/V147,0)</f>
        <v>2039.7685772254629</v>
      </c>
      <c r="Y147" s="335">
        <f t="shared" ref="Y147:AG147" si="232">SUM(Y145,Y111,Y66)</f>
        <v>642725</v>
      </c>
      <c r="Z147" s="335">
        <f t="shared" si="232"/>
        <v>456604</v>
      </c>
      <c r="AA147" s="335">
        <f t="shared" si="232"/>
        <v>663136</v>
      </c>
      <c r="AB147" s="335">
        <f t="shared" si="232"/>
        <v>11286136</v>
      </c>
      <c r="AC147" s="335">
        <f t="shared" si="232"/>
        <v>3037014</v>
      </c>
      <c r="AD147" s="335">
        <f t="shared" si="232"/>
        <v>14450067</v>
      </c>
      <c r="AE147" s="336">
        <f t="shared" si="232"/>
        <v>478411</v>
      </c>
      <c r="AF147" s="333">
        <f t="shared" si="232"/>
        <v>7716</v>
      </c>
      <c r="AG147" s="334">
        <f t="shared" si="232"/>
        <v>16296142.229999999</v>
      </c>
      <c r="AH147" s="334">
        <f>IFERROR(AG147/AF147,0)</f>
        <v>2111.9935497667184</v>
      </c>
      <c r="AI147" s="335">
        <f t="shared" ref="AI147:AQ147" si="233">SUM(AI145,AI111,AI66)</f>
        <v>701444.13</v>
      </c>
      <c r="AJ147" s="335">
        <f t="shared" si="233"/>
        <v>491136.39999999997</v>
      </c>
      <c r="AK147" s="335">
        <f t="shared" si="233"/>
        <v>644023.92999999993</v>
      </c>
      <c r="AL147" s="335">
        <f t="shared" si="233"/>
        <v>11293615.93</v>
      </c>
      <c r="AM147" s="335">
        <f t="shared" si="233"/>
        <v>3165921.84</v>
      </c>
      <c r="AN147" s="335">
        <f t="shared" si="233"/>
        <v>14713422.650000002</v>
      </c>
      <c r="AO147" s="336">
        <f t="shared" si="233"/>
        <v>513728.88</v>
      </c>
      <c r="AP147" s="333">
        <f t="shared" si="233"/>
        <v>7529</v>
      </c>
      <c r="AQ147" s="334">
        <f t="shared" si="233"/>
        <v>16579867.16</v>
      </c>
      <c r="AR147" s="334">
        <f>IFERROR(AQ147/AP147,0)</f>
        <v>2202.1340363926151</v>
      </c>
      <c r="AS147" s="335">
        <f t="shared" ref="AS147:BA147" si="234">SUM(AS145,AS111,AS66)</f>
        <v>707000.17999999993</v>
      </c>
      <c r="AT147" s="335">
        <f t="shared" si="234"/>
        <v>427266.83</v>
      </c>
      <c r="AU147" s="335">
        <f t="shared" si="234"/>
        <v>693561.66999999993</v>
      </c>
      <c r="AV147" s="335">
        <f t="shared" si="234"/>
        <v>11680347.300000001</v>
      </c>
      <c r="AW147" s="335">
        <f t="shared" si="234"/>
        <v>3071691.18</v>
      </c>
      <c r="AX147" s="335">
        <f t="shared" si="234"/>
        <v>14954634.890000001</v>
      </c>
      <c r="AY147" s="336">
        <f t="shared" si="234"/>
        <v>512386.89</v>
      </c>
      <c r="AZ147" s="333">
        <f t="shared" si="234"/>
        <v>8029</v>
      </c>
      <c r="BA147" s="334">
        <f t="shared" si="234"/>
        <v>14621498.93</v>
      </c>
      <c r="BB147" s="334">
        <f>IFERROR(BA147/AZ147,0)</f>
        <v>1821.0859297546394</v>
      </c>
      <c r="BC147" s="335">
        <f t="shared" ref="BC147:BK147" si="235">SUM(BC145,BC111,BC66)</f>
        <v>1175852.8</v>
      </c>
      <c r="BD147" s="335">
        <f t="shared" si="235"/>
        <v>306717.65999999997</v>
      </c>
      <c r="BE147" s="335">
        <f t="shared" si="235"/>
        <v>733327.91</v>
      </c>
      <c r="BF147" s="335">
        <f t="shared" si="235"/>
        <v>9583743.9299999997</v>
      </c>
      <c r="BG147" s="335">
        <f t="shared" si="235"/>
        <v>2821856.6300000004</v>
      </c>
      <c r="BH147" s="335">
        <f t="shared" si="235"/>
        <v>13131359.98</v>
      </c>
      <c r="BI147" s="336">
        <f t="shared" si="235"/>
        <v>933421.12</v>
      </c>
      <c r="BJ147" s="333">
        <f t="shared" si="235"/>
        <v>7539</v>
      </c>
      <c r="BK147" s="334">
        <f t="shared" si="235"/>
        <v>14814104.960000001</v>
      </c>
      <c r="BL147" s="334">
        <f>IFERROR(BK147/BJ147,0)</f>
        <v>1964.9960153866562</v>
      </c>
      <c r="BM147" s="335">
        <f t="shared" ref="BM147:BU147" si="236">SUM(BM145,BM111,BM66)</f>
        <v>890759.29999999993</v>
      </c>
      <c r="BN147" s="335">
        <f t="shared" si="236"/>
        <v>386237.77</v>
      </c>
      <c r="BO147" s="335">
        <f t="shared" si="236"/>
        <v>880680.95</v>
      </c>
      <c r="BP147" s="335">
        <f t="shared" si="236"/>
        <v>9656302.8599999994</v>
      </c>
      <c r="BQ147" s="335">
        <f t="shared" si="236"/>
        <v>3000124.08</v>
      </c>
      <c r="BR147" s="335">
        <f t="shared" si="236"/>
        <v>13537186.530000001</v>
      </c>
      <c r="BS147" s="336">
        <f t="shared" si="236"/>
        <v>765565.04</v>
      </c>
      <c r="BT147" s="333">
        <f t="shared" si="236"/>
        <v>6915</v>
      </c>
      <c r="BU147" s="334">
        <f t="shared" si="236"/>
        <v>15404211.9</v>
      </c>
      <c r="BV147" s="334">
        <f>IFERROR(BU147/BT147,0)</f>
        <v>2227.6517570498918</v>
      </c>
      <c r="BW147" s="335">
        <f t="shared" ref="BW147:CC147" si="237">SUM(BW145,BW111,BW66)</f>
        <v>769489.88</v>
      </c>
      <c r="BX147" s="335">
        <f t="shared" si="237"/>
        <v>436716.39</v>
      </c>
      <c r="BY147" s="335">
        <f t="shared" si="237"/>
        <v>1069626.6200000001</v>
      </c>
      <c r="BZ147" s="335">
        <f t="shared" si="237"/>
        <v>9948129.8499999996</v>
      </c>
      <c r="CA147" s="335">
        <f t="shared" si="237"/>
        <v>3181676.6100000003</v>
      </c>
      <c r="CB147" s="335">
        <f t="shared" si="237"/>
        <v>13881912.359999999</v>
      </c>
      <c r="CC147" s="336">
        <f t="shared" si="237"/>
        <v>582508.78</v>
      </c>
    </row>
    <row r="148" spans="1:81" s="251" customFormat="1" ht="12.75">
      <c r="A148" s="338"/>
      <c r="B148" s="339"/>
      <c r="C148" s="340"/>
      <c r="D148" s="341"/>
      <c r="E148" s="342"/>
      <c r="F148" s="342"/>
      <c r="G148" s="342"/>
      <c r="H148" s="342"/>
      <c r="I148" s="342"/>
      <c r="J148" s="342"/>
      <c r="K148" s="343"/>
      <c r="L148" s="344"/>
      <c r="M148" s="342"/>
      <c r="N148" s="342"/>
      <c r="O148" s="342"/>
      <c r="P148" s="342"/>
      <c r="Q148" s="342"/>
      <c r="R148" s="342"/>
      <c r="S148" s="342"/>
      <c r="T148" s="342"/>
      <c r="U148" s="343"/>
      <c r="V148" s="345"/>
      <c r="W148" s="340"/>
      <c r="X148" s="341"/>
      <c r="Y148" s="342"/>
      <c r="Z148" s="342"/>
      <c r="AA148" s="342"/>
      <c r="AB148" s="342"/>
      <c r="AC148" s="342"/>
      <c r="AD148" s="342"/>
      <c r="AE148" s="343"/>
      <c r="AF148" s="345"/>
      <c r="AG148" s="340"/>
      <c r="AH148" s="341"/>
      <c r="AI148" s="342"/>
      <c r="AJ148" s="342"/>
      <c r="AK148" s="342"/>
      <c r="AL148" s="342"/>
      <c r="AM148" s="342"/>
      <c r="AN148" s="342"/>
      <c r="AO148" s="343"/>
      <c r="AP148" s="345"/>
      <c r="AQ148" s="340"/>
      <c r="AR148" s="341"/>
      <c r="AS148" s="342"/>
      <c r="AT148" s="342"/>
      <c r="AU148" s="342"/>
      <c r="AV148" s="342"/>
      <c r="AW148" s="342"/>
      <c r="AX148" s="342"/>
      <c r="AY148" s="343"/>
      <c r="AZ148" s="345"/>
      <c r="BA148" s="340"/>
      <c r="BB148" s="341"/>
      <c r="BC148" s="342"/>
      <c r="BD148" s="342"/>
      <c r="BE148" s="342"/>
      <c r="BF148" s="342"/>
      <c r="BG148" s="342"/>
      <c r="BH148" s="342"/>
      <c r="BI148" s="343"/>
      <c r="BJ148" s="345"/>
      <c r="BK148" s="340"/>
      <c r="BL148" s="341"/>
      <c r="BM148" s="342"/>
      <c r="BN148" s="342"/>
      <c r="BO148" s="342"/>
      <c r="BP148" s="342"/>
      <c r="BQ148" s="342"/>
      <c r="BR148" s="342"/>
      <c r="BS148" s="343"/>
      <c r="BT148" s="345"/>
      <c r="BU148" s="340"/>
      <c r="BV148" s="341"/>
      <c r="BW148" s="342"/>
      <c r="BX148" s="342"/>
      <c r="BY148" s="342"/>
      <c r="BZ148" s="342"/>
      <c r="CA148" s="342"/>
      <c r="CB148" s="342"/>
      <c r="CC148" s="343"/>
    </row>
    <row r="149" spans="1:81" s="251" customFormat="1" ht="12.75">
      <c r="A149" s="338"/>
      <c r="B149" s="339"/>
      <c r="C149" s="340"/>
      <c r="D149" s="342"/>
      <c r="E149" s="342"/>
      <c r="F149" s="342"/>
      <c r="G149" s="342"/>
      <c r="H149" s="342"/>
      <c r="I149" s="342"/>
      <c r="J149" s="342"/>
      <c r="K149" s="343"/>
      <c r="L149" s="344"/>
      <c r="M149" s="342"/>
      <c r="N149" s="342"/>
      <c r="O149" s="342"/>
      <c r="P149" s="342"/>
      <c r="Q149" s="342"/>
      <c r="R149" s="342"/>
      <c r="S149" s="342"/>
      <c r="T149" s="342"/>
      <c r="U149" s="343"/>
      <c r="V149" s="345"/>
      <c r="W149" s="340"/>
      <c r="X149" s="342"/>
      <c r="Y149" s="342"/>
      <c r="Z149" s="342"/>
      <c r="AA149" s="342"/>
      <c r="AB149" s="342"/>
      <c r="AC149" s="342"/>
      <c r="AD149" s="342"/>
      <c r="AE149" s="343"/>
      <c r="AF149" s="345"/>
      <c r="AG149" s="340"/>
      <c r="AH149" s="342"/>
      <c r="AI149" s="342"/>
      <c r="AJ149" s="342"/>
      <c r="AK149" s="342"/>
      <c r="AL149" s="342"/>
      <c r="AM149" s="342"/>
      <c r="AN149" s="342"/>
      <c r="AO149" s="343"/>
      <c r="AP149" s="345"/>
      <c r="AQ149" s="340"/>
      <c r="AR149" s="342"/>
      <c r="AS149" s="342"/>
      <c r="AT149" s="342"/>
      <c r="AU149" s="342"/>
      <c r="AV149" s="342"/>
      <c r="AW149" s="342"/>
      <c r="AX149" s="342"/>
      <c r="AY149" s="343"/>
      <c r="AZ149" s="345"/>
      <c r="BA149" s="340"/>
      <c r="BB149" s="342"/>
      <c r="BC149" s="342"/>
      <c r="BD149" s="342"/>
      <c r="BE149" s="342"/>
      <c r="BF149" s="342"/>
      <c r="BG149" s="342"/>
      <c r="BH149" s="342"/>
      <c r="BI149" s="343"/>
      <c r="BJ149" s="345"/>
      <c r="BK149" s="340"/>
      <c r="BL149" s="342"/>
      <c r="BM149" s="342"/>
      <c r="BN149" s="342"/>
      <c r="BO149" s="342"/>
      <c r="BP149" s="342"/>
      <c r="BQ149" s="342"/>
      <c r="BR149" s="342"/>
      <c r="BS149" s="343"/>
      <c r="BT149" s="345"/>
      <c r="BU149" s="340"/>
      <c r="BV149" s="342"/>
      <c r="BW149" s="342"/>
      <c r="BX149" s="342"/>
      <c r="BY149" s="342"/>
      <c r="BZ149" s="342"/>
      <c r="CA149" s="342"/>
      <c r="CB149" s="342"/>
      <c r="CC149" s="343"/>
    </row>
    <row r="150" spans="1:81" s="251" customFormat="1" ht="12.75">
      <c r="A150" s="338"/>
      <c r="B150" s="339"/>
      <c r="C150" s="340"/>
      <c r="D150" s="341"/>
      <c r="E150" s="342"/>
      <c r="F150" s="342"/>
      <c r="G150" s="342"/>
      <c r="H150" s="342"/>
      <c r="I150" s="342"/>
      <c r="J150" s="342"/>
      <c r="K150" s="343"/>
      <c r="L150" s="344"/>
      <c r="M150" s="342"/>
      <c r="N150" s="342"/>
      <c r="O150" s="342"/>
      <c r="P150" s="342"/>
      <c r="Q150" s="342"/>
      <c r="R150" s="342"/>
      <c r="S150" s="342"/>
      <c r="T150" s="342"/>
      <c r="U150" s="343"/>
      <c r="V150" s="345"/>
      <c r="W150" s="340"/>
      <c r="X150" s="341"/>
      <c r="Y150" s="342"/>
      <c r="Z150" s="342"/>
      <c r="AA150" s="342"/>
      <c r="AB150" s="342"/>
      <c r="AC150" s="342"/>
      <c r="AD150" s="342"/>
      <c r="AE150" s="343"/>
      <c r="AF150" s="345"/>
      <c r="AG150" s="340"/>
      <c r="AH150" s="341"/>
      <c r="AI150" s="342"/>
      <c r="AJ150" s="342"/>
      <c r="AK150" s="342"/>
      <c r="AL150" s="342"/>
      <c r="AM150" s="342"/>
      <c r="AN150" s="342"/>
      <c r="AO150" s="343"/>
      <c r="AP150" s="345"/>
      <c r="AQ150" s="340"/>
      <c r="AR150" s="341"/>
      <c r="AS150" s="342"/>
      <c r="AT150" s="342"/>
      <c r="AU150" s="342"/>
      <c r="AV150" s="342"/>
      <c r="AW150" s="342"/>
      <c r="AX150" s="342"/>
      <c r="AY150" s="343"/>
      <c r="AZ150" s="345"/>
      <c r="BA150" s="340"/>
      <c r="BB150" s="341"/>
      <c r="BC150" s="342"/>
      <c r="BD150" s="342"/>
      <c r="BE150" s="342"/>
      <c r="BF150" s="342"/>
      <c r="BG150" s="342"/>
      <c r="BH150" s="342"/>
      <c r="BI150" s="343"/>
      <c r="BJ150" s="345"/>
      <c r="BK150" s="340"/>
      <c r="BL150" s="341"/>
      <c r="BM150" s="342"/>
      <c r="BN150" s="342"/>
      <c r="BO150" s="342"/>
      <c r="BP150" s="342"/>
      <c r="BQ150" s="342"/>
      <c r="BR150" s="342"/>
      <c r="BS150" s="343"/>
      <c r="BT150" s="345"/>
      <c r="BU150" s="340"/>
      <c r="BV150" s="341"/>
      <c r="BW150" s="342"/>
      <c r="BX150" s="342"/>
      <c r="BY150" s="342"/>
      <c r="BZ150" s="342"/>
      <c r="CA150" s="342"/>
      <c r="CB150" s="342"/>
      <c r="CC150" s="343"/>
    </row>
    <row r="151" spans="1:81" s="349" customFormat="1" ht="28.5" customHeight="1">
      <c r="A151" s="346" t="s">
        <v>226</v>
      </c>
      <c r="B151" s="347" t="str">
        <f>B2</f>
        <v>2015-16</v>
      </c>
      <c r="C151" s="441" t="str">
        <f>B151&amp;" COMMENTS"</f>
        <v>2015-16 COMMENTS</v>
      </c>
      <c r="D151" s="442"/>
      <c r="E151" s="442"/>
      <c r="F151" s="442"/>
      <c r="G151" s="442"/>
      <c r="H151" s="442"/>
      <c r="I151" s="442"/>
      <c r="J151" s="442"/>
      <c r="K151" s="443"/>
      <c r="L151" s="348" t="str">
        <f>L2</f>
        <v>2016-17</v>
      </c>
      <c r="M151" s="441" t="str">
        <f>L151&amp;" COMMENTS"</f>
        <v>2016-17 COMMENTS</v>
      </c>
      <c r="N151" s="442"/>
      <c r="O151" s="442"/>
      <c r="P151" s="442"/>
      <c r="Q151" s="442"/>
      <c r="R151" s="442"/>
      <c r="S151" s="442"/>
      <c r="T151" s="442"/>
      <c r="U151" s="443"/>
      <c r="V151" s="348" t="str">
        <f>V2</f>
        <v>2017-18</v>
      </c>
      <c r="W151" s="441" t="str">
        <f>V151&amp;" COMMENTS"</f>
        <v>2017-18 COMMENTS</v>
      </c>
      <c r="X151" s="442"/>
      <c r="Y151" s="442"/>
      <c r="Z151" s="442"/>
      <c r="AA151" s="442"/>
      <c r="AB151" s="442"/>
      <c r="AC151" s="442"/>
      <c r="AD151" s="442"/>
      <c r="AE151" s="443"/>
      <c r="AF151" s="348" t="str">
        <f>AF2</f>
        <v>2018-19</v>
      </c>
      <c r="AG151" s="441" t="str">
        <f>AF151&amp;" COMMENTS"</f>
        <v>2018-19 COMMENTS</v>
      </c>
      <c r="AH151" s="442"/>
      <c r="AI151" s="442"/>
      <c r="AJ151" s="442"/>
      <c r="AK151" s="442"/>
      <c r="AL151" s="442"/>
      <c r="AM151" s="442"/>
      <c r="AN151" s="442"/>
      <c r="AO151" s="443"/>
      <c r="AP151" s="348" t="str">
        <f>AP2</f>
        <v>2019-20</v>
      </c>
      <c r="AQ151" s="441" t="str">
        <f>AP151&amp;" COMMENTS"</f>
        <v>2019-20 COMMENTS</v>
      </c>
      <c r="AR151" s="442"/>
      <c r="AS151" s="442"/>
      <c r="AT151" s="442"/>
      <c r="AU151" s="442"/>
      <c r="AV151" s="442"/>
      <c r="AW151" s="442"/>
      <c r="AX151" s="442"/>
      <c r="AY151" s="443"/>
      <c r="AZ151" s="348" t="str">
        <f>AZ2</f>
        <v>2020-21</v>
      </c>
      <c r="BA151" s="441" t="str">
        <f>AZ151&amp;" COMMENTS"</f>
        <v>2020-21 COMMENTS</v>
      </c>
      <c r="BB151" s="442"/>
      <c r="BC151" s="442"/>
      <c r="BD151" s="442"/>
      <c r="BE151" s="442"/>
      <c r="BF151" s="442"/>
      <c r="BG151" s="442"/>
      <c r="BH151" s="442"/>
      <c r="BI151" s="443"/>
      <c r="BJ151" s="348" t="str">
        <f>BJ2</f>
        <v>2021-22</v>
      </c>
      <c r="BK151" s="441" t="str">
        <f>BJ151&amp;" COMMENTS"</f>
        <v>2021-22 COMMENTS</v>
      </c>
      <c r="BL151" s="442"/>
      <c r="BM151" s="442"/>
      <c r="BN151" s="442"/>
      <c r="BO151" s="442"/>
      <c r="BP151" s="442"/>
      <c r="BQ151" s="442"/>
      <c r="BR151" s="442"/>
      <c r="BS151" s="443"/>
      <c r="BT151" s="348" t="str">
        <f>BT2</f>
        <v>2022-23</v>
      </c>
      <c r="BU151" s="441" t="str">
        <f>BT151&amp;" COMMENTS"</f>
        <v>2022-23 COMMENTS</v>
      </c>
      <c r="BV151" s="442"/>
      <c r="BW151" s="442"/>
      <c r="BX151" s="442"/>
      <c r="BY151" s="442"/>
      <c r="BZ151" s="442"/>
      <c r="CA151" s="442"/>
      <c r="CB151" s="442"/>
      <c r="CC151" s="443"/>
    </row>
    <row r="152" spans="1:81" s="247" customFormat="1" ht="20.25" customHeight="1">
      <c r="A152" s="350" t="s">
        <v>227</v>
      </c>
      <c r="B152" s="351">
        <v>6722</v>
      </c>
      <c r="C152" s="444"/>
      <c r="D152" s="445"/>
      <c r="E152" s="445"/>
      <c r="F152" s="445"/>
      <c r="G152" s="445"/>
      <c r="H152" s="445"/>
      <c r="I152" s="445"/>
      <c r="J152" s="445"/>
      <c r="K152" s="446"/>
      <c r="L152" s="352">
        <v>6605</v>
      </c>
      <c r="M152" s="444" t="s">
        <v>228</v>
      </c>
      <c r="N152" s="445"/>
      <c r="O152" s="445"/>
      <c r="P152" s="445"/>
      <c r="Q152" s="445"/>
      <c r="R152" s="445"/>
      <c r="S152" s="445"/>
      <c r="T152" s="445"/>
      <c r="U152" s="446"/>
      <c r="V152" s="351">
        <v>6541</v>
      </c>
      <c r="W152" s="444" t="s">
        <v>229</v>
      </c>
      <c r="X152" s="445"/>
      <c r="Y152" s="445"/>
      <c r="Z152" s="445"/>
      <c r="AA152" s="445"/>
      <c r="AB152" s="445"/>
      <c r="AC152" s="445"/>
      <c r="AD152" s="445"/>
      <c r="AE152" s="446"/>
      <c r="AF152" s="351">
        <f>6294+24</f>
        <v>6318</v>
      </c>
      <c r="AG152" s="444" t="s">
        <v>230</v>
      </c>
      <c r="AH152" s="445"/>
      <c r="AI152" s="445"/>
      <c r="AJ152" s="445"/>
      <c r="AK152" s="445"/>
      <c r="AL152" s="445"/>
      <c r="AM152" s="445"/>
      <c r="AN152" s="445"/>
      <c r="AO152" s="446"/>
      <c r="AP152" s="351">
        <f>6450+29</f>
        <v>6479</v>
      </c>
      <c r="AQ152" s="447" t="s">
        <v>231</v>
      </c>
      <c r="AR152" s="448"/>
      <c r="AS152" s="448"/>
      <c r="AT152" s="448"/>
      <c r="AU152" s="448"/>
      <c r="AV152" s="448"/>
      <c r="AW152" s="448"/>
      <c r="AX152" s="448"/>
      <c r="AY152" s="449"/>
      <c r="AZ152" s="351">
        <f>6421+27</f>
        <v>6448</v>
      </c>
      <c r="BA152" s="447" t="s">
        <v>231</v>
      </c>
      <c r="BB152" s="448"/>
      <c r="BC152" s="448"/>
      <c r="BD152" s="448"/>
      <c r="BE152" s="448"/>
      <c r="BF152" s="448"/>
      <c r="BG152" s="448"/>
      <c r="BH152" s="448"/>
      <c r="BI152" s="449"/>
      <c r="BJ152" s="351">
        <f>6636+47</f>
        <v>6683</v>
      </c>
      <c r="BK152" s="447" t="s">
        <v>253</v>
      </c>
      <c r="BL152" s="448"/>
      <c r="BM152" s="448"/>
      <c r="BN152" s="448"/>
      <c r="BO152" s="448"/>
      <c r="BP152" s="448"/>
      <c r="BQ152" s="448"/>
      <c r="BR152" s="448"/>
      <c r="BS152" s="449"/>
      <c r="BT152" s="209">
        <f>6610+33</f>
        <v>6643</v>
      </c>
      <c r="BU152" s="447" t="s">
        <v>253</v>
      </c>
      <c r="BV152" s="448"/>
      <c r="BW152" s="448"/>
      <c r="BX152" s="448"/>
      <c r="BY152" s="448"/>
      <c r="BZ152" s="448"/>
      <c r="CA152" s="448"/>
      <c r="CB152" s="448"/>
      <c r="CC152" s="449"/>
    </row>
    <row r="153" spans="1:81" s="247" customFormat="1" ht="20.25" customHeight="1">
      <c r="A153" s="350" t="s">
        <v>232</v>
      </c>
      <c r="B153" s="351">
        <v>2199</v>
      </c>
      <c r="C153" s="447"/>
      <c r="D153" s="448"/>
      <c r="E153" s="448"/>
      <c r="F153" s="448"/>
      <c r="G153" s="448"/>
      <c r="H153" s="448"/>
      <c r="I153" s="448"/>
      <c r="J153" s="448"/>
      <c r="K153" s="449"/>
      <c r="L153" s="352">
        <v>2124</v>
      </c>
      <c r="M153" s="447"/>
      <c r="N153" s="448"/>
      <c r="O153" s="448"/>
      <c r="P153" s="448"/>
      <c r="Q153" s="448"/>
      <c r="R153" s="448"/>
      <c r="S153" s="448"/>
      <c r="T153" s="448"/>
      <c r="U153" s="449"/>
      <c r="V153" s="351">
        <v>4245</v>
      </c>
      <c r="W153" s="447"/>
      <c r="X153" s="448"/>
      <c r="Y153" s="448"/>
      <c r="Z153" s="448"/>
      <c r="AA153" s="448"/>
      <c r="AB153" s="448"/>
      <c r="AC153" s="448"/>
      <c r="AD153" s="448"/>
      <c r="AE153" s="449"/>
      <c r="AF153" s="351">
        <f>3868+24</f>
        <v>3892</v>
      </c>
      <c r="AG153" s="447"/>
      <c r="AH153" s="448"/>
      <c r="AI153" s="448"/>
      <c r="AJ153" s="448"/>
      <c r="AK153" s="448"/>
      <c r="AL153" s="448"/>
      <c r="AM153" s="448"/>
      <c r="AN153" s="448"/>
      <c r="AO153" s="449"/>
      <c r="AP153" s="351">
        <f>4036+29</f>
        <v>4065</v>
      </c>
      <c r="AQ153" s="447"/>
      <c r="AR153" s="448"/>
      <c r="AS153" s="448"/>
      <c r="AT153" s="448"/>
      <c r="AU153" s="448"/>
      <c r="AV153" s="448"/>
      <c r="AW153" s="448"/>
      <c r="AX153" s="448"/>
      <c r="AY153" s="449"/>
      <c r="AZ153" s="351">
        <v>4499</v>
      </c>
      <c r="BA153" s="447"/>
      <c r="BB153" s="448"/>
      <c r="BC153" s="448"/>
      <c r="BD153" s="448"/>
      <c r="BE153" s="448"/>
      <c r="BF153" s="448"/>
      <c r="BG153" s="448"/>
      <c r="BH153" s="448"/>
      <c r="BI153" s="449"/>
      <c r="BJ153" s="351">
        <f>4178+47</f>
        <v>4225</v>
      </c>
      <c r="BK153" s="447"/>
      <c r="BL153" s="448"/>
      <c r="BM153" s="448"/>
      <c r="BN153" s="448"/>
      <c r="BO153" s="448"/>
      <c r="BP153" s="448"/>
      <c r="BQ153" s="448"/>
      <c r="BR153" s="448"/>
      <c r="BS153" s="449"/>
      <c r="BT153" s="209">
        <f>4124+33</f>
        <v>4157</v>
      </c>
      <c r="BU153" s="447"/>
      <c r="BV153" s="448"/>
      <c r="BW153" s="448"/>
      <c r="BX153" s="448"/>
      <c r="BY153" s="448"/>
      <c r="BZ153" s="448"/>
      <c r="CA153" s="448"/>
      <c r="CB153" s="448"/>
      <c r="CC153" s="449"/>
    </row>
    <row r="154" spans="1:81" s="247" customFormat="1" ht="20.25" customHeight="1">
      <c r="A154" s="350" t="s">
        <v>233</v>
      </c>
      <c r="B154" s="351">
        <v>1587</v>
      </c>
      <c r="C154" s="447"/>
      <c r="D154" s="448"/>
      <c r="E154" s="448"/>
      <c r="F154" s="448"/>
      <c r="G154" s="448"/>
      <c r="H154" s="448"/>
      <c r="I154" s="448"/>
      <c r="J154" s="448"/>
      <c r="K154" s="449"/>
      <c r="L154" s="352">
        <v>1492</v>
      </c>
      <c r="M154" s="447"/>
      <c r="N154" s="448"/>
      <c r="O154" s="448"/>
      <c r="P154" s="448"/>
      <c r="Q154" s="448"/>
      <c r="R154" s="448"/>
      <c r="S154" s="448"/>
      <c r="T154" s="448"/>
      <c r="U154" s="449"/>
      <c r="V154" s="351">
        <v>1849</v>
      </c>
      <c r="W154" s="447"/>
      <c r="X154" s="448"/>
      <c r="Y154" s="448"/>
      <c r="Z154" s="448"/>
      <c r="AA154" s="448"/>
      <c r="AB154" s="448"/>
      <c r="AC154" s="448"/>
      <c r="AD154" s="448"/>
      <c r="AE154" s="449"/>
      <c r="AF154" s="351">
        <v>1654</v>
      </c>
      <c r="AG154" s="447"/>
      <c r="AH154" s="448"/>
      <c r="AI154" s="448"/>
      <c r="AJ154" s="448"/>
      <c r="AK154" s="448"/>
      <c r="AL154" s="448"/>
      <c r="AM154" s="448"/>
      <c r="AN154" s="448"/>
      <c r="AO154" s="449"/>
      <c r="AP154" s="351">
        <v>1679</v>
      </c>
      <c r="AQ154" s="447"/>
      <c r="AR154" s="448"/>
      <c r="AS154" s="448"/>
      <c r="AT154" s="448"/>
      <c r="AU154" s="448"/>
      <c r="AV154" s="448"/>
      <c r="AW154" s="448"/>
      <c r="AX154" s="448"/>
      <c r="AY154" s="449"/>
      <c r="AZ154" s="351">
        <v>1824</v>
      </c>
      <c r="BA154" s="447"/>
      <c r="BB154" s="448"/>
      <c r="BC154" s="448"/>
      <c r="BD154" s="448"/>
      <c r="BE154" s="448"/>
      <c r="BF154" s="448"/>
      <c r="BG154" s="448"/>
      <c r="BH154" s="448"/>
      <c r="BI154" s="449"/>
      <c r="BJ154" s="351">
        <v>2195</v>
      </c>
      <c r="BK154" s="447"/>
      <c r="BL154" s="448"/>
      <c r="BM154" s="448"/>
      <c r="BN154" s="448"/>
      <c r="BO154" s="448"/>
      <c r="BP154" s="448"/>
      <c r="BQ154" s="448"/>
      <c r="BR154" s="448"/>
      <c r="BS154" s="449"/>
      <c r="BT154" s="209">
        <v>1606</v>
      </c>
      <c r="BU154" s="447"/>
      <c r="BV154" s="448"/>
      <c r="BW154" s="448"/>
      <c r="BX154" s="448"/>
      <c r="BY154" s="448"/>
      <c r="BZ154" s="448"/>
      <c r="CA154" s="448"/>
      <c r="CB154" s="448"/>
      <c r="CC154" s="449"/>
    </row>
    <row r="155" spans="1:81" s="247" customFormat="1" ht="20.25" customHeight="1">
      <c r="A155" s="350" t="s">
        <v>234</v>
      </c>
      <c r="B155" s="210">
        <f>IFERROR(B153/B152,"")</f>
        <v>0.32713478131508478</v>
      </c>
      <c r="C155" s="447"/>
      <c r="D155" s="448"/>
      <c r="E155" s="448"/>
      <c r="F155" s="448"/>
      <c r="G155" s="448"/>
      <c r="H155" s="448"/>
      <c r="I155" s="448"/>
      <c r="J155" s="448"/>
      <c r="K155" s="449"/>
      <c r="L155" s="353">
        <f>IFERROR(L153/L152,"")</f>
        <v>0.32157456472369417</v>
      </c>
      <c r="M155" s="447"/>
      <c r="N155" s="448"/>
      <c r="O155" s="448"/>
      <c r="P155" s="448"/>
      <c r="Q155" s="448"/>
      <c r="R155" s="448"/>
      <c r="S155" s="448"/>
      <c r="T155" s="448"/>
      <c r="U155" s="449"/>
      <c r="V155" s="353">
        <f>IFERROR(V153/V152,"")</f>
        <v>0.6489833358813637</v>
      </c>
      <c r="W155" s="447"/>
      <c r="X155" s="448"/>
      <c r="Y155" s="448"/>
      <c r="Z155" s="448"/>
      <c r="AA155" s="448"/>
      <c r="AB155" s="448"/>
      <c r="AC155" s="448"/>
      <c r="AD155" s="448"/>
      <c r="AE155" s="449"/>
      <c r="AF155" s="353">
        <f>IFERROR(AF153/AF152,"")</f>
        <v>0.61601772712883829</v>
      </c>
      <c r="AG155" s="447"/>
      <c r="AH155" s="448"/>
      <c r="AI155" s="448"/>
      <c r="AJ155" s="448"/>
      <c r="AK155" s="448"/>
      <c r="AL155" s="448"/>
      <c r="AM155" s="448"/>
      <c r="AN155" s="448"/>
      <c r="AO155" s="449"/>
      <c r="AP155" s="353">
        <f>IFERROR(AP153/AP152,"")</f>
        <v>0.6274116375983948</v>
      </c>
      <c r="AQ155" s="447"/>
      <c r="AR155" s="448"/>
      <c r="AS155" s="448"/>
      <c r="AT155" s="448"/>
      <c r="AU155" s="448"/>
      <c r="AV155" s="448"/>
      <c r="AW155" s="448"/>
      <c r="AX155" s="448"/>
      <c r="AY155" s="449"/>
      <c r="AZ155" s="353">
        <f>IFERROR(AZ153/AZ152,"")</f>
        <v>0.69773573200992556</v>
      </c>
      <c r="BA155" s="447"/>
      <c r="BB155" s="448"/>
      <c r="BC155" s="448"/>
      <c r="BD155" s="448"/>
      <c r="BE155" s="448"/>
      <c r="BF155" s="448"/>
      <c r="BG155" s="448"/>
      <c r="BH155" s="448"/>
      <c r="BI155" s="449"/>
      <c r="BJ155" s="353">
        <f>IFERROR(BJ153/BJ152,"")</f>
        <v>0.63220110728714651</v>
      </c>
      <c r="BK155" s="447"/>
      <c r="BL155" s="448"/>
      <c r="BM155" s="448"/>
      <c r="BN155" s="448"/>
      <c r="BO155" s="448"/>
      <c r="BP155" s="448"/>
      <c r="BQ155" s="448"/>
      <c r="BR155" s="448"/>
      <c r="BS155" s="449"/>
      <c r="BT155" s="353">
        <f>IFERROR(BT153/BT152,"")</f>
        <v>0.6257714887851874</v>
      </c>
      <c r="BU155" s="447"/>
      <c r="BV155" s="448"/>
      <c r="BW155" s="448"/>
      <c r="BX155" s="448"/>
      <c r="BY155" s="448"/>
      <c r="BZ155" s="448"/>
      <c r="CA155" s="448"/>
      <c r="CB155" s="448"/>
      <c r="CC155" s="449"/>
    </row>
    <row r="156" spans="1:81" s="247" customFormat="1" ht="20.25" customHeight="1">
      <c r="A156" s="350" t="s">
        <v>235</v>
      </c>
      <c r="B156" s="351">
        <v>1990</v>
      </c>
      <c r="C156" s="447"/>
      <c r="D156" s="448"/>
      <c r="E156" s="448"/>
      <c r="F156" s="448"/>
      <c r="G156" s="448"/>
      <c r="H156" s="448"/>
      <c r="I156" s="448"/>
      <c r="J156" s="448"/>
      <c r="K156" s="449"/>
      <c r="L156" s="352">
        <v>1958</v>
      </c>
      <c r="M156" s="447"/>
      <c r="N156" s="448"/>
      <c r="O156" s="448"/>
      <c r="P156" s="448"/>
      <c r="Q156" s="448"/>
      <c r="R156" s="448"/>
      <c r="S156" s="448"/>
      <c r="T156" s="448"/>
      <c r="U156" s="449"/>
      <c r="V156" s="351">
        <v>3979</v>
      </c>
      <c r="W156" s="447"/>
      <c r="X156" s="448"/>
      <c r="Y156" s="448"/>
      <c r="Z156" s="448"/>
      <c r="AA156" s="448"/>
      <c r="AB156" s="448"/>
      <c r="AC156" s="448"/>
      <c r="AD156" s="448"/>
      <c r="AE156" s="449"/>
      <c r="AF156" s="351">
        <f>3562+24</f>
        <v>3586</v>
      </c>
      <c r="AG156" s="447"/>
      <c r="AH156" s="448"/>
      <c r="AI156" s="448"/>
      <c r="AJ156" s="448"/>
      <c r="AK156" s="448"/>
      <c r="AL156" s="448"/>
      <c r="AM156" s="448"/>
      <c r="AN156" s="448"/>
      <c r="AO156" s="449"/>
      <c r="AP156" s="351">
        <f>3760+29</f>
        <v>3789</v>
      </c>
      <c r="AQ156" s="447"/>
      <c r="AR156" s="448"/>
      <c r="AS156" s="448"/>
      <c r="AT156" s="448"/>
      <c r="AU156" s="448"/>
      <c r="AV156" s="448"/>
      <c r="AW156" s="448"/>
      <c r="AX156" s="448"/>
      <c r="AY156" s="449"/>
      <c r="AZ156" s="351">
        <v>4178</v>
      </c>
      <c r="BA156" s="447"/>
      <c r="BB156" s="448"/>
      <c r="BC156" s="448"/>
      <c r="BD156" s="448"/>
      <c r="BE156" s="448"/>
      <c r="BF156" s="448"/>
      <c r="BG156" s="448"/>
      <c r="BH156" s="448"/>
      <c r="BI156" s="449"/>
      <c r="BJ156" s="351">
        <f>3867+47</f>
        <v>3914</v>
      </c>
      <c r="BK156" s="447"/>
      <c r="BL156" s="448"/>
      <c r="BM156" s="448"/>
      <c r="BN156" s="448"/>
      <c r="BO156" s="448"/>
      <c r="BP156" s="448"/>
      <c r="BQ156" s="448"/>
      <c r="BR156" s="448"/>
      <c r="BS156" s="449"/>
      <c r="BT156" s="209">
        <v>3841</v>
      </c>
      <c r="BU156" s="447"/>
      <c r="BV156" s="448"/>
      <c r="BW156" s="448"/>
      <c r="BX156" s="448"/>
      <c r="BY156" s="448"/>
      <c r="BZ156" s="448"/>
      <c r="CA156" s="448"/>
      <c r="CB156" s="448"/>
      <c r="CC156" s="449"/>
    </row>
    <row r="157" spans="1:81" s="247" customFormat="1" ht="20.25" customHeight="1">
      <c r="A157" s="350" t="s">
        <v>236</v>
      </c>
      <c r="B157" s="353">
        <f>IFERROR(B156/B153,"")</f>
        <v>0.90495679854479305</v>
      </c>
      <c r="C157" s="447"/>
      <c r="D157" s="448"/>
      <c r="E157" s="448"/>
      <c r="F157" s="448"/>
      <c r="G157" s="448"/>
      <c r="H157" s="448"/>
      <c r="I157" s="448"/>
      <c r="J157" s="448"/>
      <c r="K157" s="449"/>
      <c r="L157" s="353">
        <f>IFERROR(L156/L153,"")</f>
        <v>0.92184557438794723</v>
      </c>
      <c r="M157" s="447"/>
      <c r="N157" s="448"/>
      <c r="O157" s="448"/>
      <c r="P157" s="448"/>
      <c r="Q157" s="448"/>
      <c r="R157" s="448"/>
      <c r="S157" s="448"/>
      <c r="T157" s="448"/>
      <c r="U157" s="449"/>
      <c r="V157" s="353">
        <f>IFERROR(V156/V153,"")</f>
        <v>0.93733804475853943</v>
      </c>
      <c r="W157" s="447"/>
      <c r="X157" s="448"/>
      <c r="Y157" s="448"/>
      <c r="Z157" s="448"/>
      <c r="AA157" s="448"/>
      <c r="AB157" s="448"/>
      <c r="AC157" s="448"/>
      <c r="AD157" s="448"/>
      <c r="AE157" s="449"/>
      <c r="AF157" s="353">
        <f>IFERROR(AF156/AF153,"")</f>
        <v>0.92137718396711199</v>
      </c>
      <c r="AG157" s="447"/>
      <c r="AH157" s="448"/>
      <c r="AI157" s="448"/>
      <c r="AJ157" s="448"/>
      <c r="AK157" s="448"/>
      <c r="AL157" s="448"/>
      <c r="AM157" s="448"/>
      <c r="AN157" s="448"/>
      <c r="AO157" s="449"/>
      <c r="AP157" s="353">
        <f>IFERROR(AP156/AP153,"")</f>
        <v>0.93210332103321036</v>
      </c>
      <c r="AQ157" s="447"/>
      <c r="AR157" s="448"/>
      <c r="AS157" s="448"/>
      <c r="AT157" s="448"/>
      <c r="AU157" s="448"/>
      <c r="AV157" s="448"/>
      <c r="AW157" s="448"/>
      <c r="AX157" s="448"/>
      <c r="AY157" s="449"/>
      <c r="AZ157" s="353">
        <f>IFERROR(AZ156/AZ153,"")</f>
        <v>0.92865081129139804</v>
      </c>
      <c r="BA157" s="447"/>
      <c r="BB157" s="448"/>
      <c r="BC157" s="448"/>
      <c r="BD157" s="448"/>
      <c r="BE157" s="448"/>
      <c r="BF157" s="448"/>
      <c r="BG157" s="448"/>
      <c r="BH157" s="448"/>
      <c r="BI157" s="449"/>
      <c r="BJ157" s="353">
        <f>IFERROR(BJ156/BJ153,"")</f>
        <v>0.92639053254437875</v>
      </c>
      <c r="BK157" s="447"/>
      <c r="BL157" s="448"/>
      <c r="BM157" s="448"/>
      <c r="BN157" s="448"/>
      <c r="BO157" s="448"/>
      <c r="BP157" s="448"/>
      <c r="BQ157" s="448"/>
      <c r="BR157" s="448"/>
      <c r="BS157" s="449"/>
      <c r="BT157" s="353">
        <f>IFERROR(BT156/BT153,"")</f>
        <v>0.92398364204955497</v>
      </c>
      <c r="BU157" s="447"/>
      <c r="BV157" s="448"/>
      <c r="BW157" s="448"/>
      <c r="BX157" s="448"/>
      <c r="BY157" s="448"/>
      <c r="BZ157" s="448"/>
      <c r="CA157" s="448"/>
      <c r="CB157" s="448"/>
      <c r="CC157" s="449"/>
    </row>
    <row r="158" spans="1:81" s="247" customFormat="1" ht="20.25" customHeight="1">
      <c r="A158" s="350" t="s">
        <v>237</v>
      </c>
      <c r="B158" s="354">
        <f>C147</f>
        <v>15008453.5</v>
      </c>
      <c r="C158" s="447"/>
      <c r="D158" s="448"/>
      <c r="E158" s="448"/>
      <c r="F158" s="448"/>
      <c r="G158" s="448"/>
      <c r="H158" s="448"/>
      <c r="I158" s="448"/>
      <c r="J158" s="448"/>
      <c r="K158" s="449"/>
      <c r="L158" s="354">
        <f>M147</f>
        <v>15111490.15</v>
      </c>
      <c r="M158" s="447"/>
      <c r="N158" s="448"/>
      <c r="O158" s="448"/>
      <c r="P158" s="448"/>
      <c r="Q158" s="448"/>
      <c r="R158" s="448"/>
      <c r="S158" s="448"/>
      <c r="T158" s="448"/>
      <c r="U158" s="449"/>
      <c r="V158" s="354">
        <f>W147</f>
        <v>16085615</v>
      </c>
      <c r="W158" s="447"/>
      <c r="X158" s="448"/>
      <c r="Y158" s="448"/>
      <c r="Z158" s="448"/>
      <c r="AA158" s="448"/>
      <c r="AB158" s="448"/>
      <c r="AC158" s="448"/>
      <c r="AD158" s="448"/>
      <c r="AE158" s="449"/>
      <c r="AF158" s="354">
        <f>AG147</f>
        <v>16296142.229999999</v>
      </c>
      <c r="AG158" s="447"/>
      <c r="AH158" s="448"/>
      <c r="AI158" s="448"/>
      <c r="AJ158" s="448"/>
      <c r="AK158" s="448"/>
      <c r="AL158" s="448"/>
      <c r="AM158" s="448"/>
      <c r="AN158" s="448"/>
      <c r="AO158" s="449"/>
      <c r="AP158" s="354">
        <f>AQ147</f>
        <v>16579867.16</v>
      </c>
      <c r="AQ158" s="447"/>
      <c r="AR158" s="448"/>
      <c r="AS158" s="448"/>
      <c r="AT158" s="448"/>
      <c r="AU158" s="448"/>
      <c r="AV158" s="448"/>
      <c r="AW158" s="448"/>
      <c r="AX158" s="448"/>
      <c r="AY158" s="449"/>
      <c r="AZ158" s="354">
        <f>BA147</f>
        <v>14621498.93</v>
      </c>
      <c r="BA158" s="447"/>
      <c r="BB158" s="448"/>
      <c r="BC158" s="448"/>
      <c r="BD158" s="448"/>
      <c r="BE158" s="448"/>
      <c r="BF158" s="448"/>
      <c r="BG158" s="448"/>
      <c r="BH158" s="448"/>
      <c r="BI158" s="449"/>
      <c r="BJ158" s="354">
        <f>BK147</f>
        <v>14814104.960000001</v>
      </c>
      <c r="BK158" s="447"/>
      <c r="BL158" s="448"/>
      <c r="BM158" s="448"/>
      <c r="BN158" s="448"/>
      <c r="BO158" s="448"/>
      <c r="BP158" s="448"/>
      <c r="BQ158" s="448"/>
      <c r="BR158" s="448"/>
      <c r="BS158" s="449"/>
      <c r="BT158" s="354">
        <f>BU147</f>
        <v>15404211.9</v>
      </c>
      <c r="BU158" s="447"/>
      <c r="BV158" s="448"/>
      <c r="BW158" s="448"/>
      <c r="BX158" s="448"/>
      <c r="BY158" s="448"/>
      <c r="BZ158" s="448"/>
      <c r="CA158" s="448"/>
      <c r="CB158" s="448"/>
      <c r="CC158" s="449"/>
    </row>
    <row r="159" spans="1:81" s="247" customFormat="1" ht="20.25" customHeight="1">
      <c r="A159" s="350" t="s">
        <v>238</v>
      </c>
      <c r="B159" s="354">
        <f>J147</f>
        <v>13469859.850000001</v>
      </c>
      <c r="C159" s="447"/>
      <c r="D159" s="448"/>
      <c r="E159" s="448"/>
      <c r="F159" s="448"/>
      <c r="G159" s="448"/>
      <c r="H159" s="448"/>
      <c r="I159" s="448"/>
      <c r="J159" s="448"/>
      <c r="K159" s="449"/>
      <c r="L159" s="354">
        <f>T147</f>
        <v>13593015.940000001</v>
      </c>
      <c r="M159" s="447"/>
      <c r="N159" s="448"/>
      <c r="O159" s="448"/>
      <c r="P159" s="448"/>
      <c r="Q159" s="448"/>
      <c r="R159" s="448"/>
      <c r="S159" s="448"/>
      <c r="T159" s="448"/>
      <c r="U159" s="449"/>
      <c r="V159" s="354">
        <f>AD147</f>
        <v>14450067</v>
      </c>
      <c r="W159" s="447"/>
      <c r="X159" s="448"/>
      <c r="Y159" s="448"/>
      <c r="Z159" s="448"/>
      <c r="AA159" s="448"/>
      <c r="AB159" s="448"/>
      <c r="AC159" s="448"/>
      <c r="AD159" s="448"/>
      <c r="AE159" s="449"/>
      <c r="AF159" s="354">
        <f>AN147</f>
        <v>14713422.650000002</v>
      </c>
      <c r="AG159" s="447"/>
      <c r="AH159" s="448"/>
      <c r="AI159" s="448"/>
      <c r="AJ159" s="448"/>
      <c r="AK159" s="448"/>
      <c r="AL159" s="448"/>
      <c r="AM159" s="448"/>
      <c r="AN159" s="448"/>
      <c r="AO159" s="449"/>
      <c r="AP159" s="354">
        <f>AX147</f>
        <v>14954634.890000001</v>
      </c>
      <c r="AQ159" s="447"/>
      <c r="AR159" s="448"/>
      <c r="AS159" s="448"/>
      <c r="AT159" s="448"/>
      <c r="AU159" s="448"/>
      <c r="AV159" s="448"/>
      <c r="AW159" s="448"/>
      <c r="AX159" s="448"/>
      <c r="AY159" s="449"/>
      <c r="AZ159" s="354">
        <f>BH147</f>
        <v>13131359.98</v>
      </c>
      <c r="BA159" s="447"/>
      <c r="BB159" s="448"/>
      <c r="BC159" s="448"/>
      <c r="BD159" s="448"/>
      <c r="BE159" s="448"/>
      <c r="BF159" s="448"/>
      <c r="BG159" s="448"/>
      <c r="BH159" s="448"/>
      <c r="BI159" s="449"/>
      <c r="BJ159" s="354">
        <f>BR147</f>
        <v>13537186.530000001</v>
      </c>
      <c r="BK159" s="447"/>
      <c r="BL159" s="448"/>
      <c r="BM159" s="448"/>
      <c r="BN159" s="448"/>
      <c r="BO159" s="448"/>
      <c r="BP159" s="448"/>
      <c r="BQ159" s="448"/>
      <c r="BR159" s="448"/>
      <c r="BS159" s="449"/>
      <c r="BT159" s="354">
        <f>CB147</f>
        <v>13881912.359999999</v>
      </c>
      <c r="BU159" s="447"/>
      <c r="BV159" s="448"/>
      <c r="BW159" s="448"/>
      <c r="BX159" s="448"/>
      <c r="BY159" s="448"/>
      <c r="BZ159" s="448"/>
      <c r="CA159" s="448"/>
      <c r="CB159" s="448"/>
      <c r="CC159" s="449"/>
    </row>
    <row r="160" spans="1:81" s="355" customFormat="1" ht="20.25" customHeight="1">
      <c r="A160" s="350" t="s">
        <v>239</v>
      </c>
      <c r="B160" s="354">
        <f>K147</f>
        <v>412514.32</v>
      </c>
      <c r="C160" s="447"/>
      <c r="D160" s="448"/>
      <c r="E160" s="448"/>
      <c r="F160" s="448"/>
      <c r="G160" s="448"/>
      <c r="H160" s="448"/>
      <c r="I160" s="448"/>
      <c r="J160" s="448"/>
      <c r="K160" s="449"/>
      <c r="L160" s="354">
        <f>U147</f>
        <v>480813.83999999997</v>
      </c>
      <c r="M160" s="447"/>
      <c r="N160" s="448"/>
      <c r="O160" s="448"/>
      <c r="P160" s="448"/>
      <c r="Q160" s="448"/>
      <c r="R160" s="448"/>
      <c r="S160" s="448"/>
      <c r="T160" s="448"/>
      <c r="U160" s="449"/>
      <c r="V160" s="354">
        <f>AE147</f>
        <v>478411</v>
      </c>
      <c r="W160" s="447"/>
      <c r="X160" s="448"/>
      <c r="Y160" s="448"/>
      <c r="Z160" s="448"/>
      <c r="AA160" s="448"/>
      <c r="AB160" s="448"/>
      <c r="AC160" s="448"/>
      <c r="AD160" s="448"/>
      <c r="AE160" s="449"/>
      <c r="AF160" s="354">
        <f>AO147</f>
        <v>513728.88</v>
      </c>
      <c r="AG160" s="447"/>
      <c r="AH160" s="448"/>
      <c r="AI160" s="448"/>
      <c r="AJ160" s="448"/>
      <c r="AK160" s="448"/>
      <c r="AL160" s="448"/>
      <c r="AM160" s="448"/>
      <c r="AN160" s="448"/>
      <c r="AO160" s="449"/>
      <c r="AP160" s="354">
        <f>AY147</f>
        <v>512386.89</v>
      </c>
      <c r="AQ160" s="447"/>
      <c r="AR160" s="448"/>
      <c r="AS160" s="448"/>
      <c r="AT160" s="448"/>
      <c r="AU160" s="448"/>
      <c r="AV160" s="448"/>
      <c r="AW160" s="448"/>
      <c r="AX160" s="448"/>
      <c r="AY160" s="449"/>
      <c r="AZ160" s="354">
        <f>BI147</f>
        <v>933421.12</v>
      </c>
      <c r="BA160" s="447"/>
      <c r="BB160" s="448"/>
      <c r="BC160" s="448"/>
      <c r="BD160" s="448"/>
      <c r="BE160" s="448"/>
      <c r="BF160" s="448"/>
      <c r="BG160" s="448"/>
      <c r="BH160" s="448"/>
      <c r="BI160" s="449"/>
      <c r="BJ160" s="354">
        <f>BS147</f>
        <v>765565.04</v>
      </c>
      <c r="BK160" s="447"/>
      <c r="BL160" s="448"/>
      <c r="BM160" s="448"/>
      <c r="BN160" s="448"/>
      <c r="BO160" s="448"/>
      <c r="BP160" s="448"/>
      <c r="BQ160" s="448"/>
      <c r="BR160" s="448"/>
      <c r="BS160" s="449"/>
      <c r="BT160" s="354">
        <f>CC147</f>
        <v>582508.78</v>
      </c>
      <c r="BU160" s="447"/>
      <c r="BV160" s="448"/>
      <c r="BW160" s="448"/>
      <c r="BX160" s="448"/>
      <c r="BY160" s="448"/>
      <c r="BZ160" s="448"/>
      <c r="CA160" s="448"/>
      <c r="CB160" s="448"/>
      <c r="CC160" s="449"/>
    </row>
    <row r="161" spans="1:81" s="355" customFormat="1" ht="20.25" customHeight="1">
      <c r="A161" s="350" t="s">
        <v>240</v>
      </c>
      <c r="B161" s="354">
        <f>E147-B160</f>
        <v>75422.25</v>
      </c>
      <c r="C161" s="447"/>
      <c r="D161" s="448"/>
      <c r="E161" s="448"/>
      <c r="F161" s="448"/>
      <c r="G161" s="448"/>
      <c r="H161" s="448"/>
      <c r="I161" s="448"/>
      <c r="J161" s="448"/>
      <c r="K161" s="449"/>
      <c r="L161" s="354">
        <f>O147-L160</f>
        <v>121747.84999999998</v>
      </c>
      <c r="M161" s="447"/>
      <c r="N161" s="448"/>
      <c r="O161" s="448"/>
      <c r="P161" s="448"/>
      <c r="Q161" s="448"/>
      <c r="R161" s="448"/>
      <c r="S161" s="448"/>
      <c r="T161" s="448"/>
      <c r="U161" s="449"/>
      <c r="V161" s="354">
        <f>Y147-V160</f>
        <v>164314</v>
      </c>
      <c r="W161" s="447"/>
      <c r="X161" s="448"/>
      <c r="Y161" s="448"/>
      <c r="Z161" s="448"/>
      <c r="AA161" s="448"/>
      <c r="AB161" s="448"/>
      <c r="AC161" s="448"/>
      <c r="AD161" s="448"/>
      <c r="AE161" s="449"/>
      <c r="AF161" s="354">
        <f>AI147-AF160</f>
        <v>187715.25</v>
      </c>
      <c r="AG161" s="447"/>
      <c r="AH161" s="448"/>
      <c r="AI161" s="448"/>
      <c r="AJ161" s="448"/>
      <c r="AK161" s="448"/>
      <c r="AL161" s="448"/>
      <c r="AM161" s="448"/>
      <c r="AN161" s="448"/>
      <c r="AO161" s="449"/>
      <c r="AP161" s="354">
        <f>AS147-AP160</f>
        <v>194613.28999999992</v>
      </c>
      <c r="AQ161" s="447"/>
      <c r="AR161" s="448"/>
      <c r="AS161" s="448"/>
      <c r="AT161" s="448"/>
      <c r="AU161" s="448"/>
      <c r="AV161" s="448"/>
      <c r="AW161" s="448"/>
      <c r="AX161" s="448"/>
      <c r="AY161" s="449"/>
      <c r="AZ161" s="354">
        <f>BC147-AZ160</f>
        <v>242431.68000000005</v>
      </c>
      <c r="BA161" s="447"/>
      <c r="BB161" s="448"/>
      <c r="BC161" s="448"/>
      <c r="BD161" s="448"/>
      <c r="BE161" s="448"/>
      <c r="BF161" s="448"/>
      <c r="BG161" s="448"/>
      <c r="BH161" s="448"/>
      <c r="BI161" s="449"/>
      <c r="BJ161" s="354">
        <f>BM147-BJ160</f>
        <v>125194.25999999989</v>
      </c>
      <c r="BK161" s="447"/>
      <c r="BL161" s="448"/>
      <c r="BM161" s="448"/>
      <c r="BN161" s="448"/>
      <c r="BO161" s="448"/>
      <c r="BP161" s="448"/>
      <c r="BQ161" s="448"/>
      <c r="BR161" s="448"/>
      <c r="BS161" s="449"/>
      <c r="BT161" s="354">
        <f>BW147-BT160</f>
        <v>186981.09999999998</v>
      </c>
      <c r="BU161" s="447"/>
      <c r="BV161" s="448"/>
      <c r="BW161" s="448"/>
      <c r="BX161" s="448"/>
      <c r="BY161" s="448"/>
      <c r="BZ161" s="448"/>
      <c r="CA161" s="448"/>
      <c r="CB161" s="448"/>
      <c r="CC161" s="449"/>
    </row>
    <row r="162" spans="1:81" s="247" customFormat="1" ht="20.25" customHeight="1">
      <c r="A162" s="350" t="s">
        <v>241</v>
      </c>
      <c r="B162" s="353">
        <f>IFERROR(B159/B158,"")</f>
        <v>0.89748486411341455</v>
      </c>
      <c r="C162" s="447"/>
      <c r="D162" s="448"/>
      <c r="E162" s="448"/>
      <c r="F162" s="448"/>
      <c r="G162" s="448"/>
      <c r="H162" s="448"/>
      <c r="I162" s="448"/>
      <c r="J162" s="448"/>
      <c r="K162" s="449"/>
      <c r="L162" s="353">
        <f>IFERROR(L159/L158,"")</f>
        <v>0.89951525660756892</v>
      </c>
      <c r="M162" s="447"/>
      <c r="N162" s="448"/>
      <c r="O162" s="448"/>
      <c r="P162" s="448"/>
      <c r="Q162" s="448"/>
      <c r="R162" s="448"/>
      <c r="S162" s="448"/>
      <c r="T162" s="448"/>
      <c r="U162" s="449"/>
      <c r="V162" s="353">
        <f>IFERROR(V159/V158,"")</f>
        <v>0.89832232090597719</v>
      </c>
      <c r="W162" s="447"/>
      <c r="X162" s="448"/>
      <c r="Y162" s="448"/>
      <c r="Z162" s="448"/>
      <c r="AA162" s="448"/>
      <c r="AB162" s="448"/>
      <c r="AC162" s="448"/>
      <c r="AD162" s="448"/>
      <c r="AE162" s="449"/>
      <c r="AF162" s="353">
        <f>IFERROR(AF159/AF158,"")</f>
        <v>0.90287765302598266</v>
      </c>
      <c r="AG162" s="447"/>
      <c r="AH162" s="448"/>
      <c r="AI162" s="448"/>
      <c r="AJ162" s="448"/>
      <c r="AK162" s="448"/>
      <c r="AL162" s="448"/>
      <c r="AM162" s="448"/>
      <c r="AN162" s="448"/>
      <c r="AO162" s="449"/>
      <c r="AP162" s="353">
        <f>IFERROR(AP159/AP158,"")</f>
        <v>0.90197555539401564</v>
      </c>
      <c r="AQ162" s="447"/>
      <c r="AR162" s="448"/>
      <c r="AS162" s="448"/>
      <c r="AT162" s="448"/>
      <c r="AU162" s="448"/>
      <c r="AV162" s="448"/>
      <c r="AW162" s="448"/>
      <c r="AX162" s="448"/>
      <c r="AY162" s="449"/>
      <c r="AZ162" s="353">
        <f>IFERROR(AZ159/AZ158,"")</f>
        <v>0.89808576007603624</v>
      </c>
      <c r="BA162" s="447"/>
      <c r="BB162" s="448"/>
      <c r="BC162" s="448"/>
      <c r="BD162" s="448"/>
      <c r="BE162" s="448"/>
      <c r="BF162" s="448"/>
      <c r="BG162" s="448"/>
      <c r="BH162" s="448"/>
      <c r="BI162" s="449"/>
      <c r="BJ162" s="353">
        <f>IFERROR(BJ159/BJ158,"")</f>
        <v>0.91380387587047318</v>
      </c>
      <c r="BK162" s="447"/>
      <c r="BL162" s="448"/>
      <c r="BM162" s="448"/>
      <c r="BN162" s="448"/>
      <c r="BO162" s="448"/>
      <c r="BP162" s="448"/>
      <c r="BQ162" s="448"/>
      <c r="BR162" s="448"/>
      <c r="BS162" s="449"/>
      <c r="BT162" s="353">
        <f>IFERROR(BT159/BT158,"")</f>
        <v>0.90117640877168137</v>
      </c>
      <c r="BU162" s="447"/>
      <c r="BV162" s="448"/>
      <c r="BW162" s="448"/>
      <c r="BX162" s="448"/>
      <c r="BY162" s="448"/>
      <c r="BZ162" s="448"/>
      <c r="CA162" s="448"/>
      <c r="CB162" s="448"/>
      <c r="CC162" s="449"/>
    </row>
    <row r="163" spans="1:81" s="247" customFormat="1" ht="20.25" customHeight="1">
      <c r="A163" s="350" t="s">
        <v>242</v>
      </c>
      <c r="B163" s="356">
        <v>7589115</v>
      </c>
      <c r="C163" s="447"/>
      <c r="D163" s="448"/>
      <c r="E163" s="448"/>
      <c r="F163" s="448"/>
      <c r="G163" s="448"/>
      <c r="H163" s="448"/>
      <c r="I163" s="448"/>
      <c r="J163" s="448"/>
      <c r="K163" s="449"/>
      <c r="L163" s="357">
        <v>7788893</v>
      </c>
      <c r="M163" s="447"/>
      <c r="N163" s="448"/>
      <c r="O163" s="448"/>
      <c r="P163" s="448"/>
      <c r="Q163" s="448"/>
      <c r="R163" s="448"/>
      <c r="S163" s="448"/>
      <c r="T163" s="448"/>
      <c r="U163" s="449"/>
      <c r="V163" s="356">
        <v>8292297</v>
      </c>
      <c r="W163" s="447"/>
      <c r="X163" s="448"/>
      <c r="Y163" s="448"/>
      <c r="Z163" s="448"/>
      <c r="AA163" s="448"/>
      <c r="AB163" s="448"/>
      <c r="AC163" s="448"/>
      <c r="AD163" s="448"/>
      <c r="AE163" s="449"/>
      <c r="AF163" s="356">
        <v>8306548</v>
      </c>
      <c r="AG163" s="447"/>
      <c r="AH163" s="448"/>
      <c r="AI163" s="448"/>
      <c r="AJ163" s="448"/>
      <c r="AK163" s="448"/>
      <c r="AL163" s="448"/>
      <c r="AM163" s="448"/>
      <c r="AN163" s="448"/>
      <c r="AO163" s="449"/>
      <c r="AP163" s="356">
        <v>8377799</v>
      </c>
      <c r="AQ163" s="447"/>
      <c r="AR163" s="448"/>
      <c r="AS163" s="448"/>
      <c r="AT163" s="448"/>
      <c r="AU163" s="448"/>
      <c r="AV163" s="448"/>
      <c r="AW163" s="448"/>
      <c r="AX163" s="448"/>
      <c r="AY163" s="449"/>
      <c r="AZ163" s="356">
        <v>8385280</v>
      </c>
      <c r="BA163" s="447"/>
      <c r="BB163" s="448"/>
      <c r="BC163" s="448"/>
      <c r="BD163" s="448"/>
      <c r="BE163" s="448"/>
      <c r="BF163" s="448"/>
      <c r="BG163" s="448"/>
      <c r="BH163" s="448"/>
      <c r="BI163" s="449"/>
      <c r="BJ163" s="356">
        <v>8675477</v>
      </c>
      <c r="BK163" s="447"/>
      <c r="BL163" s="448"/>
      <c r="BM163" s="448"/>
      <c r="BN163" s="448"/>
      <c r="BO163" s="448"/>
      <c r="BP163" s="448"/>
      <c r="BQ163" s="448"/>
      <c r="BR163" s="448"/>
      <c r="BS163" s="449"/>
      <c r="BT163" s="356">
        <f>9378954-29785</f>
        <v>9349169</v>
      </c>
      <c r="BU163" s="447"/>
      <c r="BV163" s="448"/>
      <c r="BW163" s="448"/>
      <c r="BX163" s="448"/>
      <c r="BY163" s="448"/>
      <c r="BZ163" s="448"/>
      <c r="CA163" s="448"/>
      <c r="CB163" s="448"/>
      <c r="CC163" s="449"/>
    </row>
    <row r="164" spans="1:81" s="247" customFormat="1" ht="20.25" customHeight="1">
      <c r="A164" s="350" t="s">
        <v>243</v>
      </c>
      <c r="B164" s="210">
        <f>IFERROR(E147/B163,"")</f>
        <v>6.4294264878052315E-2</v>
      </c>
      <c r="C164" s="447"/>
      <c r="D164" s="448"/>
      <c r="E164" s="448"/>
      <c r="F164" s="448"/>
      <c r="G164" s="448"/>
      <c r="H164" s="448"/>
      <c r="I164" s="448"/>
      <c r="J164" s="448"/>
      <c r="K164" s="449"/>
      <c r="L164" s="211">
        <f>IFERROR(O147/L163,"")</f>
        <v>7.7361659737783015E-2</v>
      </c>
      <c r="M164" s="447"/>
      <c r="N164" s="448"/>
      <c r="O164" s="448"/>
      <c r="P164" s="448"/>
      <c r="Q164" s="448"/>
      <c r="R164" s="448"/>
      <c r="S164" s="448"/>
      <c r="T164" s="448"/>
      <c r="U164" s="449"/>
      <c r="V164" s="211">
        <f>IFERROR(Y147/V163,"")</f>
        <v>7.7508680646629038E-2</v>
      </c>
      <c r="W164" s="447"/>
      <c r="X164" s="448"/>
      <c r="Y164" s="448"/>
      <c r="Z164" s="448"/>
      <c r="AA164" s="448"/>
      <c r="AB164" s="448"/>
      <c r="AC164" s="448"/>
      <c r="AD164" s="448"/>
      <c r="AE164" s="449"/>
      <c r="AF164" s="211">
        <f>IFERROR(AI147/AF163,"")</f>
        <v>8.4444721200672049E-2</v>
      </c>
      <c r="AG164" s="447"/>
      <c r="AH164" s="448"/>
      <c r="AI164" s="448"/>
      <c r="AJ164" s="448"/>
      <c r="AK164" s="448"/>
      <c r="AL164" s="448"/>
      <c r="AM164" s="448"/>
      <c r="AN164" s="448"/>
      <c r="AO164" s="449"/>
      <c r="AP164" s="211">
        <f>IFERROR(AS147/AP163,"")</f>
        <v>8.4389728137426068E-2</v>
      </c>
      <c r="AQ164" s="447"/>
      <c r="AR164" s="448"/>
      <c r="AS164" s="448"/>
      <c r="AT164" s="448"/>
      <c r="AU164" s="448"/>
      <c r="AV164" s="448"/>
      <c r="AW164" s="448"/>
      <c r="AX164" s="448"/>
      <c r="AY164" s="449"/>
      <c r="AZ164" s="211">
        <f>IFERROR(BC147/AZ163,"")</f>
        <v>0.14022820943367426</v>
      </c>
      <c r="BA164" s="447"/>
      <c r="BB164" s="448"/>
      <c r="BC164" s="448"/>
      <c r="BD164" s="448"/>
      <c r="BE164" s="448"/>
      <c r="BF164" s="448"/>
      <c r="BG164" s="448"/>
      <c r="BH164" s="448"/>
      <c r="BI164" s="449"/>
      <c r="BJ164" s="211">
        <f>IFERROR(BM147/BJ163,"")</f>
        <v>0.10267554164456894</v>
      </c>
      <c r="BK164" s="447"/>
      <c r="BL164" s="448"/>
      <c r="BM164" s="448"/>
      <c r="BN164" s="448"/>
      <c r="BO164" s="448"/>
      <c r="BP164" s="448"/>
      <c r="BQ164" s="448"/>
      <c r="BR164" s="448"/>
      <c r="BS164" s="449"/>
      <c r="BT164" s="211">
        <f>IFERROR(BW147/BT163,"")</f>
        <v>8.2305697971659306E-2</v>
      </c>
      <c r="BU164" s="447"/>
      <c r="BV164" s="448"/>
      <c r="BW164" s="448"/>
      <c r="BX164" s="448"/>
      <c r="BY164" s="448"/>
      <c r="BZ164" s="448"/>
      <c r="CA164" s="448"/>
      <c r="CB164" s="448"/>
      <c r="CC164" s="449"/>
    </row>
    <row r="165" spans="1:81" s="247" customFormat="1" ht="20.25" customHeight="1">
      <c r="A165" s="350" t="s">
        <v>244</v>
      </c>
      <c r="B165" s="210">
        <f>IFERROR(E147/C147,"")</f>
        <v>3.2510782673244781E-2</v>
      </c>
      <c r="C165" s="447"/>
      <c r="D165" s="448"/>
      <c r="E165" s="448"/>
      <c r="F165" s="448"/>
      <c r="G165" s="448"/>
      <c r="H165" s="448"/>
      <c r="I165" s="448"/>
      <c r="J165" s="448"/>
      <c r="K165" s="449"/>
      <c r="L165" s="353">
        <f>IFERROR(O147/M147,"")</f>
        <v>3.9874405767984435E-2</v>
      </c>
      <c r="M165" s="447"/>
      <c r="N165" s="448"/>
      <c r="O165" s="448"/>
      <c r="P165" s="448"/>
      <c r="Q165" s="448"/>
      <c r="R165" s="448"/>
      <c r="S165" s="448"/>
      <c r="T165" s="448"/>
      <c r="U165" s="449"/>
      <c r="V165" s="353">
        <f>IFERROR(Y147/W147,"")</f>
        <v>3.9956507724448212E-2</v>
      </c>
      <c r="W165" s="447"/>
      <c r="X165" s="448"/>
      <c r="Y165" s="448"/>
      <c r="Z165" s="448"/>
      <c r="AA165" s="448"/>
      <c r="AB165" s="448"/>
      <c r="AC165" s="448"/>
      <c r="AD165" s="448"/>
      <c r="AE165" s="449"/>
      <c r="AF165" s="353">
        <f>IFERROR(AI147/AG147,"")</f>
        <v>4.3043569459567735E-2</v>
      </c>
      <c r="AG165" s="447"/>
      <c r="AH165" s="448"/>
      <c r="AI165" s="448"/>
      <c r="AJ165" s="448"/>
      <c r="AK165" s="448"/>
      <c r="AL165" s="448"/>
      <c r="AM165" s="448"/>
      <c r="AN165" s="448"/>
      <c r="AO165" s="449"/>
      <c r="AP165" s="353">
        <f>IFERROR(AS147/AQ147,"")</f>
        <v>4.2642089540119082E-2</v>
      </c>
      <c r="AQ165" s="447"/>
      <c r="AR165" s="448"/>
      <c r="AS165" s="448"/>
      <c r="AT165" s="448"/>
      <c r="AU165" s="448"/>
      <c r="AV165" s="448"/>
      <c r="AW165" s="448"/>
      <c r="AX165" s="448"/>
      <c r="AY165" s="449"/>
      <c r="AZ165" s="353">
        <f>IFERROR(BC147/BA147,"")</f>
        <v>8.0419443015340708E-2</v>
      </c>
      <c r="BA165" s="447"/>
      <c r="BB165" s="448"/>
      <c r="BC165" s="448"/>
      <c r="BD165" s="448"/>
      <c r="BE165" s="448"/>
      <c r="BF165" s="448"/>
      <c r="BG165" s="448"/>
      <c r="BH165" s="448"/>
      <c r="BI165" s="449"/>
      <c r="BJ165" s="353">
        <f>IFERROR(BM147/BK147,"")</f>
        <v>6.0129133849474214E-2</v>
      </c>
      <c r="BK165" s="447"/>
      <c r="BL165" s="448"/>
      <c r="BM165" s="448"/>
      <c r="BN165" s="448"/>
      <c r="BO165" s="448"/>
      <c r="BP165" s="448"/>
      <c r="BQ165" s="448"/>
      <c r="BR165" s="448"/>
      <c r="BS165" s="449"/>
      <c r="BT165" s="353">
        <f>IFERROR(BW147/BU147,"")</f>
        <v>4.9953213120886762E-2</v>
      </c>
      <c r="BU165" s="447"/>
      <c r="BV165" s="448"/>
      <c r="BW165" s="448"/>
      <c r="BX165" s="448"/>
      <c r="BY165" s="448"/>
      <c r="BZ165" s="448"/>
      <c r="CA165" s="448"/>
      <c r="CB165" s="448"/>
      <c r="CC165" s="449"/>
    </row>
    <row r="166" spans="1:81" s="247" customFormat="1" ht="20.25" customHeight="1">
      <c r="A166" s="350" t="s">
        <v>245</v>
      </c>
      <c r="B166" s="210">
        <f>IFERROR(C66/B158,"")</f>
        <v>0.62006055254127279</v>
      </c>
      <c r="C166" s="447"/>
      <c r="D166" s="448"/>
      <c r="E166" s="448"/>
      <c r="F166" s="448"/>
      <c r="G166" s="448"/>
      <c r="H166" s="448"/>
      <c r="I166" s="448"/>
      <c r="J166" s="448"/>
      <c r="K166" s="449"/>
      <c r="L166" s="353">
        <f>IFERROR(M66/L158,"")</f>
        <v>0.57573949846369055</v>
      </c>
      <c r="M166" s="447"/>
      <c r="N166" s="448"/>
      <c r="O166" s="448"/>
      <c r="P166" s="448"/>
      <c r="Q166" s="448"/>
      <c r="R166" s="448"/>
      <c r="S166" s="448"/>
      <c r="T166" s="448"/>
      <c r="U166" s="449"/>
      <c r="V166" s="353">
        <f>IFERROR(W66/V158,"")</f>
        <v>0.54942984772419334</v>
      </c>
      <c r="W166" s="447"/>
      <c r="X166" s="448"/>
      <c r="Y166" s="448"/>
      <c r="Z166" s="448"/>
      <c r="AA166" s="448"/>
      <c r="AB166" s="448"/>
      <c r="AC166" s="448"/>
      <c r="AD166" s="448"/>
      <c r="AE166" s="449"/>
      <c r="AF166" s="353">
        <f>IFERROR(AG66/AF158,"")</f>
        <v>0.54606145150219387</v>
      </c>
      <c r="AG166" s="447"/>
      <c r="AH166" s="448"/>
      <c r="AI166" s="448"/>
      <c r="AJ166" s="448"/>
      <c r="AK166" s="448"/>
      <c r="AL166" s="448"/>
      <c r="AM166" s="448"/>
      <c r="AN166" s="448"/>
      <c r="AO166" s="449"/>
      <c r="AP166" s="353">
        <f>IFERROR(AQ66/AP158,"")</f>
        <v>0.52453341912059082</v>
      </c>
      <c r="AQ166" s="447"/>
      <c r="AR166" s="448"/>
      <c r="AS166" s="448"/>
      <c r="AT166" s="448"/>
      <c r="AU166" s="448"/>
      <c r="AV166" s="448"/>
      <c r="AW166" s="448"/>
      <c r="AX166" s="448"/>
      <c r="AY166" s="449"/>
      <c r="AZ166" s="353">
        <f>IFERROR(BA66/AZ158,"")</f>
        <v>0.51524382801428692</v>
      </c>
      <c r="BA166" s="447"/>
      <c r="BB166" s="448"/>
      <c r="BC166" s="448"/>
      <c r="BD166" s="448"/>
      <c r="BE166" s="448"/>
      <c r="BF166" s="448"/>
      <c r="BG166" s="448"/>
      <c r="BH166" s="448"/>
      <c r="BI166" s="449"/>
      <c r="BJ166" s="353">
        <f>IFERROR(BK66/BJ158,"")</f>
        <v>0.5229107415477634</v>
      </c>
      <c r="BK166" s="447"/>
      <c r="BL166" s="448"/>
      <c r="BM166" s="448"/>
      <c r="BN166" s="448"/>
      <c r="BO166" s="448"/>
      <c r="BP166" s="448"/>
      <c r="BQ166" s="448"/>
      <c r="BR166" s="448"/>
      <c r="BS166" s="449"/>
      <c r="BT166" s="353">
        <f>IFERROR(BU66/BT158,"")</f>
        <v>0.53086227020805909</v>
      </c>
      <c r="BU166" s="447"/>
      <c r="BV166" s="448"/>
      <c r="BW166" s="448"/>
      <c r="BX166" s="448"/>
      <c r="BY166" s="448"/>
      <c r="BZ166" s="448"/>
      <c r="CA166" s="448"/>
      <c r="CB166" s="448"/>
      <c r="CC166" s="449"/>
    </row>
    <row r="167" spans="1:81" s="247" customFormat="1" ht="20.25" customHeight="1">
      <c r="A167" s="350" t="s">
        <v>246</v>
      </c>
      <c r="B167" s="210">
        <f>IFERROR(C111/B158,"")</f>
        <v>5.2886225752706635E-2</v>
      </c>
      <c r="C167" s="447"/>
      <c r="D167" s="448"/>
      <c r="E167" s="448"/>
      <c r="F167" s="448"/>
      <c r="G167" s="448"/>
      <c r="H167" s="448"/>
      <c r="I167" s="448"/>
      <c r="J167" s="448"/>
      <c r="K167" s="449"/>
      <c r="L167" s="353">
        <f>IFERROR(M111/L158,"")</f>
        <v>5.8844667942955967E-2</v>
      </c>
      <c r="M167" s="447"/>
      <c r="N167" s="448"/>
      <c r="O167" s="448"/>
      <c r="P167" s="448"/>
      <c r="Q167" s="448"/>
      <c r="R167" s="448"/>
      <c r="S167" s="448"/>
      <c r="T167" s="448"/>
      <c r="U167" s="449"/>
      <c r="V167" s="353">
        <f>IFERROR(W111/V158,"")</f>
        <v>5.9555012351097551E-2</v>
      </c>
      <c r="W167" s="447"/>
      <c r="X167" s="448"/>
      <c r="Y167" s="448"/>
      <c r="Z167" s="448"/>
      <c r="AA167" s="448"/>
      <c r="AB167" s="448"/>
      <c r="AC167" s="448"/>
      <c r="AD167" s="448"/>
      <c r="AE167" s="449"/>
      <c r="AF167" s="353">
        <f>IFERROR(AG111/AF158,"")</f>
        <v>5.9271651926420386E-2</v>
      </c>
      <c r="AG167" s="447"/>
      <c r="AH167" s="448"/>
      <c r="AI167" s="448"/>
      <c r="AJ167" s="448"/>
      <c r="AK167" s="448"/>
      <c r="AL167" s="448"/>
      <c r="AM167" s="448"/>
      <c r="AN167" s="448"/>
      <c r="AO167" s="449"/>
      <c r="AP167" s="353">
        <f>IFERROR(AQ111/AP158,"")</f>
        <v>5.7470939954141348E-2</v>
      </c>
      <c r="AQ167" s="447"/>
      <c r="AR167" s="448"/>
      <c r="AS167" s="448"/>
      <c r="AT167" s="448"/>
      <c r="AU167" s="448"/>
      <c r="AV167" s="448"/>
      <c r="AW167" s="448"/>
      <c r="AX167" s="448"/>
      <c r="AY167" s="449"/>
      <c r="AZ167" s="353">
        <f>IFERROR(BA111/AZ158,"")</f>
        <v>4.8072847617409091E-2</v>
      </c>
      <c r="BA167" s="447"/>
      <c r="BB167" s="448"/>
      <c r="BC167" s="448"/>
      <c r="BD167" s="448"/>
      <c r="BE167" s="448"/>
      <c r="BF167" s="448"/>
      <c r="BG167" s="448"/>
      <c r="BH167" s="448"/>
      <c r="BI167" s="449"/>
      <c r="BJ167" s="353">
        <f>IFERROR(BK111/BJ158,"")</f>
        <v>5.6233567417629533E-2</v>
      </c>
      <c r="BK167" s="447"/>
      <c r="BL167" s="448"/>
      <c r="BM167" s="448"/>
      <c r="BN167" s="448"/>
      <c r="BO167" s="448"/>
      <c r="BP167" s="448"/>
      <c r="BQ167" s="448"/>
      <c r="BR167" s="448"/>
      <c r="BS167" s="449"/>
      <c r="BT167" s="353">
        <f>IFERROR(BU111/BT158,"")</f>
        <v>6.0612123882819349E-2</v>
      </c>
      <c r="BU167" s="447"/>
      <c r="BV167" s="448"/>
      <c r="BW167" s="448"/>
      <c r="BX167" s="448"/>
      <c r="BY167" s="448"/>
      <c r="BZ167" s="448"/>
      <c r="CA167" s="448"/>
      <c r="CB167" s="448"/>
      <c r="CC167" s="449"/>
    </row>
    <row r="168" spans="1:81" s="247" customFormat="1" ht="20.25" customHeight="1">
      <c r="A168" s="350" t="s">
        <v>247</v>
      </c>
      <c r="B168" s="210">
        <f>IFERROR(SUM(C29,C80)/B158,"")</f>
        <v>0.59769558535794498</v>
      </c>
      <c r="C168" s="447"/>
      <c r="D168" s="448"/>
      <c r="E168" s="448"/>
      <c r="F168" s="448"/>
      <c r="G168" s="448"/>
      <c r="H168" s="448"/>
      <c r="I168" s="448"/>
      <c r="J168" s="448"/>
      <c r="K168" s="449"/>
      <c r="L168" s="353">
        <f>IFERROR(SUM(M29,M80)/L158,"")</f>
        <v>0.5511203221741835</v>
      </c>
      <c r="M168" s="447"/>
      <c r="N168" s="448"/>
      <c r="O168" s="448"/>
      <c r="P168" s="448"/>
      <c r="Q168" s="448"/>
      <c r="R168" s="448"/>
      <c r="S168" s="448"/>
      <c r="T168" s="448"/>
      <c r="U168" s="449"/>
      <c r="V168" s="353">
        <f>IFERROR(SUM(W29,W80)/V158,"")</f>
        <v>0.52415148565970282</v>
      </c>
      <c r="W168" s="447"/>
      <c r="X168" s="448"/>
      <c r="Y168" s="448"/>
      <c r="Z168" s="448"/>
      <c r="AA168" s="448"/>
      <c r="AB168" s="448"/>
      <c r="AC168" s="448"/>
      <c r="AD168" s="448"/>
      <c r="AE168" s="449"/>
      <c r="AF168" s="353">
        <f>IFERROR(SUM(AG29,AG80)/AF158,"")</f>
        <v>0.51491697185561447</v>
      </c>
      <c r="AG168" s="447"/>
      <c r="AH168" s="448"/>
      <c r="AI168" s="448"/>
      <c r="AJ168" s="448"/>
      <c r="AK168" s="448"/>
      <c r="AL168" s="448"/>
      <c r="AM168" s="448"/>
      <c r="AN168" s="448"/>
      <c r="AO168" s="449"/>
      <c r="AP168" s="353">
        <f>IFERROR(SUM(AQ29,AQ80)/AP158,"")</f>
        <v>0.4958781617886015</v>
      </c>
      <c r="AQ168" s="447"/>
      <c r="AR168" s="448"/>
      <c r="AS168" s="448"/>
      <c r="AT168" s="448"/>
      <c r="AU168" s="448"/>
      <c r="AV168" s="448"/>
      <c r="AW168" s="448"/>
      <c r="AX168" s="448"/>
      <c r="AY168" s="449"/>
      <c r="AZ168" s="353">
        <f>IFERROR(SUM(BA29,BA80)/AZ158,"")</f>
        <v>0.48391437730659531</v>
      </c>
      <c r="BA168" s="447"/>
      <c r="BB168" s="448"/>
      <c r="BC168" s="448"/>
      <c r="BD168" s="448"/>
      <c r="BE168" s="448"/>
      <c r="BF168" s="448"/>
      <c r="BG168" s="448"/>
      <c r="BH168" s="448"/>
      <c r="BI168" s="449"/>
      <c r="BJ168" s="353">
        <f>IFERROR(SUM(BK29,BK80)/BJ158,"")</f>
        <v>0.47803983292420255</v>
      </c>
      <c r="BK168" s="447"/>
      <c r="BL168" s="448"/>
      <c r="BM168" s="448"/>
      <c r="BN168" s="448"/>
      <c r="BO168" s="448"/>
      <c r="BP168" s="448"/>
      <c r="BQ168" s="448"/>
      <c r="BR168" s="448"/>
      <c r="BS168" s="449"/>
      <c r="BT168" s="353">
        <f>IFERROR(SUM(BU29,BU80)/BT158,"")</f>
        <v>0.47778360540470105</v>
      </c>
      <c r="BU168" s="447"/>
      <c r="BV168" s="448"/>
      <c r="BW168" s="448"/>
      <c r="BX168" s="448"/>
      <c r="BY168" s="448"/>
      <c r="BZ168" s="448"/>
      <c r="CA168" s="448"/>
      <c r="CB168" s="448"/>
      <c r="CC168" s="449"/>
    </row>
    <row r="169" spans="1:81" s="247" customFormat="1" ht="20.25" customHeight="1">
      <c r="A169" s="350" t="s">
        <v>248</v>
      </c>
      <c r="B169" s="210">
        <f>IFERROR(SUM(C44,C109)/B158,"")</f>
        <v>5.0308625735489672E-2</v>
      </c>
      <c r="C169" s="447"/>
      <c r="D169" s="448"/>
      <c r="E169" s="448"/>
      <c r="F169" s="448"/>
      <c r="G169" s="448"/>
      <c r="H169" s="448"/>
      <c r="I169" s="448"/>
      <c r="J169" s="448"/>
      <c r="K169" s="449"/>
      <c r="L169" s="353">
        <f>IFERROR(SUM(M44,M109)/L158,"")</f>
        <v>5.981101407130255E-2</v>
      </c>
      <c r="M169" s="447"/>
      <c r="N169" s="448"/>
      <c r="O169" s="448"/>
      <c r="P169" s="448"/>
      <c r="Q169" s="448"/>
      <c r="R169" s="448"/>
      <c r="S169" s="448"/>
      <c r="T169" s="448"/>
      <c r="U169" s="449"/>
      <c r="V169" s="353">
        <f>IFERROR(SUM(W44,W109)/V158,"")</f>
        <v>5.96447198319741E-2</v>
      </c>
      <c r="W169" s="447"/>
      <c r="X169" s="448"/>
      <c r="Y169" s="448"/>
      <c r="Z169" s="448"/>
      <c r="AA169" s="448"/>
      <c r="AB169" s="448"/>
      <c r="AC169" s="448"/>
      <c r="AD169" s="448"/>
      <c r="AE169" s="449"/>
      <c r="AF169" s="353">
        <f>IFERROR(SUM(AG44,AG109)/AF158,"")</f>
        <v>6.0367617446844053E-2</v>
      </c>
      <c r="AG169" s="447"/>
      <c r="AH169" s="448"/>
      <c r="AI169" s="448"/>
      <c r="AJ169" s="448"/>
      <c r="AK169" s="448"/>
      <c r="AL169" s="448"/>
      <c r="AM169" s="448"/>
      <c r="AN169" s="448"/>
      <c r="AO169" s="449"/>
      <c r="AP169" s="353">
        <f>IFERROR(SUM(AQ44,AQ109)/AP158,"")</f>
        <v>5.7222233498280935E-2</v>
      </c>
      <c r="AQ169" s="447"/>
      <c r="AR169" s="448"/>
      <c r="AS169" s="448"/>
      <c r="AT169" s="448"/>
      <c r="AU169" s="448"/>
      <c r="AV169" s="448"/>
      <c r="AW169" s="448"/>
      <c r="AX169" s="448"/>
      <c r="AY169" s="449"/>
      <c r="AZ169" s="353">
        <f>IFERROR(SUM(BA44,BA109)/AZ158,"")</f>
        <v>5.3116180065951694E-2</v>
      </c>
      <c r="BA169" s="447"/>
      <c r="BB169" s="448"/>
      <c r="BC169" s="448"/>
      <c r="BD169" s="448"/>
      <c r="BE169" s="448"/>
      <c r="BF169" s="448"/>
      <c r="BG169" s="448"/>
      <c r="BH169" s="448"/>
      <c r="BI169" s="449"/>
      <c r="BJ169" s="353">
        <f>IFERROR(SUM(BK44,BK109)/BJ158,"")</f>
        <v>7.3227566763506988E-2</v>
      </c>
      <c r="BK169" s="447"/>
      <c r="BL169" s="448"/>
      <c r="BM169" s="448"/>
      <c r="BN169" s="448"/>
      <c r="BO169" s="448"/>
      <c r="BP169" s="448"/>
      <c r="BQ169" s="448"/>
      <c r="BR169" s="448"/>
      <c r="BS169" s="449"/>
      <c r="BT169" s="353">
        <f>IFERROR(SUM(BU44,BU109)/BT158,"")</f>
        <v>8.6066915244135275E-2</v>
      </c>
      <c r="BU169" s="447"/>
      <c r="BV169" s="448"/>
      <c r="BW169" s="448"/>
      <c r="BX169" s="448"/>
      <c r="BY169" s="448"/>
      <c r="BZ169" s="448"/>
      <c r="CA169" s="448"/>
      <c r="CB169" s="448"/>
      <c r="CC169" s="449"/>
    </row>
    <row r="170" spans="1:81" s="247" customFormat="1" ht="20.25" customHeight="1">
      <c r="A170" s="350" t="s">
        <v>249</v>
      </c>
      <c r="B170" s="210">
        <f>IFERROR(SUM(C64)/B158,"")</f>
        <v>2.494256720054468E-2</v>
      </c>
      <c r="C170" s="447"/>
      <c r="D170" s="448"/>
      <c r="E170" s="448"/>
      <c r="F170" s="448"/>
      <c r="G170" s="448"/>
      <c r="H170" s="448"/>
      <c r="I170" s="448"/>
      <c r="J170" s="448"/>
      <c r="K170" s="449"/>
      <c r="L170" s="353">
        <f>IFERROR(SUM(M64)/L158,"")</f>
        <v>2.3652830161160512E-2</v>
      </c>
      <c r="M170" s="447"/>
      <c r="N170" s="448"/>
      <c r="O170" s="448"/>
      <c r="P170" s="448"/>
      <c r="Q170" s="448"/>
      <c r="R170" s="448"/>
      <c r="S170" s="448"/>
      <c r="T170" s="448"/>
      <c r="U170" s="449"/>
      <c r="V170" s="353">
        <f>IFERROR(SUM(W64)/V158,"")</f>
        <v>2.5188654583613992E-2</v>
      </c>
      <c r="W170" s="447"/>
      <c r="X170" s="448"/>
      <c r="Y170" s="448"/>
      <c r="Z170" s="448"/>
      <c r="AA170" s="448"/>
      <c r="AB170" s="448"/>
      <c r="AC170" s="448"/>
      <c r="AD170" s="448"/>
      <c r="AE170" s="449"/>
      <c r="AF170" s="353">
        <f>IFERROR(SUM(AG64)/AF158,"")</f>
        <v>3.0048514126155858E-2</v>
      </c>
      <c r="AG170" s="447"/>
      <c r="AH170" s="448"/>
      <c r="AI170" s="448"/>
      <c r="AJ170" s="448"/>
      <c r="AK170" s="448"/>
      <c r="AL170" s="448"/>
      <c r="AM170" s="448"/>
      <c r="AN170" s="448"/>
      <c r="AO170" s="449"/>
      <c r="AP170" s="353">
        <f>IFERROR(SUM(AQ64)/AP158,"")</f>
        <v>2.8903963787849794E-2</v>
      </c>
      <c r="AQ170" s="447"/>
      <c r="AR170" s="448"/>
      <c r="AS170" s="448"/>
      <c r="AT170" s="448"/>
      <c r="AU170" s="448"/>
      <c r="AV170" s="448"/>
      <c r="AW170" s="448"/>
      <c r="AX170" s="448"/>
      <c r="AY170" s="449"/>
      <c r="AZ170" s="353">
        <f>IFERROR(SUM(BA64)/AZ158,"")</f>
        <v>2.6286118259148963E-2</v>
      </c>
      <c r="BA170" s="447"/>
      <c r="BB170" s="448"/>
      <c r="BC170" s="448"/>
      <c r="BD170" s="448"/>
      <c r="BE170" s="448"/>
      <c r="BF170" s="448"/>
      <c r="BG170" s="448"/>
      <c r="BH170" s="448"/>
      <c r="BI170" s="449"/>
      <c r="BJ170" s="353">
        <f>IFERROR(SUM(BK64)/BJ158,"")</f>
        <v>2.7876909277683427E-2</v>
      </c>
      <c r="BK170" s="447"/>
      <c r="BL170" s="448"/>
      <c r="BM170" s="448"/>
      <c r="BN170" s="448"/>
      <c r="BO170" s="448"/>
      <c r="BP170" s="448"/>
      <c r="BQ170" s="448"/>
      <c r="BR170" s="448"/>
      <c r="BS170" s="449"/>
      <c r="BT170" s="353">
        <f>IFERROR(SUM(BU64)/BT158,"")</f>
        <v>2.7623873442042174E-2</v>
      </c>
      <c r="BU170" s="447"/>
      <c r="BV170" s="448"/>
      <c r="BW170" s="448"/>
      <c r="BX170" s="448"/>
      <c r="BY170" s="448"/>
      <c r="BZ170" s="448"/>
      <c r="CA170" s="448"/>
      <c r="CB170" s="448"/>
      <c r="CC170" s="449"/>
    </row>
    <row r="171" spans="1:81" s="247" customFormat="1" ht="20.25" customHeight="1" thickBot="1">
      <c r="A171" s="350" t="s">
        <v>250</v>
      </c>
      <c r="B171" s="212">
        <f>IFERROR(C145/B158,"")</f>
        <v>0.32705322170602064</v>
      </c>
      <c r="C171" s="450"/>
      <c r="D171" s="451"/>
      <c r="E171" s="451"/>
      <c r="F171" s="451"/>
      <c r="G171" s="451"/>
      <c r="H171" s="451"/>
      <c r="I171" s="451"/>
      <c r="J171" s="451"/>
      <c r="K171" s="452"/>
      <c r="L171" s="358">
        <f>IFERROR(M145/L158,"")</f>
        <v>0.3654158335933535</v>
      </c>
      <c r="M171" s="450"/>
      <c r="N171" s="451"/>
      <c r="O171" s="451"/>
      <c r="P171" s="451"/>
      <c r="Q171" s="451"/>
      <c r="R171" s="451"/>
      <c r="S171" s="451"/>
      <c r="T171" s="451"/>
      <c r="U171" s="452"/>
      <c r="V171" s="358">
        <f>IFERROR(W145/V158,"")</f>
        <v>0.39101513992470915</v>
      </c>
      <c r="W171" s="450"/>
      <c r="X171" s="451"/>
      <c r="Y171" s="451"/>
      <c r="Z171" s="451"/>
      <c r="AA171" s="451"/>
      <c r="AB171" s="451"/>
      <c r="AC171" s="451"/>
      <c r="AD171" s="451"/>
      <c r="AE171" s="452"/>
      <c r="AF171" s="358">
        <f>IFERROR(AG145/AF158,"")</f>
        <v>0.39466689657138576</v>
      </c>
      <c r="AG171" s="450"/>
      <c r="AH171" s="451"/>
      <c r="AI171" s="451"/>
      <c r="AJ171" s="451"/>
      <c r="AK171" s="451"/>
      <c r="AL171" s="451"/>
      <c r="AM171" s="451"/>
      <c r="AN171" s="451"/>
      <c r="AO171" s="452"/>
      <c r="AP171" s="358">
        <f>IFERROR(AQ145/AP158,"")</f>
        <v>0.41799564092526775</v>
      </c>
      <c r="AQ171" s="450"/>
      <c r="AR171" s="451"/>
      <c r="AS171" s="451"/>
      <c r="AT171" s="451"/>
      <c r="AU171" s="451"/>
      <c r="AV171" s="451"/>
      <c r="AW171" s="451"/>
      <c r="AX171" s="451"/>
      <c r="AY171" s="452"/>
      <c r="AZ171" s="358">
        <f>IFERROR(BA145/AZ158,"")</f>
        <v>0.43668332436830398</v>
      </c>
      <c r="BA171" s="450"/>
      <c r="BB171" s="451"/>
      <c r="BC171" s="451"/>
      <c r="BD171" s="451"/>
      <c r="BE171" s="451"/>
      <c r="BF171" s="451"/>
      <c r="BG171" s="451"/>
      <c r="BH171" s="451"/>
      <c r="BI171" s="452"/>
      <c r="BJ171" s="358">
        <f>IFERROR(BK145/BJ158,"")</f>
        <v>0.42085569103460702</v>
      </c>
      <c r="BK171" s="450"/>
      <c r="BL171" s="451"/>
      <c r="BM171" s="451"/>
      <c r="BN171" s="451"/>
      <c r="BO171" s="451"/>
      <c r="BP171" s="451"/>
      <c r="BQ171" s="451"/>
      <c r="BR171" s="451"/>
      <c r="BS171" s="452"/>
      <c r="BT171" s="358">
        <f>IFERROR(BU145/BT158,"")</f>
        <v>0.40852560590912151</v>
      </c>
      <c r="BU171" s="450"/>
      <c r="BV171" s="451"/>
      <c r="BW171" s="451"/>
      <c r="BX171" s="451"/>
      <c r="BY171" s="451"/>
      <c r="BZ171" s="451"/>
      <c r="CA171" s="451"/>
      <c r="CB171" s="451"/>
      <c r="CC171" s="452"/>
    </row>
    <row r="172" spans="1:81" s="251" customFormat="1" ht="12.75">
      <c r="B172" s="359"/>
      <c r="C172" s="342"/>
      <c r="D172" s="320"/>
      <c r="E172" s="342"/>
      <c r="F172" s="342"/>
      <c r="G172" s="342"/>
      <c r="H172" s="342"/>
      <c r="I172" s="342"/>
      <c r="J172" s="342"/>
      <c r="K172" s="342"/>
      <c r="L172" s="360"/>
      <c r="M172" s="342"/>
      <c r="N172" s="342"/>
      <c r="O172" s="342"/>
      <c r="P172" s="342"/>
      <c r="Q172" s="342"/>
      <c r="R172" s="342"/>
      <c r="S172" s="342"/>
      <c r="T172" s="342"/>
      <c r="U172" s="342"/>
      <c r="V172" s="360"/>
      <c r="W172" s="342"/>
      <c r="X172" s="320"/>
      <c r="Y172" s="342"/>
      <c r="Z172" s="342"/>
      <c r="AA172" s="342"/>
      <c r="AB172" s="342"/>
      <c r="AC172" s="342"/>
      <c r="AD172" s="342"/>
      <c r="AE172" s="342"/>
      <c r="AF172" s="360"/>
      <c r="AG172" s="342"/>
      <c r="AH172" s="320"/>
      <c r="AI172" s="342"/>
      <c r="AJ172" s="342"/>
      <c r="AK172" s="342"/>
      <c r="AL172" s="342"/>
      <c r="AM172" s="342"/>
      <c r="AN172" s="342"/>
      <c r="AO172" s="342"/>
      <c r="AP172" s="360"/>
      <c r="AQ172" s="342"/>
      <c r="AR172" s="320"/>
      <c r="AS172" s="342"/>
      <c r="AT172" s="342"/>
      <c r="AU172" s="342"/>
      <c r="AV172" s="342"/>
      <c r="AW172" s="342"/>
      <c r="AX172" s="342"/>
      <c r="AY172" s="342"/>
      <c r="AZ172" s="360"/>
      <c r="BA172" s="342"/>
      <c r="BB172" s="320"/>
      <c r="BC172" s="342"/>
      <c r="BD172" s="342"/>
      <c r="BE172" s="342"/>
      <c r="BF172" s="342"/>
      <c r="BG172" s="342"/>
      <c r="BH172" s="342"/>
      <c r="BI172" s="342"/>
      <c r="BJ172" s="360"/>
      <c r="BK172" s="342"/>
      <c r="BL172" s="320"/>
      <c r="BM172" s="342"/>
      <c r="BN172" s="342"/>
      <c r="BO172" s="342"/>
      <c r="BP172" s="342"/>
      <c r="BQ172" s="342"/>
      <c r="BR172" s="342"/>
      <c r="BS172" s="342"/>
      <c r="BT172" s="360"/>
      <c r="BU172" s="342"/>
      <c r="BV172" s="320"/>
      <c r="BW172" s="342"/>
      <c r="BX172" s="342"/>
      <c r="BY172" s="342"/>
      <c r="BZ172" s="342"/>
      <c r="CA172" s="342"/>
      <c r="CB172" s="342"/>
      <c r="CC172" s="342"/>
    </row>
    <row r="173" spans="1:81" s="251" customFormat="1" ht="12.75">
      <c r="B173" s="359"/>
      <c r="C173" s="342"/>
      <c r="D173" s="342"/>
      <c r="E173" s="342"/>
      <c r="F173" s="342"/>
      <c r="G173" s="342"/>
      <c r="H173" s="342"/>
      <c r="I173" s="342"/>
      <c r="J173" s="342"/>
      <c r="K173" s="342"/>
      <c r="L173" s="360"/>
      <c r="M173" s="342"/>
      <c r="N173" s="342"/>
      <c r="O173" s="342"/>
      <c r="P173" s="342"/>
      <c r="Q173" s="342"/>
      <c r="R173" s="342"/>
      <c r="S173" s="342"/>
      <c r="T173" s="342"/>
      <c r="U173" s="342"/>
      <c r="V173" s="360"/>
      <c r="W173" s="342"/>
      <c r="X173" s="342"/>
      <c r="Y173" s="342"/>
      <c r="Z173" s="342"/>
      <c r="AA173" s="342"/>
      <c r="AB173" s="342"/>
      <c r="AC173" s="342"/>
      <c r="AD173" s="342"/>
      <c r="AE173" s="342"/>
      <c r="AF173" s="360"/>
      <c r="AG173" s="342"/>
      <c r="AH173" s="342"/>
      <c r="AI173" s="342"/>
      <c r="AJ173" s="342"/>
      <c r="AK173" s="342"/>
      <c r="AL173" s="342"/>
      <c r="AM173" s="342"/>
      <c r="AN173" s="342"/>
      <c r="AO173" s="342"/>
      <c r="AP173" s="360"/>
      <c r="AQ173" s="342"/>
      <c r="AR173" s="342"/>
      <c r="AS173" s="342"/>
      <c r="AT173" s="342"/>
      <c r="AU173" s="342"/>
      <c r="AV173" s="342"/>
      <c r="AW173" s="342"/>
      <c r="AX173" s="342"/>
      <c r="AY173" s="342"/>
      <c r="AZ173" s="360"/>
      <c r="BA173" s="342"/>
      <c r="BB173" s="342"/>
      <c r="BC173" s="342"/>
      <c r="BD173" s="342"/>
      <c r="BE173" s="342"/>
      <c r="BF173" s="342"/>
      <c r="BG173" s="342"/>
      <c r="BH173" s="342"/>
      <c r="BI173" s="342"/>
      <c r="BJ173" s="360"/>
      <c r="BK173" s="342"/>
      <c r="BL173" s="342"/>
      <c r="BM173" s="342"/>
      <c r="BN173" s="342"/>
      <c r="BO173" s="342"/>
      <c r="BP173" s="342"/>
      <c r="BQ173" s="342"/>
      <c r="BR173" s="342"/>
      <c r="BS173" s="342"/>
      <c r="BT173" s="360"/>
      <c r="BU173" s="342"/>
      <c r="BV173" s="342"/>
      <c r="BW173" s="342"/>
      <c r="BX173" s="342"/>
      <c r="BY173" s="342"/>
      <c r="BZ173" s="342"/>
      <c r="CA173" s="342"/>
      <c r="CB173" s="342"/>
      <c r="CC173" s="342"/>
    </row>
    <row r="174" spans="1:81" s="251" customFormat="1" ht="12.75">
      <c r="B174" s="361"/>
      <c r="C174" s="362"/>
      <c r="D174" s="362"/>
      <c r="E174" s="362"/>
      <c r="F174" s="362"/>
      <c r="G174" s="362"/>
      <c r="H174" s="362"/>
      <c r="I174" s="362"/>
      <c r="J174" s="362"/>
      <c r="K174" s="362"/>
      <c r="M174" s="362"/>
      <c r="N174" s="362"/>
      <c r="O174" s="362"/>
      <c r="P174" s="362"/>
      <c r="Q174" s="362"/>
      <c r="R174" s="362"/>
      <c r="S174" s="362"/>
      <c r="T174" s="362"/>
      <c r="U174" s="362"/>
      <c r="V174" s="363"/>
      <c r="W174" s="362"/>
      <c r="X174" s="362"/>
      <c r="Y174" s="362"/>
      <c r="Z174" s="362"/>
      <c r="AA174" s="362"/>
      <c r="AB174" s="362"/>
      <c r="AC174" s="362"/>
      <c r="AD174" s="362"/>
      <c r="AE174" s="362"/>
      <c r="AF174" s="363"/>
      <c r="AG174" s="362"/>
      <c r="AH174" s="362"/>
      <c r="AI174" s="362"/>
      <c r="AJ174" s="362"/>
      <c r="AK174" s="362"/>
      <c r="AL174" s="362"/>
      <c r="AM174" s="362"/>
      <c r="AN174" s="362"/>
      <c r="AO174" s="362"/>
      <c r="AP174" s="363"/>
      <c r="AQ174" s="362"/>
      <c r="AR174" s="362"/>
      <c r="AS174" s="362"/>
      <c r="AT174" s="362"/>
      <c r="AU174" s="362"/>
      <c r="AV174" s="362"/>
      <c r="AW174" s="362"/>
      <c r="AX174" s="362"/>
      <c r="AY174" s="362"/>
      <c r="AZ174" s="363"/>
      <c r="BA174" s="362"/>
      <c r="BB174" s="362"/>
      <c r="BC174" s="362"/>
      <c r="BD174" s="362"/>
      <c r="BE174" s="362"/>
      <c r="BF174" s="362"/>
      <c r="BG174" s="362"/>
      <c r="BH174" s="362"/>
      <c r="BI174" s="362"/>
      <c r="BJ174" s="363"/>
      <c r="BK174" s="362"/>
      <c r="BL174" s="362"/>
      <c r="BM174" s="362"/>
      <c r="BN174" s="362"/>
      <c r="BO174" s="362"/>
      <c r="BP174" s="362"/>
      <c r="BQ174" s="362"/>
      <c r="BR174" s="362"/>
      <c r="BS174" s="362"/>
      <c r="BT174" s="363"/>
      <c r="BU174" s="362"/>
      <c r="BV174" s="362"/>
      <c r="BW174" s="362"/>
      <c r="BX174" s="362"/>
      <c r="BY174" s="362"/>
      <c r="BZ174" s="362"/>
      <c r="CA174" s="362"/>
      <c r="CB174" s="362"/>
      <c r="CC174" s="362"/>
    </row>
    <row r="175" spans="1:81" s="251" customFormat="1" ht="12.75">
      <c r="B175" s="359"/>
      <c r="C175" s="362"/>
      <c r="D175" s="362"/>
      <c r="E175" s="362"/>
      <c r="F175" s="362"/>
      <c r="G175" s="362"/>
      <c r="H175" s="362"/>
      <c r="I175" s="362"/>
      <c r="J175" s="362"/>
      <c r="K175" s="362"/>
      <c r="M175" s="362"/>
      <c r="N175" s="362"/>
      <c r="O175" s="362"/>
      <c r="P175" s="362"/>
      <c r="Q175" s="362"/>
      <c r="R175" s="362"/>
      <c r="S175" s="362"/>
      <c r="T175" s="362"/>
      <c r="U175" s="362"/>
      <c r="W175" s="362"/>
      <c r="X175" s="362"/>
      <c r="Y175" s="362"/>
      <c r="Z175" s="362"/>
      <c r="AA175" s="362"/>
      <c r="AB175" s="362"/>
      <c r="AC175" s="362"/>
      <c r="AD175" s="362"/>
      <c r="AE175" s="362"/>
      <c r="AG175" s="362"/>
      <c r="AH175" s="362"/>
      <c r="AI175" s="362"/>
      <c r="AJ175" s="362"/>
      <c r="AK175" s="362"/>
      <c r="AL175" s="362"/>
      <c r="AM175" s="362"/>
      <c r="AN175" s="362"/>
      <c r="AO175" s="362"/>
      <c r="AQ175" s="362"/>
      <c r="AR175" s="362"/>
      <c r="AS175" s="362"/>
      <c r="AT175" s="362"/>
      <c r="AU175" s="362"/>
      <c r="AV175" s="362"/>
      <c r="AW175" s="362"/>
      <c r="AX175" s="362"/>
      <c r="AY175" s="362"/>
      <c r="BA175" s="362"/>
      <c r="BB175" s="362"/>
      <c r="BC175" s="362"/>
      <c r="BD175" s="362"/>
      <c r="BE175" s="362"/>
      <c r="BF175" s="362"/>
      <c r="BG175" s="362"/>
      <c r="BH175" s="362"/>
      <c r="BI175" s="362"/>
      <c r="BK175" s="362"/>
      <c r="BL175" s="362"/>
      <c r="BM175" s="362"/>
      <c r="BN175" s="362"/>
      <c r="BO175" s="362"/>
      <c r="BP175" s="362"/>
      <c r="BQ175" s="362"/>
      <c r="BR175" s="362"/>
      <c r="BS175" s="362"/>
      <c r="BU175" s="362"/>
      <c r="BV175" s="362"/>
      <c r="BW175" s="362"/>
      <c r="BX175" s="362"/>
      <c r="BY175" s="362"/>
      <c r="BZ175" s="362"/>
      <c r="CA175" s="362"/>
      <c r="CB175" s="362"/>
      <c r="CC175" s="362"/>
    </row>
    <row r="176" spans="1:81" s="251" customFormat="1" ht="12.75">
      <c r="B176" s="359"/>
      <c r="C176" s="362"/>
      <c r="D176" s="362"/>
      <c r="E176" s="362"/>
      <c r="F176" s="362"/>
      <c r="G176" s="362"/>
      <c r="H176" s="362"/>
      <c r="I176" s="362"/>
      <c r="J176" s="362"/>
      <c r="K176" s="362"/>
      <c r="M176" s="362"/>
      <c r="N176" s="362"/>
      <c r="O176" s="362"/>
      <c r="P176" s="362"/>
      <c r="Q176" s="362"/>
      <c r="R176" s="362"/>
      <c r="S176" s="362"/>
      <c r="T176" s="362"/>
      <c r="U176" s="362"/>
      <c r="W176" s="362"/>
      <c r="X176" s="362"/>
      <c r="Y176" s="362"/>
      <c r="Z176" s="362"/>
      <c r="AA176" s="362"/>
      <c r="AB176" s="362"/>
      <c r="AC176" s="362"/>
      <c r="AD176" s="362"/>
      <c r="AE176" s="362"/>
      <c r="AG176" s="362"/>
      <c r="AH176" s="362"/>
      <c r="AI176" s="362"/>
      <c r="AJ176" s="362"/>
      <c r="AK176" s="362"/>
      <c r="AL176" s="362"/>
      <c r="AM176" s="362"/>
      <c r="AN176" s="362"/>
      <c r="AO176" s="362"/>
      <c r="AQ176" s="362"/>
      <c r="AR176" s="362"/>
      <c r="AS176" s="362"/>
      <c r="AT176" s="362"/>
      <c r="AU176" s="362"/>
      <c r="AV176" s="362"/>
      <c r="AW176" s="362"/>
      <c r="AX176" s="362"/>
      <c r="AY176" s="362"/>
      <c r="BA176" s="362"/>
      <c r="BB176" s="362"/>
      <c r="BC176" s="362"/>
      <c r="BD176" s="362"/>
      <c r="BE176" s="362"/>
      <c r="BF176" s="362"/>
      <c r="BG176" s="362"/>
      <c r="BH176" s="362"/>
      <c r="BI176" s="362"/>
      <c r="BK176" s="362"/>
      <c r="BL176" s="362"/>
      <c r="BM176" s="362"/>
      <c r="BN176" s="362"/>
      <c r="BO176" s="362"/>
      <c r="BP176" s="362"/>
      <c r="BQ176" s="362"/>
      <c r="BR176" s="362"/>
      <c r="BS176" s="362"/>
      <c r="BU176" s="362"/>
      <c r="BV176" s="362"/>
      <c r="BW176" s="362"/>
      <c r="BX176" s="362"/>
      <c r="BY176" s="362"/>
      <c r="BZ176" s="362"/>
      <c r="CA176" s="362"/>
      <c r="CB176" s="362"/>
      <c r="CC176" s="362"/>
    </row>
    <row r="177" spans="2:81" s="251" customFormat="1" ht="12.75">
      <c r="B177" s="359"/>
      <c r="C177" s="362"/>
      <c r="D177" s="362"/>
      <c r="E177" s="362"/>
      <c r="F177" s="362"/>
      <c r="G177" s="362"/>
      <c r="H177" s="362"/>
      <c r="I177" s="362"/>
      <c r="J177" s="362"/>
      <c r="K177" s="362"/>
      <c r="M177" s="362"/>
      <c r="N177" s="362"/>
      <c r="O177" s="362"/>
      <c r="P177" s="362"/>
      <c r="Q177" s="362"/>
      <c r="R177" s="362"/>
      <c r="S177" s="362"/>
      <c r="T177" s="362"/>
      <c r="U177" s="362"/>
      <c r="W177" s="362"/>
      <c r="X177" s="362"/>
      <c r="Y177" s="362"/>
      <c r="Z177" s="362"/>
      <c r="AA177" s="362"/>
      <c r="AB177" s="362"/>
      <c r="AC177" s="362"/>
      <c r="AD177" s="362"/>
      <c r="AE177" s="362"/>
      <c r="AG177" s="362"/>
      <c r="AH177" s="362"/>
      <c r="AI177" s="362"/>
      <c r="AJ177" s="362"/>
      <c r="AK177" s="362"/>
      <c r="AL177" s="362"/>
      <c r="AM177" s="362"/>
      <c r="AN177" s="362"/>
      <c r="AO177" s="362"/>
      <c r="AQ177" s="362"/>
      <c r="AR177" s="362"/>
      <c r="AS177" s="362"/>
      <c r="AT177" s="362"/>
      <c r="AU177" s="362"/>
      <c r="AV177" s="362"/>
      <c r="AW177" s="362"/>
      <c r="AX177" s="362"/>
      <c r="AY177" s="362"/>
      <c r="BA177" s="362"/>
      <c r="BB177" s="362"/>
      <c r="BC177" s="362"/>
      <c r="BD177" s="362"/>
      <c r="BE177" s="362"/>
      <c r="BF177" s="362"/>
      <c r="BG177" s="362"/>
      <c r="BH177" s="362"/>
      <c r="BI177" s="362"/>
      <c r="BK177" s="362"/>
      <c r="BL177" s="362"/>
      <c r="BM177" s="362"/>
      <c r="BN177" s="362"/>
      <c r="BO177" s="362"/>
      <c r="BP177" s="362"/>
      <c r="BQ177" s="362"/>
      <c r="BR177" s="362"/>
      <c r="BS177" s="362"/>
      <c r="BU177" s="362"/>
      <c r="BV177" s="362"/>
      <c r="BW177" s="362"/>
      <c r="BX177" s="362"/>
      <c r="BY177" s="362"/>
      <c r="BZ177" s="362"/>
      <c r="CA177" s="362"/>
      <c r="CB177" s="362"/>
      <c r="CC177" s="362"/>
    </row>
    <row r="178" spans="2:81" s="251" customFormat="1" ht="12.75">
      <c r="B178" s="359"/>
      <c r="C178" s="362"/>
      <c r="D178" s="362"/>
      <c r="E178" s="362"/>
      <c r="F178" s="362"/>
      <c r="G178" s="362"/>
      <c r="H178" s="362"/>
      <c r="I178" s="362"/>
      <c r="J178" s="362"/>
      <c r="K178" s="362"/>
      <c r="M178" s="362"/>
      <c r="N178" s="362"/>
      <c r="O178" s="362"/>
      <c r="P178" s="362"/>
      <c r="Q178" s="362"/>
      <c r="R178" s="362"/>
      <c r="S178" s="362"/>
      <c r="T178" s="362"/>
      <c r="U178" s="362"/>
      <c r="W178" s="362"/>
      <c r="X178" s="362"/>
      <c r="Y178" s="362"/>
      <c r="Z178" s="362"/>
      <c r="AA178" s="362"/>
      <c r="AB178" s="362"/>
      <c r="AC178" s="362"/>
      <c r="AD178" s="362"/>
      <c r="AE178" s="362"/>
      <c r="AG178" s="362"/>
      <c r="AH178" s="362"/>
      <c r="AI178" s="362"/>
      <c r="AJ178" s="362"/>
      <c r="AK178" s="362"/>
      <c r="AL178" s="362"/>
      <c r="AM178" s="362"/>
      <c r="AN178" s="362"/>
      <c r="AO178" s="362"/>
      <c r="AQ178" s="362"/>
      <c r="AR178" s="362"/>
      <c r="AS178" s="362"/>
      <c r="AT178" s="362"/>
      <c r="AU178" s="362"/>
      <c r="AV178" s="362"/>
      <c r="AW178" s="362"/>
      <c r="AX178" s="362"/>
      <c r="AY178" s="362"/>
      <c r="BA178" s="362"/>
      <c r="BB178" s="362"/>
      <c r="BC178" s="362"/>
      <c r="BD178" s="362"/>
      <c r="BE178" s="362"/>
      <c r="BF178" s="362"/>
      <c r="BG178" s="362"/>
      <c r="BH178" s="362"/>
      <c r="BI178" s="362"/>
      <c r="BK178" s="362"/>
      <c r="BL178" s="362"/>
      <c r="BM178" s="362"/>
      <c r="BN178" s="362"/>
      <c r="BO178" s="362"/>
      <c r="BP178" s="362"/>
      <c r="BQ178" s="362"/>
      <c r="BR178" s="362"/>
      <c r="BS178" s="362"/>
      <c r="BU178" s="362"/>
      <c r="BV178" s="362"/>
      <c r="BW178" s="362"/>
      <c r="BX178" s="362"/>
      <c r="BY178" s="362"/>
      <c r="BZ178" s="362"/>
      <c r="CA178" s="362"/>
      <c r="CB178" s="362"/>
      <c r="CC178" s="362"/>
    </row>
    <row r="179" spans="2:81" s="251" customFormat="1" ht="12.75">
      <c r="B179" s="359"/>
      <c r="C179" s="362"/>
      <c r="D179" s="362"/>
      <c r="E179" s="362"/>
      <c r="F179" s="362"/>
      <c r="G179" s="362"/>
      <c r="H179" s="362"/>
      <c r="I179" s="362"/>
      <c r="J179" s="362"/>
      <c r="K179" s="362"/>
      <c r="M179" s="362"/>
      <c r="N179" s="362"/>
      <c r="O179" s="362"/>
      <c r="P179" s="362"/>
      <c r="Q179" s="362"/>
      <c r="R179" s="362"/>
      <c r="S179" s="362"/>
      <c r="T179" s="362"/>
      <c r="U179" s="362"/>
      <c r="W179" s="362"/>
      <c r="X179" s="362"/>
      <c r="Y179" s="362"/>
      <c r="Z179" s="362"/>
      <c r="AA179" s="362"/>
      <c r="AB179" s="362"/>
      <c r="AC179" s="362"/>
      <c r="AD179" s="362"/>
      <c r="AE179" s="362"/>
      <c r="AG179" s="362"/>
      <c r="AH179" s="362"/>
      <c r="AI179" s="362"/>
      <c r="AJ179" s="362"/>
      <c r="AK179" s="362"/>
      <c r="AL179" s="362"/>
      <c r="AM179" s="362"/>
      <c r="AN179" s="362"/>
      <c r="AO179" s="362"/>
      <c r="AQ179" s="362"/>
      <c r="AR179" s="362"/>
      <c r="AS179" s="362"/>
      <c r="AT179" s="362"/>
      <c r="AU179" s="362"/>
      <c r="AV179" s="362"/>
      <c r="AW179" s="362"/>
      <c r="AX179" s="362"/>
      <c r="AY179" s="362"/>
      <c r="BA179" s="362"/>
      <c r="BB179" s="362"/>
      <c r="BC179" s="362"/>
      <c r="BD179" s="362"/>
      <c r="BE179" s="362"/>
      <c r="BF179" s="362"/>
      <c r="BG179" s="362"/>
      <c r="BH179" s="362"/>
      <c r="BI179" s="362"/>
      <c r="BK179" s="362"/>
      <c r="BL179" s="362"/>
      <c r="BM179" s="362"/>
      <c r="BN179" s="362"/>
      <c r="BO179" s="362"/>
      <c r="BP179" s="362"/>
      <c r="BQ179" s="362"/>
      <c r="BR179" s="362"/>
      <c r="BS179" s="362"/>
      <c r="BU179" s="362"/>
      <c r="BV179" s="362"/>
      <c r="BW179" s="362"/>
      <c r="BX179" s="362"/>
      <c r="BY179" s="362"/>
      <c r="BZ179" s="362"/>
      <c r="CA179" s="362"/>
      <c r="CB179" s="362"/>
      <c r="CC179" s="362"/>
    </row>
    <row r="180" spans="2:81" s="251" customFormat="1" ht="12.75">
      <c r="B180" s="359"/>
      <c r="C180" s="362"/>
      <c r="D180" s="362"/>
      <c r="E180" s="362"/>
      <c r="F180" s="362"/>
      <c r="G180" s="362"/>
      <c r="H180" s="362"/>
      <c r="I180" s="362"/>
      <c r="J180" s="362"/>
      <c r="K180" s="362"/>
      <c r="M180" s="362"/>
      <c r="N180" s="362"/>
      <c r="O180" s="362"/>
      <c r="P180" s="362"/>
      <c r="Q180" s="362"/>
      <c r="R180" s="362"/>
      <c r="S180" s="362"/>
      <c r="T180" s="362"/>
      <c r="U180" s="362"/>
      <c r="W180" s="362"/>
      <c r="X180" s="362"/>
      <c r="Y180" s="362"/>
      <c r="Z180" s="362"/>
      <c r="AA180" s="362"/>
      <c r="AB180" s="362"/>
      <c r="AC180" s="362"/>
      <c r="AD180" s="362"/>
      <c r="AE180" s="362"/>
      <c r="AG180" s="362"/>
      <c r="AH180" s="362"/>
      <c r="AI180" s="362"/>
      <c r="AJ180" s="362"/>
      <c r="AK180" s="362"/>
      <c r="AL180" s="362"/>
      <c r="AM180" s="362"/>
      <c r="AN180" s="362"/>
      <c r="AO180" s="362"/>
      <c r="AQ180" s="362"/>
      <c r="AR180" s="362"/>
      <c r="AS180" s="362"/>
      <c r="AT180" s="362"/>
      <c r="AU180" s="362"/>
      <c r="AV180" s="362"/>
      <c r="AW180" s="362"/>
      <c r="AX180" s="362"/>
      <c r="AY180" s="362"/>
      <c r="BA180" s="362"/>
      <c r="BB180" s="362"/>
      <c r="BC180" s="362"/>
      <c r="BD180" s="362"/>
      <c r="BE180" s="362"/>
      <c r="BF180" s="362"/>
      <c r="BG180" s="362"/>
      <c r="BH180" s="362"/>
      <c r="BI180" s="362"/>
      <c r="BK180" s="362"/>
      <c r="BL180" s="362"/>
      <c r="BM180" s="362"/>
      <c r="BN180" s="362"/>
      <c r="BO180" s="362"/>
      <c r="BP180" s="362"/>
      <c r="BQ180" s="362"/>
      <c r="BR180" s="362"/>
      <c r="BS180" s="362"/>
      <c r="BU180" s="362"/>
      <c r="BV180" s="362"/>
      <c r="BW180" s="362"/>
      <c r="BX180" s="362"/>
      <c r="BY180" s="362"/>
      <c r="BZ180" s="362"/>
      <c r="CA180" s="362"/>
      <c r="CB180" s="362"/>
      <c r="CC180" s="362"/>
    </row>
    <row r="181" spans="2:81" s="251" customFormat="1" ht="12.75">
      <c r="B181" s="359"/>
      <c r="C181" s="362"/>
      <c r="D181" s="362"/>
      <c r="E181" s="362"/>
      <c r="F181" s="362"/>
      <c r="G181" s="362"/>
      <c r="H181" s="362"/>
      <c r="I181" s="362"/>
      <c r="J181" s="362"/>
      <c r="K181" s="362"/>
      <c r="M181" s="362"/>
      <c r="N181" s="362"/>
      <c r="O181" s="362"/>
      <c r="P181" s="362"/>
      <c r="Q181" s="362"/>
      <c r="R181" s="362"/>
      <c r="S181" s="362"/>
      <c r="T181" s="362"/>
      <c r="U181" s="362"/>
      <c r="W181" s="362"/>
      <c r="X181" s="362"/>
      <c r="Y181" s="362"/>
      <c r="Z181" s="362"/>
      <c r="AA181" s="362"/>
      <c r="AB181" s="362"/>
      <c r="AC181" s="362"/>
      <c r="AD181" s="362"/>
      <c r="AE181" s="362"/>
      <c r="AG181" s="362"/>
      <c r="AH181" s="362"/>
      <c r="AI181" s="362"/>
      <c r="AJ181" s="362"/>
      <c r="AK181" s="362"/>
      <c r="AL181" s="362"/>
      <c r="AM181" s="362"/>
      <c r="AN181" s="362"/>
      <c r="AO181" s="362"/>
      <c r="AQ181" s="362"/>
      <c r="AR181" s="362"/>
      <c r="AS181" s="362"/>
      <c r="AT181" s="362"/>
      <c r="AU181" s="362"/>
      <c r="AV181" s="362"/>
      <c r="AW181" s="362"/>
      <c r="AX181" s="362"/>
      <c r="AY181" s="362"/>
      <c r="BA181" s="362"/>
      <c r="BB181" s="362"/>
      <c r="BC181" s="362"/>
      <c r="BD181" s="362"/>
      <c r="BE181" s="362"/>
      <c r="BF181" s="362"/>
      <c r="BG181" s="362"/>
      <c r="BH181" s="362"/>
      <c r="BI181" s="362"/>
      <c r="BK181" s="362"/>
      <c r="BL181" s="362"/>
      <c r="BM181" s="362"/>
      <c r="BN181" s="362"/>
      <c r="BO181" s="362"/>
      <c r="BP181" s="362"/>
      <c r="BQ181" s="362"/>
      <c r="BR181" s="362"/>
      <c r="BS181" s="362"/>
      <c r="BU181" s="362"/>
      <c r="BV181" s="362"/>
      <c r="BW181" s="362"/>
      <c r="BX181" s="362"/>
      <c r="BY181" s="362"/>
      <c r="BZ181" s="362"/>
      <c r="CA181" s="362"/>
      <c r="CB181" s="362"/>
      <c r="CC181" s="362"/>
    </row>
    <row r="182" spans="2:81" s="251" customFormat="1" ht="12.75">
      <c r="B182" s="359"/>
      <c r="C182" s="362"/>
      <c r="D182" s="362"/>
      <c r="E182" s="362"/>
      <c r="F182" s="362"/>
      <c r="G182" s="362"/>
      <c r="H182" s="362"/>
      <c r="I182" s="362"/>
      <c r="J182" s="362"/>
      <c r="K182" s="362"/>
      <c r="M182" s="362"/>
      <c r="N182" s="362"/>
      <c r="O182" s="362"/>
      <c r="P182" s="362"/>
      <c r="Q182" s="362"/>
      <c r="R182" s="362"/>
      <c r="S182" s="362"/>
      <c r="T182" s="362"/>
      <c r="U182" s="362"/>
      <c r="W182" s="362"/>
      <c r="X182" s="362"/>
      <c r="Y182" s="362"/>
      <c r="Z182" s="362"/>
      <c r="AA182" s="362"/>
      <c r="AB182" s="362"/>
      <c r="AC182" s="362"/>
      <c r="AD182" s="362"/>
      <c r="AE182" s="362"/>
      <c r="AG182" s="362"/>
      <c r="AH182" s="362"/>
      <c r="AI182" s="362"/>
      <c r="AJ182" s="362"/>
      <c r="AK182" s="362"/>
      <c r="AL182" s="362"/>
      <c r="AM182" s="362"/>
      <c r="AN182" s="362"/>
      <c r="AO182" s="362"/>
      <c r="AQ182" s="362"/>
      <c r="AR182" s="362"/>
      <c r="AS182" s="362"/>
      <c r="AT182" s="362"/>
      <c r="AU182" s="362"/>
      <c r="AV182" s="362"/>
      <c r="AW182" s="362"/>
      <c r="AX182" s="362"/>
      <c r="AY182" s="362"/>
      <c r="BA182" s="362"/>
      <c r="BB182" s="362"/>
      <c r="BC182" s="362"/>
      <c r="BD182" s="362"/>
      <c r="BE182" s="362"/>
      <c r="BF182" s="362"/>
      <c r="BG182" s="362"/>
      <c r="BH182" s="362"/>
      <c r="BI182" s="362"/>
      <c r="BK182" s="362"/>
      <c r="BL182" s="362"/>
      <c r="BM182" s="362"/>
      <c r="BN182" s="362"/>
      <c r="BO182" s="362"/>
      <c r="BP182" s="362"/>
      <c r="BQ182" s="362"/>
      <c r="BR182" s="362"/>
      <c r="BS182" s="362"/>
      <c r="BU182" s="362"/>
      <c r="BV182" s="362"/>
      <c r="BW182" s="362"/>
      <c r="BX182" s="362"/>
      <c r="BY182" s="362"/>
      <c r="BZ182" s="362"/>
      <c r="CA182" s="362"/>
      <c r="CB182" s="362"/>
      <c r="CC182" s="362"/>
    </row>
    <row r="183" spans="2:81" s="251" customFormat="1" ht="12.75">
      <c r="B183" s="359"/>
      <c r="C183" s="362"/>
      <c r="D183" s="362"/>
      <c r="E183" s="362"/>
      <c r="F183" s="362"/>
      <c r="G183" s="362"/>
      <c r="H183" s="362"/>
      <c r="I183" s="362"/>
      <c r="J183" s="362"/>
      <c r="K183" s="362"/>
      <c r="M183" s="362"/>
      <c r="N183" s="362"/>
      <c r="O183" s="362"/>
      <c r="P183" s="362"/>
      <c r="Q183" s="362"/>
      <c r="R183" s="362"/>
      <c r="S183" s="362"/>
      <c r="T183" s="362"/>
      <c r="U183" s="362"/>
      <c r="W183" s="362"/>
      <c r="X183" s="362"/>
      <c r="Y183" s="362"/>
      <c r="Z183" s="362"/>
      <c r="AA183" s="362"/>
      <c r="AB183" s="362"/>
      <c r="AC183" s="362"/>
      <c r="AD183" s="362"/>
      <c r="AE183" s="362"/>
      <c r="AG183" s="362"/>
      <c r="AH183" s="362"/>
      <c r="AI183" s="362"/>
      <c r="AJ183" s="362"/>
      <c r="AK183" s="362"/>
      <c r="AL183" s="362"/>
      <c r="AM183" s="362"/>
      <c r="AN183" s="362"/>
      <c r="AO183" s="362"/>
      <c r="AQ183" s="362"/>
      <c r="AR183" s="362"/>
      <c r="AS183" s="362"/>
      <c r="AT183" s="362"/>
      <c r="AU183" s="362"/>
      <c r="AV183" s="362"/>
      <c r="AW183" s="362"/>
      <c r="AX183" s="362"/>
      <c r="AY183" s="362"/>
      <c r="BA183" s="362"/>
      <c r="BB183" s="362"/>
      <c r="BC183" s="362"/>
      <c r="BD183" s="362"/>
      <c r="BE183" s="362"/>
      <c r="BF183" s="362"/>
      <c r="BG183" s="362"/>
      <c r="BH183" s="362"/>
      <c r="BI183" s="362"/>
      <c r="BK183" s="362"/>
      <c r="BL183" s="362"/>
      <c r="BM183" s="362"/>
      <c r="BN183" s="362"/>
      <c r="BO183" s="362"/>
      <c r="BP183" s="362"/>
      <c r="BQ183" s="362"/>
      <c r="BR183" s="362"/>
      <c r="BS183" s="362"/>
      <c r="BU183" s="362"/>
      <c r="BV183" s="362"/>
      <c r="BW183" s="362"/>
      <c r="BX183" s="362"/>
      <c r="BY183" s="362"/>
      <c r="BZ183" s="362"/>
      <c r="CA183" s="362"/>
      <c r="CB183" s="362"/>
      <c r="CC183" s="362"/>
    </row>
    <row r="184" spans="2:81" s="251" customFormat="1" ht="12.75">
      <c r="B184" s="359"/>
      <c r="C184" s="362"/>
      <c r="D184" s="362"/>
      <c r="E184" s="362"/>
      <c r="F184" s="362"/>
      <c r="G184" s="362"/>
      <c r="H184" s="362"/>
      <c r="I184" s="362"/>
      <c r="J184" s="362"/>
      <c r="K184" s="362"/>
      <c r="M184" s="362"/>
      <c r="N184" s="362"/>
      <c r="O184" s="362"/>
      <c r="P184" s="362"/>
      <c r="Q184" s="362"/>
      <c r="R184" s="362"/>
      <c r="S184" s="362"/>
      <c r="T184" s="362"/>
      <c r="U184" s="362"/>
      <c r="W184" s="362"/>
      <c r="X184" s="362"/>
      <c r="Y184" s="362"/>
      <c r="Z184" s="362"/>
      <c r="AA184" s="362"/>
      <c r="AB184" s="362"/>
      <c r="AC184" s="362"/>
      <c r="AD184" s="362"/>
      <c r="AE184" s="362"/>
      <c r="AG184" s="362"/>
      <c r="AH184" s="362"/>
      <c r="AI184" s="362"/>
      <c r="AJ184" s="362"/>
      <c r="AK184" s="362"/>
      <c r="AL184" s="362"/>
      <c r="AM184" s="362"/>
      <c r="AN184" s="362"/>
      <c r="AO184" s="362"/>
      <c r="AQ184" s="362"/>
      <c r="AR184" s="362"/>
      <c r="AS184" s="362"/>
      <c r="AT184" s="362"/>
      <c r="AU184" s="362"/>
      <c r="AV184" s="362"/>
      <c r="AW184" s="362"/>
      <c r="AX184" s="362"/>
      <c r="AY184" s="362"/>
      <c r="BA184" s="362"/>
      <c r="BB184" s="362"/>
      <c r="BC184" s="362"/>
      <c r="BD184" s="362"/>
      <c r="BE184" s="362"/>
      <c r="BF184" s="362"/>
      <c r="BG184" s="362"/>
      <c r="BH184" s="362"/>
      <c r="BI184" s="362"/>
      <c r="BK184" s="362"/>
      <c r="BL184" s="362"/>
      <c r="BM184" s="362"/>
      <c r="BN184" s="362"/>
      <c r="BO184" s="362"/>
      <c r="BP184" s="362"/>
      <c r="BQ184" s="362"/>
      <c r="BR184" s="362"/>
      <c r="BS184" s="362"/>
      <c r="BU184" s="362"/>
      <c r="BV184" s="362"/>
      <c r="BW184" s="362"/>
      <c r="BX184" s="362"/>
      <c r="BY184" s="362"/>
      <c r="BZ184" s="362"/>
      <c r="CA184" s="362"/>
      <c r="CB184" s="362"/>
      <c r="CC184" s="362"/>
    </row>
    <row r="185" spans="2:81" s="251" customFormat="1" ht="12.75">
      <c r="B185" s="359"/>
      <c r="C185" s="362"/>
      <c r="D185" s="362"/>
      <c r="E185" s="362"/>
      <c r="F185" s="362"/>
      <c r="G185" s="362"/>
      <c r="H185" s="362"/>
      <c r="I185" s="362"/>
      <c r="J185" s="362"/>
      <c r="K185" s="362"/>
      <c r="M185" s="362"/>
      <c r="N185" s="362"/>
      <c r="O185" s="362"/>
      <c r="P185" s="362"/>
      <c r="Q185" s="362"/>
      <c r="R185" s="362"/>
      <c r="S185" s="362"/>
      <c r="T185" s="362"/>
      <c r="U185" s="362"/>
      <c r="W185" s="362"/>
      <c r="X185" s="362"/>
      <c r="Y185" s="362"/>
      <c r="Z185" s="362"/>
      <c r="AA185" s="362"/>
      <c r="AB185" s="362"/>
      <c r="AC185" s="362"/>
      <c r="AD185" s="362"/>
      <c r="AE185" s="362"/>
      <c r="AG185" s="362"/>
      <c r="AH185" s="362"/>
      <c r="AI185" s="362"/>
      <c r="AJ185" s="362"/>
      <c r="AK185" s="362"/>
      <c r="AL185" s="362"/>
      <c r="AM185" s="362"/>
      <c r="AN185" s="362"/>
      <c r="AO185" s="362"/>
      <c r="AQ185" s="362"/>
      <c r="AR185" s="362"/>
      <c r="AS185" s="362"/>
      <c r="AT185" s="362"/>
      <c r="AU185" s="362"/>
      <c r="AV185" s="362"/>
      <c r="AW185" s="362"/>
      <c r="AX185" s="362"/>
      <c r="AY185" s="362"/>
      <c r="BA185" s="362"/>
      <c r="BB185" s="362"/>
      <c r="BC185" s="362"/>
      <c r="BD185" s="362"/>
      <c r="BE185" s="362"/>
      <c r="BF185" s="362"/>
      <c r="BG185" s="362"/>
      <c r="BH185" s="362"/>
      <c r="BI185" s="362"/>
      <c r="BK185" s="362"/>
      <c r="BL185" s="362"/>
      <c r="BM185" s="362"/>
      <c r="BN185" s="362"/>
      <c r="BO185" s="362"/>
      <c r="BP185" s="362"/>
      <c r="BQ185" s="362"/>
      <c r="BR185" s="362"/>
      <c r="BS185" s="362"/>
      <c r="BU185" s="362"/>
      <c r="BV185" s="362"/>
      <c r="BW185" s="362"/>
      <c r="BX185" s="362"/>
      <c r="BY185" s="362"/>
      <c r="BZ185" s="362"/>
      <c r="CA185" s="362"/>
      <c r="CB185" s="362"/>
      <c r="CC185" s="362"/>
    </row>
    <row r="186" spans="2:81" s="251" customFormat="1" ht="12.75">
      <c r="B186" s="359"/>
      <c r="C186" s="362"/>
      <c r="D186" s="362"/>
      <c r="E186" s="362"/>
      <c r="F186" s="362"/>
      <c r="G186" s="362"/>
      <c r="H186" s="362"/>
      <c r="I186" s="362"/>
      <c r="J186" s="362"/>
      <c r="K186" s="362"/>
      <c r="M186" s="362"/>
      <c r="N186" s="362"/>
      <c r="O186" s="362"/>
      <c r="P186" s="362"/>
      <c r="Q186" s="362"/>
      <c r="R186" s="362"/>
      <c r="S186" s="362"/>
      <c r="T186" s="362"/>
      <c r="U186" s="362"/>
      <c r="W186" s="362"/>
      <c r="X186" s="362"/>
      <c r="Y186" s="362"/>
      <c r="Z186" s="362"/>
      <c r="AA186" s="362"/>
      <c r="AB186" s="362"/>
      <c r="AC186" s="362"/>
      <c r="AD186" s="362"/>
      <c r="AE186" s="362"/>
      <c r="AG186" s="362"/>
      <c r="AH186" s="362"/>
      <c r="AI186" s="362"/>
      <c r="AJ186" s="362"/>
      <c r="AK186" s="362"/>
      <c r="AL186" s="362"/>
      <c r="AM186" s="362"/>
      <c r="AN186" s="362"/>
      <c r="AO186" s="362"/>
      <c r="AQ186" s="362"/>
      <c r="AR186" s="362"/>
      <c r="AS186" s="362"/>
      <c r="AT186" s="362"/>
      <c r="AU186" s="362"/>
      <c r="AV186" s="362"/>
      <c r="AW186" s="362"/>
      <c r="AX186" s="362"/>
      <c r="AY186" s="362"/>
      <c r="BA186" s="362"/>
      <c r="BB186" s="362"/>
      <c r="BC186" s="362"/>
      <c r="BD186" s="362"/>
      <c r="BE186" s="362"/>
      <c r="BF186" s="362"/>
      <c r="BG186" s="362"/>
      <c r="BH186" s="362"/>
      <c r="BI186" s="362"/>
      <c r="BK186" s="362"/>
      <c r="BL186" s="362"/>
      <c r="BM186" s="362"/>
      <c r="BN186" s="362"/>
      <c r="BO186" s="362"/>
      <c r="BP186" s="362"/>
      <c r="BQ186" s="362"/>
      <c r="BR186" s="362"/>
      <c r="BS186" s="362"/>
      <c r="BU186" s="362"/>
      <c r="BV186" s="362"/>
      <c r="BW186" s="362"/>
      <c r="BX186" s="362"/>
      <c r="BY186" s="362"/>
      <c r="BZ186" s="362"/>
      <c r="CA186" s="362"/>
      <c r="CB186" s="362"/>
      <c r="CC186" s="362"/>
    </row>
    <row r="187" spans="2:81" s="251" customFormat="1" ht="12.75">
      <c r="B187" s="359"/>
      <c r="C187" s="362"/>
      <c r="D187" s="362"/>
      <c r="E187" s="362"/>
      <c r="F187" s="362"/>
      <c r="G187" s="362"/>
      <c r="H187" s="362"/>
      <c r="I187" s="362"/>
      <c r="J187" s="362"/>
      <c r="K187" s="362"/>
      <c r="M187" s="362"/>
      <c r="N187" s="362"/>
      <c r="O187" s="362"/>
      <c r="P187" s="362"/>
      <c r="Q187" s="362"/>
      <c r="R187" s="362"/>
      <c r="S187" s="362"/>
      <c r="T187" s="362"/>
      <c r="U187" s="362"/>
      <c r="W187" s="362"/>
      <c r="X187" s="362"/>
      <c r="Y187" s="362"/>
      <c r="Z187" s="362"/>
      <c r="AA187" s="362"/>
      <c r="AB187" s="362"/>
      <c r="AC187" s="362"/>
      <c r="AD187" s="362"/>
      <c r="AE187" s="362"/>
      <c r="AG187" s="362"/>
      <c r="AH187" s="362"/>
      <c r="AI187" s="362"/>
      <c r="AJ187" s="362"/>
      <c r="AK187" s="362"/>
      <c r="AL187" s="362"/>
      <c r="AM187" s="362"/>
      <c r="AN187" s="362"/>
      <c r="AO187" s="362"/>
      <c r="AQ187" s="362"/>
      <c r="AR187" s="362"/>
      <c r="AS187" s="362"/>
      <c r="AT187" s="362"/>
      <c r="AU187" s="362"/>
      <c r="AV187" s="362"/>
      <c r="AW187" s="362"/>
      <c r="AX187" s="362"/>
      <c r="AY187" s="362"/>
      <c r="BA187" s="362"/>
      <c r="BB187" s="362"/>
      <c r="BC187" s="362"/>
      <c r="BD187" s="362"/>
      <c r="BE187" s="362"/>
      <c r="BF187" s="362"/>
      <c r="BG187" s="362"/>
      <c r="BH187" s="362"/>
      <c r="BI187" s="362"/>
      <c r="BK187" s="362"/>
      <c r="BL187" s="362"/>
      <c r="BM187" s="362"/>
      <c r="BN187" s="362"/>
      <c r="BO187" s="362"/>
      <c r="BP187" s="362"/>
      <c r="BQ187" s="362"/>
      <c r="BR187" s="362"/>
      <c r="BS187" s="362"/>
      <c r="BU187" s="362"/>
      <c r="BV187" s="362"/>
      <c r="BW187" s="362"/>
      <c r="BX187" s="362"/>
      <c r="BY187" s="362"/>
      <c r="BZ187" s="362"/>
      <c r="CA187" s="362"/>
      <c r="CB187" s="362"/>
      <c r="CC187" s="362"/>
    </row>
    <row r="188" spans="2:81" s="251" customFormat="1" ht="12.75">
      <c r="B188" s="359"/>
      <c r="C188" s="362"/>
      <c r="D188" s="362"/>
      <c r="E188" s="362"/>
      <c r="F188" s="362"/>
      <c r="G188" s="362"/>
      <c r="H188" s="362"/>
      <c r="I188" s="362"/>
      <c r="J188" s="362"/>
      <c r="K188" s="362"/>
      <c r="M188" s="362"/>
      <c r="N188" s="362"/>
      <c r="O188" s="362"/>
      <c r="P188" s="362"/>
      <c r="Q188" s="362"/>
      <c r="R188" s="362"/>
      <c r="S188" s="362"/>
      <c r="T188" s="362"/>
      <c r="U188" s="362"/>
      <c r="W188" s="362"/>
      <c r="X188" s="362"/>
      <c r="Y188" s="362"/>
      <c r="Z188" s="362"/>
      <c r="AA188" s="362"/>
      <c r="AB188" s="362"/>
      <c r="AC188" s="362"/>
      <c r="AD188" s="362"/>
      <c r="AE188" s="362"/>
      <c r="AG188" s="362"/>
      <c r="AH188" s="362"/>
      <c r="AI188" s="362"/>
      <c r="AJ188" s="362"/>
      <c r="AK188" s="362"/>
      <c r="AL188" s="362"/>
      <c r="AM188" s="362"/>
      <c r="AN188" s="362"/>
      <c r="AO188" s="362"/>
      <c r="AQ188" s="362"/>
      <c r="AR188" s="362"/>
      <c r="AS188" s="362"/>
      <c r="AT188" s="362"/>
      <c r="AU188" s="362"/>
      <c r="AV188" s="362"/>
      <c r="AW188" s="362"/>
      <c r="AX188" s="362"/>
      <c r="AY188" s="362"/>
      <c r="BA188" s="362"/>
      <c r="BB188" s="362"/>
      <c r="BC188" s="362"/>
      <c r="BD188" s="362"/>
      <c r="BE188" s="362"/>
      <c r="BF188" s="362"/>
      <c r="BG188" s="362"/>
      <c r="BH188" s="362"/>
      <c r="BI188" s="362"/>
      <c r="BK188" s="362"/>
      <c r="BL188" s="362"/>
      <c r="BM188" s="362"/>
      <c r="BN188" s="362"/>
      <c r="BO188" s="362"/>
      <c r="BP188" s="362"/>
      <c r="BQ188" s="362"/>
      <c r="BR188" s="362"/>
      <c r="BS188" s="362"/>
      <c r="BU188" s="362"/>
      <c r="BV188" s="362"/>
      <c r="BW188" s="362"/>
      <c r="BX188" s="362"/>
      <c r="BY188" s="362"/>
      <c r="BZ188" s="362"/>
      <c r="CA188" s="362"/>
      <c r="CB188" s="362"/>
      <c r="CC188" s="362"/>
    </row>
    <row r="189" spans="2:81" s="251" customFormat="1" ht="12.75">
      <c r="B189" s="359"/>
      <c r="C189" s="362"/>
      <c r="D189" s="362"/>
      <c r="E189" s="362"/>
      <c r="F189" s="362"/>
      <c r="G189" s="362"/>
      <c r="H189" s="362"/>
      <c r="I189" s="362"/>
      <c r="J189" s="362"/>
      <c r="K189" s="362"/>
      <c r="M189" s="362"/>
      <c r="N189" s="362"/>
      <c r="O189" s="362"/>
      <c r="P189" s="362"/>
      <c r="Q189" s="362"/>
      <c r="R189" s="362"/>
      <c r="S189" s="362"/>
      <c r="T189" s="362"/>
      <c r="U189" s="362"/>
      <c r="W189" s="362"/>
      <c r="X189" s="362"/>
      <c r="Y189" s="362"/>
      <c r="Z189" s="362"/>
      <c r="AA189" s="362"/>
      <c r="AB189" s="362"/>
      <c r="AC189" s="362"/>
      <c r="AD189" s="362"/>
      <c r="AE189" s="362"/>
      <c r="AG189" s="362"/>
      <c r="AH189" s="362"/>
      <c r="AI189" s="362"/>
      <c r="AJ189" s="362"/>
      <c r="AK189" s="362"/>
      <c r="AL189" s="362"/>
      <c r="AM189" s="362"/>
      <c r="AN189" s="362"/>
      <c r="AO189" s="362"/>
      <c r="AQ189" s="362"/>
      <c r="AR189" s="362"/>
      <c r="AS189" s="362"/>
      <c r="AT189" s="362"/>
      <c r="AU189" s="362"/>
      <c r="AV189" s="362"/>
      <c r="AW189" s="362"/>
      <c r="AX189" s="362"/>
      <c r="AY189" s="362"/>
      <c r="BA189" s="362"/>
      <c r="BB189" s="362"/>
      <c r="BC189" s="362"/>
      <c r="BD189" s="362"/>
      <c r="BE189" s="362"/>
      <c r="BF189" s="362"/>
      <c r="BG189" s="362"/>
      <c r="BH189" s="362"/>
      <c r="BI189" s="362"/>
      <c r="BK189" s="362"/>
      <c r="BL189" s="362"/>
      <c r="BM189" s="362"/>
      <c r="BN189" s="362"/>
      <c r="BO189" s="362"/>
      <c r="BP189" s="362"/>
      <c r="BQ189" s="362"/>
      <c r="BR189" s="362"/>
      <c r="BS189" s="362"/>
      <c r="BU189" s="362"/>
      <c r="BV189" s="362"/>
      <c r="BW189" s="362"/>
      <c r="BX189" s="362"/>
      <c r="BY189" s="362"/>
      <c r="BZ189" s="362"/>
      <c r="CA189" s="362"/>
      <c r="CB189" s="362"/>
      <c r="CC189" s="362"/>
    </row>
    <row r="190" spans="2:81" s="251" customFormat="1" ht="12.75">
      <c r="B190" s="359"/>
      <c r="C190" s="362"/>
      <c r="D190" s="362"/>
      <c r="E190" s="362"/>
      <c r="F190" s="362"/>
      <c r="G190" s="362"/>
      <c r="H190" s="362"/>
      <c r="I190" s="362"/>
      <c r="J190" s="362"/>
      <c r="K190" s="362"/>
      <c r="M190" s="362"/>
      <c r="N190" s="362"/>
      <c r="O190" s="362"/>
      <c r="P190" s="362"/>
      <c r="Q190" s="362"/>
      <c r="R190" s="362"/>
      <c r="S190" s="362"/>
      <c r="T190" s="362"/>
      <c r="U190" s="362"/>
      <c r="W190" s="362"/>
      <c r="X190" s="362"/>
      <c r="Y190" s="362"/>
      <c r="Z190" s="362"/>
      <c r="AA190" s="362"/>
      <c r="AB190" s="362"/>
      <c r="AC190" s="362"/>
      <c r="AD190" s="362"/>
      <c r="AE190" s="362"/>
      <c r="AG190" s="362"/>
      <c r="AH190" s="362"/>
      <c r="AI190" s="362"/>
      <c r="AJ190" s="362"/>
      <c r="AK190" s="362"/>
      <c r="AL190" s="362"/>
      <c r="AM190" s="362"/>
      <c r="AN190" s="362"/>
      <c r="AO190" s="362"/>
      <c r="AQ190" s="362"/>
      <c r="AR190" s="362"/>
      <c r="AS190" s="362"/>
      <c r="AT190" s="362"/>
      <c r="AU190" s="362"/>
      <c r="AV190" s="362"/>
      <c r="AW190" s="362"/>
      <c r="AX190" s="362"/>
      <c r="AY190" s="362"/>
      <c r="BA190" s="362"/>
      <c r="BB190" s="362"/>
      <c r="BC190" s="362"/>
      <c r="BD190" s="362"/>
      <c r="BE190" s="362"/>
      <c r="BF190" s="362"/>
      <c r="BG190" s="362"/>
      <c r="BH190" s="362"/>
      <c r="BI190" s="362"/>
      <c r="BK190" s="362"/>
      <c r="BL190" s="362"/>
      <c r="BM190" s="362"/>
      <c r="BN190" s="362"/>
      <c r="BO190" s="362"/>
      <c r="BP190" s="362"/>
      <c r="BQ190" s="362"/>
      <c r="BR190" s="362"/>
      <c r="BS190" s="362"/>
      <c r="BU190" s="362"/>
      <c r="BV190" s="362"/>
      <c r="BW190" s="362"/>
      <c r="BX190" s="362"/>
      <c r="BY190" s="362"/>
      <c r="BZ190" s="362"/>
      <c r="CA190" s="362"/>
      <c r="CB190" s="362"/>
      <c r="CC190" s="362"/>
    </row>
    <row r="191" spans="2:81" s="251" customFormat="1" ht="12.75">
      <c r="B191" s="359"/>
      <c r="C191" s="362"/>
      <c r="D191" s="362"/>
      <c r="E191" s="362"/>
      <c r="F191" s="362"/>
      <c r="G191" s="362"/>
      <c r="H191" s="362"/>
      <c r="I191" s="362"/>
      <c r="J191" s="362"/>
      <c r="K191" s="362"/>
      <c r="M191" s="362"/>
      <c r="N191" s="362"/>
      <c r="O191" s="362"/>
      <c r="P191" s="362"/>
      <c r="Q191" s="362"/>
      <c r="R191" s="362"/>
      <c r="S191" s="362"/>
      <c r="T191" s="362"/>
      <c r="U191" s="362"/>
      <c r="W191" s="362"/>
      <c r="X191" s="362"/>
      <c r="Y191" s="362"/>
      <c r="Z191" s="362"/>
      <c r="AA191" s="362"/>
      <c r="AB191" s="362"/>
      <c r="AC191" s="362"/>
      <c r="AD191" s="362"/>
      <c r="AE191" s="362"/>
      <c r="AG191" s="362"/>
      <c r="AH191" s="362"/>
      <c r="AI191" s="362"/>
      <c r="AJ191" s="362"/>
      <c r="AK191" s="362"/>
      <c r="AL191" s="362"/>
      <c r="AM191" s="362"/>
      <c r="AN191" s="362"/>
      <c r="AO191" s="362"/>
      <c r="AQ191" s="362"/>
      <c r="AR191" s="362"/>
      <c r="AS191" s="362"/>
      <c r="AT191" s="362"/>
      <c r="AU191" s="362"/>
      <c r="AV191" s="362"/>
      <c r="AW191" s="362"/>
      <c r="AX191" s="362"/>
      <c r="AY191" s="362"/>
      <c r="BA191" s="362"/>
      <c r="BB191" s="362"/>
      <c r="BC191" s="362"/>
      <c r="BD191" s="362"/>
      <c r="BE191" s="362"/>
      <c r="BF191" s="362"/>
      <c r="BG191" s="362"/>
      <c r="BH191" s="362"/>
      <c r="BI191" s="362"/>
      <c r="BK191" s="362"/>
      <c r="BL191" s="362"/>
      <c r="BM191" s="362"/>
      <c r="BN191" s="362"/>
      <c r="BO191" s="362"/>
      <c r="BP191" s="362"/>
      <c r="BQ191" s="362"/>
      <c r="BR191" s="362"/>
      <c r="BS191" s="362"/>
      <c r="BU191" s="362"/>
      <c r="BV191" s="362"/>
      <c r="BW191" s="362"/>
      <c r="BX191" s="362"/>
      <c r="BY191" s="362"/>
      <c r="BZ191" s="362"/>
      <c r="CA191" s="362"/>
      <c r="CB191" s="362"/>
      <c r="CC191" s="362"/>
    </row>
    <row r="192" spans="2:81" s="251" customFormat="1" ht="12.75">
      <c r="B192" s="359"/>
      <c r="C192" s="362"/>
      <c r="D192" s="362"/>
      <c r="E192" s="362"/>
      <c r="F192" s="362"/>
      <c r="G192" s="362"/>
      <c r="H192" s="362"/>
      <c r="I192" s="362"/>
      <c r="J192" s="362"/>
      <c r="K192" s="362"/>
      <c r="M192" s="362"/>
      <c r="N192" s="362"/>
      <c r="O192" s="362"/>
      <c r="P192" s="362"/>
      <c r="Q192" s="362"/>
      <c r="R192" s="362"/>
      <c r="S192" s="362"/>
      <c r="T192" s="362"/>
      <c r="U192" s="362"/>
      <c r="W192" s="362"/>
      <c r="X192" s="362"/>
      <c r="Y192" s="362"/>
      <c r="Z192" s="362"/>
      <c r="AA192" s="362"/>
      <c r="AB192" s="362"/>
      <c r="AC192" s="362"/>
      <c r="AD192" s="362"/>
      <c r="AE192" s="362"/>
      <c r="AG192" s="362"/>
      <c r="AH192" s="362"/>
      <c r="AI192" s="362"/>
      <c r="AJ192" s="362"/>
      <c r="AK192" s="362"/>
      <c r="AL192" s="362"/>
      <c r="AM192" s="362"/>
      <c r="AN192" s="362"/>
      <c r="AO192" s="362"/>
      <c r="AQ192" s="362"/>
      <c r="AR192" s="362"/>
      <c r="AS192" s="362"/>
      <c r="AT192" s="362"/>
      <c r="AU192" s="362"/>
      <c r="AV192" s="362"/>
      <c r="AW192" s="362"/>
      <c r="AX192" s="362"/>
      <c r="AY192" s="362"/>
      <c r="BA192" s="362"/>
      <c r="BB192" s="362"/>
      <c r="BC192" s="362"/>
      <c r="BD192" s="362"/>
      <c r="BE192" s="362"/>
      <c r="BF192" s="362"/>
      <c r="BG192" s="362"/>
      <c r="BH192" s="362"/>
      <c r="BI192" s="362"/>
      <c r="BK192" s="362"/>
      <c r="BL192" s="362"/>
      <c r="BM192" s="362"/>
      <c r="BN192" s="362"/>
      <c r="BO192" s="362"/>
      <c r="BP192" s="362"/>
      <c r="BQ192" s="362"/>
      <c r="BR192" s="362"/>
      <c r="BS192" s="362"/>
      <c r="BU192" s="362"/>
      <c r="BV192" s="362"/>
      <c r="BW192" s="362"/>
      <c r="BX192" s="362"/>
      <c r="BY192" s="362"/>
      <c r="BZ192" s="362"/>
      <c r="CA192" s="362"/>
      <c r="CB192" s="362"/>
      <c r="CC192" s="362"/>
    </row>
    <row r="193" spans="2:81" s="251" customFormat="1" ht="12.75">
      <c r="B193" s="359"/>
      <c r="C193" s="362"/>
      <c r="D193" s="362"/>
      <c r="E193" s="362"/>
      <c r="F193" s="362"/>
      <c r="G193" s="362"/>
      <c r="H193" s="362"/>
      <c r="I193" s="362"/>
      <c r="J193" s="362"/>
      <c r="K193" s="362"/>
      <c r="M193" s="362"/>
      <c r="N193" s="362"/>
      <c r="O193" s="362"/>
      <c r="P193" s="362"/>
      <c r="Q193" s="362"/>
      <c r="R193" s="362"/>
      <c r="S193" s="362"/>
      <c r="T193" s="362"/>
      <c r="U193" s="362"/>
      <c r="W193" s="362"/>
      <c r="X193" s="362"/>
      <c r="Y193" s="362"/>
      <c r="Z193" s="362"/>
      <c r="AA193" s="362"/>
      <c r="AB193" s="362"/>
      <c r="AC193" s="362"/>
      <c r="AD193" s="362"/>
      <c r="AE193" s="362"/>
      <c r="AG193" s="362"/>
      <c r="AH193" s="362"/>
      <c r="AI193" s="362"/>
      <c r="AJ193" s="362"/>
      <c r="AK193" s="362"/>
      <c r="AL193" s="362"/>
      <c r="AM193" s="362"/>
      <c r="AN193" s="362"/>
      <c r="AO193" s="362"/>
      <c r="AQ193" s="362"/>
      <c r="AR193" s="362"/>
      <c r="AS193" s="362"/>
      <c r="AT193" s="362"/>
      <c r="AU193" s="362"/>
      <c r="AV193" s="362"/>
      <c r="AW193" s="362"/>
      <c r="AX193" s="362"/>
      <c r="AY193" s="362"/>
      <c r="BA193" s="362"/>
      <c r="BB193" s="362"/>
      <c r="BC193" s="362"/>
      <c r="BD193" s="362"/>
      <c r="BE193" s="362"/>
      <c r="BF193" s="362"/>
      <c r="BG193" s="362"/>
      <c r="BH193" s="362"/>
      <c r="BI193" s="362"/>
      <c r="BK193" s="362"/>
      <c r="BL193" s="362"/>
      <c r="BM193" s="362"/>
      <c r="BN193" s="362"/>
      <c r="BO193" s="362"/>
      <c r="BP193" s="362"/>
      <c r="BQ193" s="362"/>
      <c r="BR193" s="362"/>
      <c r="BS193" s="362"/>
      <c r="BU193" s="362"/>
      <c r="BV193" s="362"/>
      <c r="BW193" s="362"/>
      <c r="BX193" s="362"/>
      <c r="BY193" s="362"/>
      <c r="BZ193" s="362"/>
      <c r="CA193" s="362"/>
      <c r="CB193" s="362"/>
      <c r="CC193" s="362"/>
    </row>
    <row r="194" spans="2:81" s="316" customFormat="1" ht="12.75">
      <c r="B194" s="364"/>
      <c r="C194" s="365"/>
      <c r="D194" s="365"/>
      <c r="E194" s="365"/>
      <c r="F194" s="365"/>
      <c r="G194" s="365"/>
      <c r="H194" s="365"/>
      <c r="I194" s="365"/>
      <c r="J194" s="365"/>
      <c r="K194" s="365"/>
      <c r="M194" s="365"/>
      <c r="N194" s="365"/>
      <c r="O194" s="365"/>
      <c r="P194" s="365"/>
      <c r="Q194" s="365"/>
      <c r="R194" s="365"/>
      <c r="S194" s="365"/>
      <c r="T194" s="365"/>
      <c r="U194" s="365"/>
      <c r="W194" s="365"/>
      <c r="X194" s="365"/>
      <c r="Y194" s="365"/>
      <c r="Z194" s="365"/>
      <c r="AA194" s="365"/>
      <c r="AB194" s="365"/>
      <c r="AC194" s="365"/>
      <c r="AD194" s="365"/>
      <c r="AE194" s="365"/>
      <c r="AG194" s="365"/>
      <c r="AH194" s="365"/>
      <c r="AI194" s="365"/>
      <c r="AJ194" s="365"/>
      <c r="AK194" s="365"/>
      <c r="AL194" s="365"/>
      <c r="AM194" s="365"/>
      <c r="AN194" s="365"/>
      <c r="AO194" s="365"/>
      <c r="AQ194" s="365"/>
      <c r="AR194" s="365"/>
      <c r="AS194" s="365"/>
      <c r="AT194" s="365"/>
      <c r="AU194" s="365"/>
      <c r="AV194" s="365"/>
      <c r="AW194" s="365"/>
      <c r="AX194" s="365"/>
      <c r="AY194" s="365"/>
      <c r="BA194" s="365"/>
      <c r="BB194" s="365"/>
      <c r="BC194" s="365"/>
      <c r="BD194" s="365"/>
      <c r="BE194" s="365"/>
      <c r="BF194" s="365"/>
      <c r="BG194" s="365"/>
      <c r="BH194" s="365"/>
      <c r="BI194" s="365"/>
      <c r="BK194" s="365"/>
      <c r="BL194" s="365"/>
      <c r="BM194" s="365"/>
      <c r="BN194" s="365"/>
      <c r="BO194" s="365"/>
      <c r="BP194" s="365"/>
      <c r="BQ194" s="365"/>
      <c r="BR194" s="365"/>
      <c r="BS194" s="365"/>
      <c r="BU194" s="365"/>
      <c r="BV194" s="365"/>
      <c r="BW194" s="365"/>
      <c r="BX194" s="365"/>
      <c r="BY194" s="365"/>
      <c r="BZ194" s="365"/>
      <c r="CA194" s="365"/>
      <c r="CB194" s="365"/>
      <c r="CC194" s="365"/>
    </row>
    <row r="195" spans="2:81" s="316" customFormat="1" ht="12.75">
      <c r="B195" s="364"/>
      <c r="C195" s="365"/>
      <c r="D195" s="365"/>
      <c r="E195" s="365"/>
      <c r="F195" s="365"/>
      <c r="G195" s="365"/>
      <c r="H195" s="365"/>
      <c r="I195" s="365"/>
      <c r="J195" s="365"/>
      <c r="K195" s="365"/>
      <c r="M195" s="365"/>
      <c r="N195" s="365"/>
      <c r="O195" s="365"/>
      <c r="P195" s="365"/>
      <c r="Q195" s="365"/>
      <c r="R195" s="365"/>
      <c r="S195" s="365"/>
      <c r="T195" s="365"/>
      <c r="U195" s="365"/>
      <c r="W195" s="365"/>
      <c r="X195" s="365"/>
      <c r="Y195" s="365"/>
      <c r="Z195" s="365"/>
      <c r="AA195" s="365"/>
      <c r="AB195" s="365"/>
      <c r="AC195" s="365"/>
      <c r="AD195" s="365"/>
      <c r="AE195" s="365"/>
      <c r="AG195" s="365"/>
      <c r="AH195" s="365"/>
      <c r="AI195" s="365"/>
      <c r="AJ195" s="365"/>
      <c r="AK195" s="365"/>
      <c r="AL195" s="365"/>
      <c r="AM195" s="365"/>
      <c r="AN195" s="365"/>
      <c r="AO195" s="365"/>
      <c r="AQ195" s="365"/>
      <c r="AR195" s="365"/>
      <c r="AS195" s="365"/>
      <c r="AT195" s="365"/>
      <c r="AU195" s="365"/>
      <c r="AV195" s="365"/>
      <c r="AW195" s="365"/>
      <c r="AX195" s="365"/>
      <c r="AY195" s="365"/>
      <c r="BA195" s="365"/>
      <c r="BB195" s="365"/>
      <c r="BC195" s="365"/>
      <c r="BD195" s="365"/>
      <c r="BE195" s="365"/>
      <c r="BF195" s="365"/>
      <c r="BG195" s="365"/>
      <c r="BH195" s="365"/>
      <c r="BI195" s="365"/>
      <c r="BK195" s="365"/>
      <c r="BL195" s="365"/>
      <c r="BM195" s="365"/>
      <c r="BN195" s="365"/>
      <c r="BO195" s="365"/>
      <c r="BP195" s="365"/>
      <c r="BQ195" s="365"/>
      <c r="BR195" s="365"/>
      <c r="BS195" s="365"/>
      <c r="BU195" s="365"/>
      <c r="BV195" s="365"/>
      <c r="BW195" s="365"/>
      <c r="BX195" s="365"/>
      <c r="BY195" s="365"/>
      <c r="BZ195" s="365"/>
      <c r="CA195" s="365"/>
      <c r="CB195" s="365"/>
      <c r="CC195" s="365"/>
    </row>
    <row r="196" spans="2:81" s="316" customFormat="1" ht="12.75">
      <c r="B196" s="364"/>
      <c r="C196" s="365"/>
      <c r="D196" s="365"/>
      <c r="E196" s="365"/>
      <c r="F196" s="365"/>
      <c r="G196" s="365"/>
      <c r="H196" s="365"/>
      <c r="I196" s="365"/>
      <c r="J196" s="365"/>
      <c r="K196" s="365"/>
      <c r="M196" s="365"/>
      <c r="N196" s="365"/>
      <c r="O196" s="365"/>
      <c r="P196" s="365"/>
      <c r="Q196" s="365"/>
      <c r="R196" s="365"/>
      <c r="S196" s="365"/>
      <c r="T196" s="365"/>
      <c r="U196" s="365"/>
      <c r="W196" s="365"/>
      <c r="X196" s="365"/>
      <c r="Y196" s="365"/>
      <c r="Z196" s="365"/>
      <c r="AA196" s="365"/>
      <c r="AB196" s="365"/>
      <c r="AC196" s="365"/>
      <c r="AD196" s="365"/>
      <c r="AE196" s="365"/>
      <c r="AG196" s="365"/>
      <c r="AH196" s="365"/>
      <c r="AI196" s="365"/>
      <c r="AJ196" s="365"/>
      <c r="AK196" s="365"/>
      <c r="AL196" s="365"/>
      <c r="AM196" s="365"/>
      <c r="AN196" s="365"/>
      <c r="AO196" s="365"/>
      <c r="AQ196" s="365"/>
      <c r="AR196" s="365"/>
      <c r="AS196" s="365"/>
      <c r="AT196" s="365"/>
      <c r="AU196" s="365"/>
      <c r="AV196" s="365"/>
      <c r="AW196" s="365"/>
      <c r="AX196" s="365"/>
      <c r="AY196" s="365"/>
      <c r="BA196" s="365"/>
      <c r="BB196" s="365"/>
      <c r="BC196" s="365"/>
      <c r="BD196" s="365"/>
      <c r="BE196" s="365"/>
      <c r="BF196" s="365"/>
      <c r="BG196" s="365"/>
      <c r="BH196" s="365"/>
      <c r="BI196" s="365"/>
      <c r="BK196" s="365"/>
      <c r="BL196" s="365"/>
      <c r="BM196" s="365"/>
      <c r="BN196" s="365"/>
      <c r="BO196" s="365"/>
      <c r="BP196" s="365"/>
      <c r="BQ196" s="365"/>
      <c r="BR196" s="365"/>
      <c r="BS196" s="365"/>
      <c r="BU196" s="365"/>
      <c r="BV196" s="365"/>
      <c r="BW196" s="365"/>
      <c r="BX196" s="365"/>
      <c r="BY196" s="365"/>
      <c r="BZ196" s="365"/>
      <c r="CA196" s="365"/>
      <c r="CB196" s="365"/>
      <c r="CC196" s="365"/>
    </row>
    <row r="197" spans="2:81" s="316" customFormat="1" ht="12.75">
      <c r="B197" s="364"/>
      <c r="C197" s="365"/>
      <c r="D197" s="365"/>
      <c r="E197" s="365"/>
      <c r="F197" s="365"/>
      <c r="G197" s="365"/>
      <c r="H197" s="365"/>
      <c r="I197" s="365"/>
      <c r="J197" s="365"/>
      <c r="K197" s="365"/>
      <c r="M197" s="365"/>
      <c r="N197" s="365"/>
      <c r="O197" s="365"/>
      <c r="P197" s="365"/>
      <c r="Q197" s="365"/>
      <c r="R197" s="365"/>
      <c r="S197" s="365"/>
      <c r="T197" s="365"/>
      <c r="U197" s="365"/>
      <c r="W197" s="365"/>
      <c r="X197" s="365"/>
      <c r="Y197" s="365"/>
      <c r="Z197" s="365"/>
      <c r="AA197" s="365"/>
      <c r="AB197" s="365"/>
      <c r="AC197" s="365"/>
      <c r="AD197" s="365"/>
      <c r="AE197" s="365"/>
      <c r="AG197" s="365"/>
      <c r="AH197" s="365"/>
      <c r="AI197" s="365"/>
      <c r="AJ197" s="365"/>
      <c r="AK197" s="365"/>
      <c r="AL197" s="365"/>
      <c r="AM197" s="365"/>
      <c r="AN197" s="365"/>
      <c r="AO197" s="365"/>
      <c r="AQ197" s="365"/>
      <c r="AR197" s="365"/>
      <c r="AS197" s="365"/>
      <c r="AT197" s="365"/>
      <c r="AU197" s="365"/>
      <c r="AV197" s="365"/>
      <c r="AW197" s="365"/>
      <c r="AX197" s="365"/>
      <c r="AY197" s="365"/>
      <c r="BA197" s="365"/>
      <c r="BB197" s="365"/>
      <c r="BC197" s="365"/>
      <c r="BD197" s="365"/>
      <c r="BE197" s="365"/>
      <c r="BF197" s="365"/>
      <c r="BG197" s="365"/>
      <c r="BH197" s="365"/>
      <c r="BI197" s="365"/>
      <c r="BK197" s="365"/>
      <c r="BL197" s="365"/>
      <c r="BM197" s="365"/>
      <c r="BN197" s="365"/>
      <c r="BO197" s="365"/>
      <c r="BP197" s="365"/>
      <c r="BQ197" s="365"/>
      <c r="BR197" s="365"/>
      <c r="BS197" s="365"/>
      <c r="BU197" s="365"/>
      <c r="BV197" s="365"/>
      <c r="BW197" s="365"/>
      <c r="BX197" s="365"/>
      <c r="BY197" s="365"/>
      <c r="BZ197" s="365"/>
      <c r="CA197" s="365"/>
      <c r="CB197" s="365"/>
      <c r="CC197" s="365"/>
    </row>
    <row r="198" spans="2:81" s="316" customFormat="1" ht="12.75">
      <c r="B198" s="364"/>
      <c r="C198" s="365"/>
      <c r="D198" s="365"/>
      <c r="E198" s="365"/>
      <c r="F198" s="365"/>
      <c r="G198" s="365"/>
      <c r="H198" s="365"/>
      <c r="I198" s="365"/>
      <c r="J198" s="365"/>
      <c r="K198" s="365"/>
      <c r="M198" s="365"/>
      <c r="N198" s="365"/>
      <c r="O198" s="365"/>
      <c r="P198" s="365"/>
      <c r="Q198" s="365"/>
      <c r="R198" s="365"/>
      <c r="S198" s="365"/>
      <c r="T198" s="365"/>
      <c r="U198" s="365"/>
      <c r="W198" s="365"/>
      <c r="X198" s="365"/>
      <c r="Y198" s="365"/>
      <c r="Z198" s="365"/>
      <c r="AA198" s="365"/>
      <c r="AB198" s="365"/>
      <c r="AC198" s="365"/>
      <c r="AD198" s="365"/>
      <c r="AE198" s="365"/>
      <c r="AG198" s="365"/>
      <c r="AH198" s="365"/>
      <c r="AI198" s="365"/>
      <c r="AJ198" s="365"/>
      <c r="AK198" s="365"/>
      <c r="AL198" s="365"/>
      <c r="AM198" s="365"/>
      <c r="AN198" s="365"/>
      <c r="AO198" s="365"/>
      <c r="AQ198" s="365"/>
      <c r="AR198" s="365"/>
      <c r="AS198" s="365"/>
      <c r="AT198" s="365"/>
      <c r="AU198" s="365"/>
      <c r="AV198" s="365"/>
      <c r="AW198" s="365"/>
      <c r="AX198" s="365"/>
      <c r="AY198" s="365"/>
      <c r="BA198" s="365"/>
      <c r="BB198" s="365"/>
      <c r="BC198" s="365"/>
      <c r="BD198" s="365"/>
      <c r="BE198" s="365"/>
      <c r="BF198" s="365"/>
      <c r="BG198" s="365"/>
      <c r="BH198" s="365"/>
      <c r="BI198" s="365"/>
      <c r="BK198" s="365"/>
      <c r="BL198" s="365"/>
      <c r="BM198" s="365"/>
      <c r="BN198" s="365"/>
      <c r="BO198" s="365"/>
      <c r="BP198" s="365"/>
      <c r="BQ198" s="365"/>
      <c r="BR198" s="365"/>
      <c r="BS198" s="365"/>
      <c r="BU198" s="365"/>
      <c r="BV198" s="365"/>
      <c r="BW198" s="365"/>
      <c r="BX198" s="365"/>
      <c r="BY198" s="365"/>
      <c r="BZ198" s="365"/>
      <c r="CA198" s="365"/>
      <c r="CB198" s="365"/>
      <c r="CC198" s="365"/>
    </row>
    <row r="199" spans="2:81" s="316" customFormat="1" ht="12.75">
      <c r="B199" s="364"/>
      <c r="C199" s="365"/>
      <c r="D199" s="365"/>
      <c r="E199" s="365"/>
      <c r="F199" s="365"/>
      <c r="G199" s="365"/>
      <c r="H199" s="365"/>
      <c r="I199" s="365"/>
      <c r="J199" s="365"/>
      <c r="K199" s="365"/>
      <c r="M199" s="365"/>
      <c r="N199" s="365"/>
      <c r="O199" s="365"/>
      <c r="P199" s="365"/>
      <c r="Q199" s="365"/>
      <c r="R199" s="365"/>
      <c r="S199" s="365"/>
      <c r="T199" s="365"/>
      <c r="U199" s="365"/>
      <c r="W199" s="365"/>
      <c r="X199" s="365"/>
      <c r="Y199" s="365"/>
      <c r="Z199" s="365"/>
      <c r="AA199" s="365"/>
      <c r="AB199" s="365"/>
      <c r="AC199" s="365"/>
      <c r="AD199" s="365"/>
      <c r="AE199" s="365"/>
      <c r="AG199" s="365"/>
      <c r="AH199" s="365"/>
      <c r="AI199" s="365"/>
      <c r="AJ199" s="365"/>
      <c r="AK199" s="365"/>
      <c r="AL199" s="365"/>
      <c r="AM199" s="365"/>
      <c r="AN199" s="365"/>
      <c r="AO199" s="365"/>
      <c r="AQ199" s="365"/>
      <c r="AR199" s="365"/>
      <c r="AS199" s="365"/>
      <c r="AT199" s="365"/>
      <c r="AU199" s="365"/>
      <c r="AV199" s="365"/>
      <c r="AW199" s="365"/>
      <c r="AX199" s="365"/>
      <c r="AY199" s="365"/>
      <c r="BA199" s="365"/>
      <c r="BB199" s="365"/>
      <c r="BC199" s="365"/>
      <c r="BD199" s="365"/>
      <c r="BE199" s="365"/>
      <c r="BF199" s="365"/>
      <c r="BG199" s="365"/>
      <c r="BH199" s="365"/>
      <c r="BI199" s="365"/>
      <c r="BK199" s="365"/>
      <c r="BL199" s="365"/>
      <c r="BM199" s="365"/>
      <c r="BN199" s="365"/>
      <c r="BO199" s="365"/>
      <c r="BP199" s="365"/>
      <c r="BQ199" s="365"/>
      <c r="BR199" s="365"/>
      <c r="BS199" s="365"/>
      <c r="BU199" s="365"/>
      <c r="BV199" s="365"/>
      <c r="BW199" s="365"/>
      <c r="BX199" s="365"/>
      <c r="BY199" s="365"/>
      <c r="BZ199" s="365"/>
      <c r="CA199" s="365"/>
      <c r="CB199" s="365"/>
      <c r="CC199" s="365"/>
    </row>
    <row r="200" spans="2:81" s="316" customFormat="1" ht="12.75">
      <c r="B200" s="364"/>
      <c r="C200" s="365"/>
      <c r="D200" s="365"/>
      <c r="E200" s="365"/>
      <c r="F200" s="365"/>
      <c r="G200" s="365"/>
      <c r="H200" s="365"/>
      <c r="I200" s="365"/>
      <c r="J200" s="365"/>
      <c r="K200" s="365"/>
      <c r="M200" s="365"/>
      <c r="N200" s="365"/>
      <c r="O200" s="365"/>
      <c r="P200" s="365"/>
      <c r="Q200" s="365"/>
      <c r="R200" s="365"/>
      <c r="S200" s="365"/>
      <c r="T200" s="365"/>
      <c r="U200" s="365"/>
      <c r="W200" s="365"/>
      <c r="X200" s="365"/>
      <c r="Y200" s="365"/>
      <c r="Z200" s="365"/>
      <c r="AA200" s="365"/>
      <c r="AB200" s="365"/>
      <c r="AC200" s="365"/>
      <c r="AD200" s="365"/>
      <c r="AE200" s="365"/>
      <c r="AG200" s="365"/>
      <c r="AH200" s="365"/>
      <c r="AI200" s="365"/>
      <c r="AJ200" s="365"/>
      <c r="AK200" s="365"/>
      <c r="AL200" s="365"/>
      <c r="AM200" s="365"/>
      <c r="AN200" s="365"/>
      <c r="AO200" s="365"/>
      <c r="AQ200" s="365"/>
      <c r="AR200" s="365"/>
      <c r="AS200" s="365"/>
      <c r="AT200" s="365"/>
      <c r="AU200" s="365"/>
      <c r="AV200" s="365"/>
      <c r="AW200" s="365"/>
      <c r="AX200" s="365"/>
      <c r="AY200" s="365"/>
      <c r="BA200" s="365"/>
      <c r="BB200" s="365"/>
      <c r="BC200" s="365"/>
      <c r="BD200" s="365"/>
      <c r="BE200" s="365"/>
      <c r="BF200" s="365"/>
      <c r="BG200" s="365"/>
      <c r="BH200" s="365"/>
      <c r="BI200" s="365"/>
      <c r="BK200" s="365"/>
      <c r="BL200" s="365"/>
      <c r="BM200" s="365"/>
      <c r="BN200" s="365"/>
      <c r="BO200" s="365"/>
      <c r="BP200" s="365"/>
      <c r="BQ200" s="365"/>
      <c r="BR200" s="365"/>
      <c r="BS200" s="365"/>
      <c r="BU200" s="365"/>
      <c r="BV200" s="365"/>
      <c r="BW200" s="365"/>
      <c r="BX200" s="365"/>
      <c r="BY200" s="365"/>
      <c r="BZ200" s="365"/>
      <c r="CA200" s="365"/>
      <c r="CB200" s="365"/>
      <c r="CC200" s="365"/>
    </row>
    <row r="201" spans="2:81" s="316" customFormat="1" ht="12.75">
      <c r="B201" s="364"/>
      <c r="C201" s="365"/>
      <c r="D201" s="365"/>
      <c r="E201" s="365"/>
      <c r="F201" s="365"/>
      <c r="G201" s="365"/>
      <c r="H201" s="365"/>
      <c r="I201" s="365"/>
      <c r="J201" s="365"/>
      <c r="K201" s="365"/>
      <c r="M201" s="365"/>
      <c r="N201" s="365"/>
      <c r="O201" s="365"/>
      <c r="P201" s="365"/>
      <c r="Q201" s="365"/>
      <c r="R201" s="365"/>
      <c r="S201" s="365"/>
      <c r="T201" s="365"/>
      <c r="U201" s="365"/>
      <c r="W201" s="365"/>
      <c r="X201" s="365"/>
      <c r="Y201" s="365"/>
      <c r="Z201" s="365"/>
      <c r="AA201" s="365"/>
      <c r="AB201" s="365"/>
      <c r="AC201" s="365"/>
      <c r="AD201" s="365"/>
      <c r="AE201" s="365"/>
      <c r="AG201" s="365"/>
      <c r="AH201" s="365"/>
      <c r="AI201" s="365"/>
      <c r="AJ201" s="365"/>
      <c r="AK201" s="365"/>
      <c r="AL201" s="365"/>
      <c r="AM201" s="365"/>
      <c r="AN201" s="365"/>
      <c r="AO201" s="365"/>
      <c r="AQ201" s="365"/>
      <c r="AR201" s="365"/>
      <c r="AS201" s="365"/>
      <c r="AT201" s="365"/>
      <c r="AU201" s="365"/>
      <c r="AV201" s="365"/>
      <c r="AW201" s="365"/>
      <c r="AX201" s="365"/>
      <c r="AY201" s="365"/>
      <c r="BA201" s="365"/>
      <c r="BB201" s="365"/>
      <c r="BC201" s="365"/>
      <c r="BD201" s="365"/>
      <c r="BE201" s="365"/>
      <c r="BF201" s="365"/>
      <c r="BG201" s="365"/>
      <c r="BH201" s="365"/>
      <c r="BI201" s="365"/>
      <c r="BK201" s="365"/>
      <c r="BL201" s="365"/>
      <c r="BM201" s="365"/>
      <c r="BN201" s="365"/>
      <c r="BO201" s="365"/>
      <c r="BP201" s="365"/>
      <c r="BQ201" s="365"/>
      <c r="BR201" s="365"/>
      <c r="BS201" s="365"/>
      <c r="BU201" s="365"/>
      <c r="BV201" s="365"/>
      <c r="BW201" s="365"/>
      <c r="BX201" s="365"/>
      <c r="BY201" s="365"/>
      <c r="BZ201" s="365"/>
      <c r="CA201" s="365"/>
      <c r="CB201" s="365"/>
      <c r="CC201" s="365"/>
    </row>
    <row r="202" spans="2:81">
      <c r="B202" s="364"/>
      <c r="C202" s="365"/>
      <c r="D202" s="365"/>
      <c r="E202" s="365"/>
      <c r="F202" s="365"/>
      <c r="G202" s="365"/>
      <c r="H202" s="365"/>
      <c r="I202" s="365"/>
      <c r="J202" s="365"/>
      <c r="K202" s="365"/>
    </row>
    <row r="203" spans="2:81">
      <c r="B203" s="364"/>
      <c r="C203" s="365"/>
      <c r="D203" s="365"/>
      <c r="E203" s="365"/>
      <c r="F203" s="365"/>
      <c r="G203" s="365"/>
      <c r="H203" s="365"/>
      <c r="I203" s="365"/>
      <c r="J203" s="365"/>
      <c r="K203" s="365"/>
    </row>
    <row r="204" spans="2:81">
      <c r="B204" s="364"/>
      <c r="C204" s="365"/>
      <c r="D204" s="365"/>
      <c r="E204" s="365"/>
      <c r="F204" s="365"/>
      <c r="G204" s="365"/>
      <c r="H204" s="365"/>
      <c r="I204" s="365"/>
      <c r="J204" s="365"/>
      <c r="K204" s="365"/>
    </row>
    <row r="205" spans="2:81">
      <c r="B205" s="364"/>
      <c r="C205" s="365"/>
      <c r="D205" s="365"/>
      <c r="E205" s="365"/>
      <c r="F205" s="365"/>
      <c r="G205" s="365"/>
      <c r="H205" s="365"/>
      <c r="I205" s="365"/>
      <c r="J205" s="365"/>
      <c r="K205" s="365"/>
    </row>
    <row r="206" spans="2:81">
      <c r="B206" s="364"/>
      <c r="C206" s="365"/>
      <c r="D206" s="365"/>
      <c r="E206" s="365"/>
      <c r="F206" s="365"/>
      <c r="G206" s="365"/>
      <c r="H206" s="365"/>
      <c r="I206" s="365"/>
      <c r="J206" s="365"/>
      <c r="K206" s="365"/>
    </row>
    <row r="207" spans="2:81">
      <c r="B207" s="364"/>
      <c r="C207" s="365"/>
      <c r="D207" s="365"/>
      <c r="E207" s="365"/>
      <c r="F207" s="365"/>
      <c r="G207" s="365"/>
      <c r="H207" s="365"/>
      <c r="I207" s="365"/>
      <c r="J207" s="365"/>
      <c r="K207" s="365"/>
    </row>
    <row r="208" spans="2:81">
      <c r="B208" s="364"/>
      <c r="C208" s="365"/>
      <c r="D208" s="365"/>
      <c r="E208" s="365"/>
      <c r="F208" s="365"/>
      <c r="G208" s="365"/>
      <c r="H208" s="365"/>
      <c r="I208" s="365"/>
      <c r="J208" s="365"/>
      <c r="K208" s="365"/>
    </row>
    <row r="209" spans="2:11">
      <c r="B209" s="364"/>
      <c r="C209" s="365"/>
      <c r="D209" s="365"/>
      <c r="E209" s="365"/>
      <c r="F209" s="365"/>
      <c r="G209" s="365"/>
      <c r="H209" s="365"/>
      <c r="I209" s="365"/>
      <c r="J209" s="365"/>
      <c r="K209" s="365"/>
    </row>
    <row r="210" spans="2:11">
      <c r="B210" s="364"/>
      <c r="C210" s="365"/>
      <c r="D210" s="365"/>
      <c r="E210" s="365"/>
      <c r="F210" s="365"/>
      <c r="G210" s="365"/>
      <c r="H210" s="365"/>
      <c r="I210" s="365"/>
      <c r="J210" s="365"/>
      <c r="K210" s="365"/>
    </row>
    <row r="211" spans="2:11">
      <c r="B211" s="364"/>
      <c r="C211" s="365"/>
      <c r="D211" s="365"/>
      <c r="E211" s="365"/>
      <c r="F211" s="365"/>
      <c r="G211" s="365"/>
      <c r="H211" s="365"/>
      <c r="I211" s="365"/>
      <c r="J211" s="365"/>
      <c r="K211" s="365"/>
    </row>
    <row r="212" spans="2:11">
      <c r="B212" s="364"/>
      <c r="C212" s="365"/>
      <c r="D212" s="365"/>
      <c r="E212" s="365"/>
      <c r="F212" s="365"/>
      <c r="G212" s="365"/>
      <c r="H212" s="365"/>
      <c r="I212" s="365"/>
      <c r="J212" s="365"/>
      <c r="K212" s="365"/>
    </row>
    <row r="213" spans="2:11">
      <c r="B213" s="364"/>
      <c r="C213" s="365"/>
      <c r="D213" s="365"/>
      <c r="E213" s="365"/>
      <c r="F213" s="365"/>
      <c r="G213" s="365"/>
      <c r="H213" s="365"/>
      <c r="I213" s="365"/>
      <c r="J213" s="365"/>
      <c r="K213" s="365"/>
    </row>
    <row r="214" spans="2:11">
      <c r="B214" s="364"/>
      <c r="C214" s="365"/>
      <c r="D214" s="365"/>
      <c r="E214" s="365"/>
      <c r="F214" s="365"/>
      <c r="G214" s="365"/>
      <c r="H214" s="365"/>
      <c r="I214" s="365"/>
      <c r="J214" s="365"/>
      <c r="K214" s="365"/>
    </row>
    <row r="215" spans="2:11">
      <c r="B215" s="364"/>
      <c r="C215" s="365"/>
      <c r="D215" s="365"/>
      <c r="E215" s="365"/>
      <c r="F215" s="365"/>
      <c r="G215" s="365"/>
      <c r="H215" s="365"/>
      <c r="I215" s="365"/>
      <c r="J215" s="365"/>
      <c r="K215" s="365"/>
    </row>
    <row r="216" spans="2:11">
      <c r="B216" s="364"/>
      <c r="C216" s="365"/>
      <c r="D216" s="365"/>
      <c r="E216" s="365"/>
      <c r="F216" s="365"/>
      <c r="G216" s="365"/>
      <c r="H216" s="365"/>
      <c r="I216" s="365"/>
      <c r="J216" s="365"/>
      <c r="K216" s="365"/>
    </row>
  </sheetData>
  <sheetProtection formatColumns="0" insertRows="0"/>
  <mergeCells count="32">
    <mergeCell ref="BJ2:BS2"/>
    <mergeCell ref="BT2:CC2"/>
    <mergeCell ref="E5:I5"/>
    <mergeCell ref="O5:S5"/>
    <mergeCell ref="Y5:AC5"/>
    <mergeCell ref="AI5:AM5"/>
    <mergeCell ref="AS5:AW5"/>
    <mergeCell ref="BC5:BG5"/>
    <mergeCell ref="BM5:BQ5"/>
    <mergeCell ref="BW5:CA5"/>
    <mergeCell ref="B2:K2"/>
    <mergeCell ref="L2:U2"/>
    <mergeCell ref="V2:AE2"/>
    <mergeCell ref="AF2:AO2"/>
    <mergeCell ref="AP2:AY2"/>
    <mergeCell ref="AZ2:BI2"/>
    <mergeCell ref="BK151:BS151"/>
    <mergeCell ref="BU151:CC151"/>
    <mergeCell ref="C152:K171"/>
    <mergeCell ref="M152:U171"/>
    <mergeCell ref="W152:AE171"/>
    <mergeCell ref="AG152:AO171"/>
    <mergeCell ref="AQ152:AY171"/>
    <mergeCell ref="BA152:BI171"/>
    <mergeCell ref="BK152:BS171"/>
    <mergeCell ref="BU152:CC171"/>
    <mergeCell ref="C151:K151"/>
    <mergeCell ref="M151:U151"/>
    <mergeCell ref="W151:AE151"/>
    <mergeCell ref="AG151:AO151"/>
    <mergeCell ref="AQ151:AY151"/>
    <mergeCell ref="BA151:BI151"/>
  </mergeCells>
  <dataValidations count="2">
    <dataValidation type="custom" operator="greaterThanOrEqual" allowBlank="1" showInputMessage="1" showErrorMessage="1" errorTitle="data type error" error="value must be a number" sqref="Y79:AE79 L163 B156 L156 L152:L154 B152:B154 Y108:AE108 Y144:AE144 Y43:AE43 V152:V154 V156 U46:V46 Y63:AE63 V10:V19 U70:V70 AF82:AF85 U113:V113 AF10:AF19 B163 E108:K108 AI28:AO28 V82:V85 B82:B107 AF163 V163 AI79:AO79 AI108:AO108 AI144:AO144 AI43:AO43 AF152:AF154 AF156 AI63:AO63 AP82:AP85 AY71:AY78 L70:L78 O70:T79 BC82:BD84 L31:L42 O31:T43 L10:L27 B46:B62 L46:L62 AO71:AO78 AS28:AY28 AP163 AS79:AY79 AS108:AY108 AS144:AY144 AS43:AY43 AP152:AP154 AP156 AS63:AY63 AZ82:AZ85 AT85 AS82:AT84 B113:B143 AZ163 BC28:BI28 BC79:BI79 BC108:BI108 BC144:BI144 AZ152:AZ154 AZ156 BC43:BI43 BC63:BI63 BC46:BJ46 BC70:BJ70 BC113:BJ113 O46:T63 B70:B78 O113:T144 L113:L143 B31:B42 B10:B27 AE71:AE78 U47:U63 BC10:BH19 BE82:BH85 AU82:AX85 AS113:AZ113 AS70:AZ70 AS46:AZ46 AS10:AX19 AZ10:AZ19 AY114:AY143 AY47:AY62 AY82:AY107 AY10:AY27 AY32:AY42 AI113:AP113 AI82:AN85 AI70:AP70 AI46:AP46 AI10:AN19 AP10:AP19 AO114:AO143 AO47:AO62 AO82:AO107 AO10:AO27 AO32:AO42 Y10:AD19 Y113:AF113 Y82:AD85 Y70:AF70 Y46:AF46 Y28:AE28 AE114:AE143 AE47:AE62 AE82:AE107 AE10:AE27 AE32:AE42 U114:U144 O10:U28 U71:U79 O82:U108 U32:U43 E113:K144 E46:K63 E10:K28 E82:L107 E70:K79 E31:J43 K32:K43 BI71:BJ78 BJ163 BJ152:BJ154 BJ156 BI82:BJ107 BI47:BJ62 BM32:BS43 BI10:BJ27 BM10:BS28 BI32:BJ42 BM70:BS79 BI114:BJ143 BM46:BS48 BM52:BS63 BN49:BS51 BN85:BT85 BM94:BS108 BN93:BT93 BM130:BS144 BN129:BT129 BM86:BT92 BX93:CC93 BT152:BT154 BT156 BT10:BT27 BW32:CC43 BT46:BT62 BW113:CC144 BT32:BT42 BW70:CC79 BT70:BT78 BT130:BT143 BT94:BT107 BM82:BT84 BM113:BT128 BW10:CC28 BW46:CC48 BW52:CC63 BX49:CC51 BW82:CC84 BX85:CC85 BW86:CC92 BW94:CC108 BT163" xr:uid="{5C3FF025-4FC8-4566-B418-2FAA569D5FFF}">
      <formula1>ISNUMBER(B10)</formula1>
    </dataValidation>
    <dataValidation type="whole" operator="greaterThanOrEqual" allowBlank="1" showInputMessage="1" showErrorMessage="1" errorTitle="Data Type Error" error="Value must be a number greater than or equal to 0." sqref="B108:D108 L63:N63 B144:D144 B79:D79 B63:D63 B43:D43 L43:N43 L28:N28 L79:N79 L108:N108 B28:D28 V108:X108 L144:N144 V144:X144 V79:X79 V63:X63 V43:X43 V28:X28 AF108:AH108 AF144:AH144 AF79:AH79 AF63:AH63 AF43:AH43 AF28:AH28 AG82:AH107 M82:N107 C82:D107 AQ82:AR107 AP108:AR108 AP144:AR144 AP79:AR79 AP63:AR63 AP43:AR43 AP28:AR28 BA82:BB107 AZ108:BB108 AZ144:BB144 AZ79:BB79 AZ63:BB63 AZ43:BB43 AZ28:BB28 AG10:AH27 W31:X42 W82:X107 M70:N78 M46:N62 BA70:BB78 AQ70:AR78 W70:X78 C70:D78 AG70:AH78 BA46:BB62 AQ46:AR62 C46:D62 W46:X62 AG46:AH62 BA31:BB42 AQ31:AR42 C31:D42 M31:N42 AG31:AH42 BA10:BB27 AQ10:AR27 C10:D27 M10:N27 W10:X27 BA113:BB143 AQ113:AR143 W113:X143 C113:D143 M113:N143 AG113:AH143 BK46:BL62 BJ108:BL108 BJ144:BL144 BJ79:BL79 BJ63:BL63 BJ43:BL43 BJ28:BL28 BK31:BL42 BK10:BL27 BK82:BL107 BK70:BL78 BK113:BL143 BU10:BV27 BT108:BV108 BT144:BV144 BT79:BV79 BT63:BV63 BT43:BV43 BT28:BV28 BU46:BV62 BU113:BV143 BU70:BV78 BU31:BV42 BU82:BV107" xr:uid="{8FBE081F-AA31-4376-8D43-C110682E7780}">
      <formula1>0</formula1>
    </dataValidation>
  </dataValidations>
  <pageMargins left="0.3" right="0.3" top="0.75" bottom="0.3" header="0.3" footer="0.25"/>
  <pageSetup scale="60" fitToWidth="0" orientation="landscape" r:id="rId1"/>
  <headerFooter>
    <oddHeader>&amp;C&amp;"-,Bold"&amp;22Northeast Community College
&amp;A</oddHeader>
  </headerFooter>
  <rowBreaks count="1" manualBreakCount="1">
    <brk id="150" max="16383"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77"/>
  <sheetViews>
    <sheetView zoomScaleNormal="100" workbookViewId="0">
      <pane xSplit="1" ySplit="3" topLeftCell="B4" activePane="bottomRight" state="frozen"/>
      <selection pane="topRight" activeCell="B1" sqref="B1"/>
      <selection pane="bottomLeft" activeCell="A4" sqref="A4"/>
      <selection pane="bottomRight" activeCell="J9" sqref="J9"/>
    </sheetView>
  </sheetViews>
  <sheetFormatPr defaultColWidth="11.42578125" defaultRowHeight="15"/>
  <cols>
    <col min="1" max="1" width="32.5703125" style="12" customWidth="1"/>
    <col min="2" max="2" width="12.7109375" style="12" customWidth="1"/>
    <col min="3" max="3" width="12.7109375" style="12" hidden="1" customWidth="1"/>
    <col min="4" max="4" width="12.28515625" style="12" hidden="1" customWidth="1"/>
    <col min="5" max="5" width="13.28515625" style="12" hidden="1" customWidth="1"/>
    <col min="6" max="14" width="13.28515625" style="12" customWidth="1"/>
    <col min="15" max="25" width="11.42578125" style="125"/>
    <col min="26" max="16384" width="11.42578125" style="12"/>
  </cols>
  <sheetData>
    <row r="1" spans="1:14">
      <c r="B1" s="91"/>
      <c r="C1" s="91"/>
      <c r="D1" s="91"/>
      <c r="E1" s="91"/>
    </row>
    <row r="2" spans="1:14">
      <c r="A2" s="8" t="s">
        <v>41</v>
      </c>
      <c r="B2" s="94" t="s">
        <v>42</v>
      </c>
      <c r="C2" s="93" t="s">
        <v>43</v>
      </c>
      <c r="D2" s="93" t="s">
        <v>43</v>
      </c>
      <c r="E2" s="93" t="s">
        <v>43</v>
      </c>
      <c r="F2" s="94" t="s">
        <v>43</v>
      </c>
      <c r="G2" s="94" t="s">
        <v>43</v>
      </c>
      <c r="H2" s="94" t="s">
        <v>43</v>
      </c>
      <c r="I2" s="94" t="s">
        <v>43</v>
      </c>
      <c r="J2" s="94" t="s">
        <v>43</v>
      </c>
      <c r="K2" s="94" t="s">
        <v>43</v>
      </c>
      <c r="L2" s="94" t="s">
        <v>43</v>
      </c>
      <c r="M2" s="94" t="s">
        <v>44</v>
      </c>
      <c r="N2" s="94" t="s">
        <v>44</v>
      </c>
    </row>
    <row r="3" spans="1:14">
      <c r="A3" s="95"/>
      <c r="B3" s="96" t="s">
        <v>45</v>
      </c>
      <c r="C3" s="96" t="s">
        <v>31</v>
      </c>
      <c r="D3" s="96" t="s">
        <v>32</v>
      </c>
      <c r="E3" s="97" t="s">
        <v>33</v>
      </c>
      <c r="F3" s="97" t="s">
        <v>30</v>
      </c>
      <c r="G3" s="97" t="s">
        <v>29</v>
      </c>
      <c r="H3" s="97" t="s">
        <v>34</v>
      </c>
      <c r="I3" s="97" t="s">
        <v>35</v>
      </c>
      <c r="J3" s="97" t="s">
        <v>37</v>
      </c>
      <c r="K3" s="97" t="s">
        <v>38</v>
      </c>
      <c r="L3" s="97" t="s">
        <v>39</v>
      </c>
      <c r="M3" s="97" t="s">
        <v>251</v>
      </c>
      <c r="N3" s="97" t="s">
        <v>255</v>
      </c>
    </row>
    <row r="4" spans="1:14">
      <c r="A4" s="98" t="s">
        <v>46</v>
      </c>
      <c r="B4" s="92"/>
      <c r="C4" s="130">
        <v>15037806</v>
      </c>
      <c r="D4" s="99">
        <f>C67-C66</f>
        <v>16724657.29000001</v>
      </c>
      <c r="E4" s="99">
        <f t="shared" ref="E4:G4" si="0">D67-D66</f>
        <v>19569904.690000009</v>
      </c>
      <c r="F4" s="99">
        <f t="shared" si="0"/>
        <v>21302049.650000025</v>
      </c>
      <c r="G4" s="99">
        <f t="shared" si="0"/>
        <v>22699539.65000001</v>
      </c>
      <c r="H4" s="99">
        <f t="shared" ref="H4" si="1">G67-G66</f>
        <v>24582579.670000009</v>
      </c>
      <c r="I4" s="99">
        <f t="shared" ref="I4:L4" si="2">H67-H66</f>
        <v>24262954.720000014</v>
      </c>
      <c r="J4" s="99">
        <f t="shared" si="2"/>
        <v>26244739.770000014</v>
      </c>
      <c r="K4" s="99">
        <f t="shared" si="2"/>
        <v>26916285.250000022</v>
      </c>
      <c r="L4" s="99">
        <f t="shared" si="2"/>
        <v>27039415.330000013</v>
      </c>
      <c r="M4" s="99">
        <f t="shared" ref="M4" si="3">L67-L66</f>
        <v>27064275.720000014</v>
      </c>
      <c r="N4" s="99">
        <f t="shared" ref="N4" si="4">M67-M66</f>
        <v>27064275.720000014</v>
      </c>
    </row>
    <row r="5" spans="1:14">
      <c r="A5" s="100"/>
      <c r="B5" s="92"/>
      <c r="C5" s="99"/>
      <c r="D5" s="99"/>
      <c r="E5" s="99"/>
      <c r="F5" s="99"/>
      <c r="G5" s="99"/>
      <c r="H5" s="99"/>
      <c r="I5" s="99"/>
      <c r="J5" s="99"/>
      <c r="K5" s="99"/>
      <c r="L5" s="99"/>
      <c r="M5" s="99"/>
      <c r="N5" s="99"/>
    </row>
    <row r="6" spans="1:14">
      <c r="A6" s="100" t="s">
        <v>47</v>
      </c>
      <c r="B6" s="92"/>
      <c r="C6" s="99"/>
      <c r="D6" s="99"/>
      <c r="E6" s="99"/>
      <c r="F6" s="99"/>
      <c r="G6" s="99"/>
      <c r="H6" s="99"/>
      <c r="I6" s="99"/>
      <c r="J6" s="99"/>
      <c r="K6" s="99"/>
      <c r="L6" s="99"/>
      <c r="M6" s="99"/>
      <c r="N6" s="99"/>
    </row>
    <row r="7" spans="1:14">
      <c r="A7" s="98" t="s">
        <v>9</v>
      </c>
      <c r="B7" s="119"/>
      <c r="C7" s="124">
        <v>7695206.1100000003</v>
      </c>
      <c r="D7" s="124">
        <v>8019592.2000000002</v>
      </c>
      <c r="E7" s="124">
        <v>7589114.6099999994</v>
      </c>
      <c r="F7" s="124">
        <v>7788893.4899999993</v>
      </c>
      <c r="G7" s="124">
        <f>8505548.49-213251.43</f>
        <v>8292297.0600000005</v>
      </c>
      <c r="H7" s="124">
        <f>8435670.64-129122.25</f>
        <v>8306548.3900000006</v>
      </c>
      <c r="I7" s="124">
        <f>8515541.66-137742.34</f>
        <v>8377799.3200000003</v>
      </c>
      <c r="J7" s="124">
        <f>8566402.08-181122.21</f>
        <v>8385279.8700000001</v>
      </c>
      <c r="K7" s="215">
        <f>9004070.77-328593.42+36958.5</f>
        <v>8712435.8499999996</v>
      </c>
      <c r="L7" s="215">
        <f>9349169.62+29784.5</f>
        <v>9378954.1199999992</v>
      </c>
      <c r="M7" s="215">
        <f>8002137+878098</f>
        <v>8880235</v>
      </c>
      <c r="N7" s="215">
        <f>8002137+878098</f>
        <v>8880235</v>
      </c>
    </row>
    <row r="8" spans="1:14">
      <c r="A8" s="98" t="s">
        <v>48</v>
      </c>
      <c r="B8" s="119"/>
      <c r="C8" s="120"/>
      <c r="D8" s="120"/>
      <c r="E8" s="120"/>
      <c r="F8" s="120"/>
      <c r="G8" s="120"/>
      <c r="H8" s="120"/>
      <c r="I8" s="120"/>
      <c r="J8" s="124"/>
      <c r="K8" s="124"/>
      <c r="L8" s="124"/>
      <c r="M8" s="124"/>
      <c r="N8" s="124"/>
    </row>
    <row r="9" spans="1:14" ht="15.75" thickBot="1">
      <c r="A9" s="102" t="s">
        <v>49</v>
      </c>
      <c r="B9" s="121"/>
      <c r="C9" s="122">
        <v>-363845.32</v>
      </c>
      <c r="D9" s="122">
        <v>-400928.13</v>
      </c>
      <c r="E9" s="122">
        <v>-487936.57</v>
      </c>
      <c r="F9" s="122">
        <v>-602561.68999999994</v>
      </c>
      <c r="G9" s="122">
        <f>-623483-19242</f>
        <v>-642725</v>
      </c>
      <c r="H9" s="122">
        <f>-678202.88-23241.25</f>
        <v>-701444.13</v>
      </c>
      <c r="I9" s="122">
        <f>-707000.18-24661.25</f>
        <v>-731661.43</v>
      </c>
      <c r="J9" s="122">
        <f>-1175852.8-19413.5</f>
        <v>-1195266.3</v>
      </c>
      <c r="K9" s="122">
        <f>-890759.3-24124.9</f>
        <v>-914884.20000000007</v>
      </c>
      <c r="L9" s="122">
        <f>-769489.88-26361.75</f>
        <v>-795851.63</v>
      </c>
      <c r="M9" s="122">
        <f>-878098-26362</f>
        <v>-904460</v>
      </c>
      <c r="N9" s="122">
        <f>-878098-26362</f>
        <v>-904460</v>
      </c>
    </row>
    <row r="10" spans="1:14" ht="15.75" thickTop="1">
      <c r="A10" s="98" t="s">
        <v>50</v>
      </c>
      <c r="B10" s="92"/>
      <c r="C10" s="101">
        <f>SUM(C8:C9)</f>
        <v>-363845.32</v>
      </c>
      <c r="D10" s="101">
        <f>SUM(D8:D9)</f>
        <v>-400928.13</v>
      </c>
      <c r="E10" s="101">
        <f t="shared" ref="E10:F10" si="5">SUM(E8:E9)</f>
        <v>-487936.57</v>
      </c>
      <c r="F10" s="101">
        <f t="shared" si="5"/>
        <v>-602561.68999999994</v>
      </c>
      <c r="G10" s="101">
        <f>G8+G9</f>
        <v>-642725</v>
      </c>
      <c r="H10" s="101">
        <f t="shared" ref="H10:I10" si="6">H8+H9</f>
        <v>-701444.13</v>
      </c>
      <c r="I10" s="101">
        <f t="shared" si="6"/>
        <v>-731661.43</v>
      </c>
      <c r="J10" s="101">
        <f t="shared" ref="J10:K10" si="7">J8+J9</f>
        <v>-1195266.3</v>
      </c>
      <c r="K10" s="101">
        <f t="shared" si="7"/>
        <v>-914884.20000000007</v>
      </c>
      <c r="L10" s="101">
        <f t="shared" ref="L10" si="8">L8+L9</f>
        <v>-795851.63</v>
      </c>
      <c r="M10" s="101">
        <f t="shared" ref="M10:N10" si="9">M8+M9</f>
        <v>-904460</v>
      </c>
      <c r="N10" s="101">
        <f t="shared" si="9"/>
        <v>-904460</v>
      </c>
    </row>
    <row r="11" spans="1:14" ht="18" customHeight="1">
      <c r="A11" s="103" t="s">
        <v>51</v>
      </c>
      <c r="B11" s="139"/>
      <c r="C11" s="140"/>
      <c r="D11" s="140"/>
      <c r="E11" s="140"/>
      <c r="F11" s="140"/>
      <c r="G11" s="146"/>
      <c r="H11" s="146"/>
      <c r="I11" s="146"/>
      <c r="J11" s="146"/>
      <c r="K11" s="146">
        <v>-36958.5</v>
      </c>
      <c r="L11" s="146">
        <v>-29784.5</v>
      </c>
      <c r="M11" s="146"/>
      <c r="N11" s="146"/>
    </row>
    <row r="12" spans="1:14">
      <c r="A12" s="98" t="s">
        <v>52</v>
      </c>
      <c r="B12" s="92"/>
      <c r="C12" s="99"/>
      <c r="D12" s="99"/>
      <c r="E12" s="99"/>
      <c r="F12" s="99"/>
      <c r="G12" s="147"/>
      <c r="H12" s="147"/>
      <c r="I12" s="147"/>
      <c r="J12" s="147"/>
      <c r="K12" s="147"/>
      <c r="L12" s="147"/>
      <c r="M12" s="147"/>
      <c r="N12" s="147"/>
    </row>
    <row r="13" spans="1:14" s="125" customFormat="1">
      <c r="A13" s="123" t="s">
        <v>53</v>
      </c>
      <c r="B13" s="119"/>
      <c r="C13" s="124">
        <f>C7+C10+C11</f>
        <v>7331360.79</v>
      </c>
      <c r="D13" s="124">
        <f>D7+D10+D11</f>
        <v>7618664.0700000003</v>
      </c>
      <c r="E13" s="124">
        <f t="shared" ref="E13:I13" si="10">E7+E10+E11</f>
        <v>7101178.0399999991</v>
      </c>
      <c r="F13" s="124">
        <f t="shared" si="10"/>
        <v>7186331.7999999989</v>
      </c>
      <c r="G13" s="124">
        <f t="shared" si="10"/>
        <v>7649572.0600000005</v>
      </c>
      <c r="H13" s="124">
        <f t="shared" si="10"/>
        <v>7605104.2600000007</v>
      </c>
      <c r="I13" s="124">
        <f t="shared" si="10"/>
        <v>7646137.8900000006</v>
      </c>
      <c r="J13" s="124">
        <f t="shared" ref="J13:K13" si="11">J7+J10+J11</f>
        <v>7190013.5700000003</v>
      </c>
      <c r="K13" s="124">
        <f t="shared" si="11"/>
        <v>7760593.1499999994</v>
      </c>
      <c r="L13" s="124">
        <f t="shared" ref="L13" si="12">L7+L10+L11</f>
        <v>8553317.9899999984</v>
      </c>
      <c r="M13" s="124">
        <f t="shared" ref="M13:N13" si="13">M7+M10+M11</f>
        <v>7975775</v>
      </c>
      <c r="N13" s="124">
        <f t="shared" si="13"/>
        <v>7975775</v>
      </c>
    </row>
    <row r="14" spans="1:14" s="125" customFormat="1">
      <c r="A14" s="123"/>
      <c r="B14" s="124"/>
      <c r="C14" s="124"/>
      <c r="D14" s="124"/>
      <c r="E14" s="124"/>
      <c r="F14" s="124"/>
      <c r="G14" s="124"/>
      <c r="H14" s="124"/>
      <c r="I14" s="124"/>
      <c r="J14" s="124"/>
      <c r="K14" s="124"/>
      <c r="L14" s="124"/>
      <c r="M14" s="124"/>
      <c r="N14" s="124"/>
    </row>
    <row r="15" spans="1:14">
      <c r="A15" s="100" t="s">
        <v>54</v>
      </c>
      <c r="B15" s="99"/>
      <c r="C15" s="99"/>
      <c r="D15" s="99"/>
      <c r="E15" s="99"/>
      <c r="F15" s="99"/>
      <c r="G15" s="99"/>
      <c r="H15" s="99"/>
      <c r="I15" s="99"/>
      <c r="J15" s="99"/>
      <c r="K15" s="99"/>
      <c r="L15" s="99"/>
      <c r="M15" s="99"/>
      <c r="N15" s="99"/>
    </row>
    <row r="16" spans="1:14" s="125" customFormat="1">
      <c r="A16" s="123" t="s">
        <v>99</v>
      </c>
      <c r="B16" s="124"/>
      <c r="C16" s="124">
        <v>71550</v>
      </c>
      <c r="D16" s="124">
        <v>65050</v>
      </c>
      <c r="E16" s="124">
        <v>60400</v>
      </c>
      <c r="F16" s="124">
        <v>77750</v>
      </c>
      <c r="G16" s="124">
        <v>62750</v>
      </c>
      <c r="H16" s="124">
        <v>39800</v>
      </c>
      <c r="I16" s="124">
        <v>35300</v>
      </c>
      <c r="J16" s="124">
        <v>8450</v>
      </c>
      <c r="K16" s="124">
        <v>26650</v>
      </c>
      <c r="L16" s="124">
        <v>0</v>
      </c>
      <c r="M16" s="124">
        <v>0</v>
      </c>
      <c r="N16" s="124">
        <v>0</v>
      </c>
    </row>
    <row r="17" spans="1:14" s="125" customFormat="1">
      <c r="A17" s="123" t="s">
        <v>71</v>
      </c>
      <c r="B17" s="124"/>
      <c r="C17" s="124"/>
      <c r="D17" s="124"/>
      <c r="E17" s="124"/>
      <c r="F17" s="124"/>
      <c r="G17" s="124"/>
      <c r="H17" s="124"/>
      <c r="I17" s="124"/>
      <c r="J17" s="124"/>
      <c r="K17" s="124"/>
      <c r="L17" s="124"/>
      <c r="M17" s="124"/>
      <c r="N17" s="124"/>
    </row>
    <row r="18" spans="1:14" s="125" customFormat="1">
      <c r="A18" s="123" t="s">
        <v>72</v>
      </c>
      <c r="B18" s="124"/>
      <c r="C18" s="124"/>
      <c r="D18" s="124"/>
      <c r="E18" s="124"/>
      <c r="F18" s="124"/>
      <c r="G18" s="124"/>
      <c r="H18" s="124"/>
      <c r="I18" s="124"/>
      <c r="J18" s="124"/>
      <c r="K18" s="124"/>
      <c r="L18" s="124"/>
      <c r="M18" s="124"/>
      <c r="N18" s="124"/>
    </row>
    <row r="19" spans="1:14" s="125" customFormat="1">
      <c r="A19" s="123" t="s">
        <v>73</v>
      </c>
      <c r="B19" s="124"/>
      <c r="C19" s="124">
        <v>0</v>
      </c>
      <c r="D19" s="124">
        <v>0</v>
      </c>
      <c r="E19" s="124">
        <v>0</v>
      </c>
      <c r="F19" s="124"/>
      <c r="G19" s="124"/>
      <c r="H19" s="124"/>
      <c r="I19" s="124"/>
      <c r="J19" s="124"/>
      <c r="K19" s="124"/>
      <c r="L19" s="124"/>
      <c r="M19" s="124"/>
      <c r="N19" s="124"/>
    </row>
    <row r="20" spans="1:14" s="125" customFormat="1">
      <c r="A20" s="123" t="s">
        <v>74</v>
      </c>
      <c r="B20" s="124"/>
      <c r="C20" s="124"/>
      <c r="D20" s="124"/>
      <c r="E20" s="124"/>
      <c r="F20" s="124"/>
      <c r="G20" s="124"/>
      <c r="H20" s="124"/>
      <c r="I20" s="124"/>
      <c r="J20" s="124"/>
      <c r="K20" s="124"/>
      <c r="L20" s="124"/>
      <c r="M20" s="124"/>
      <c r="N20" s="124"/>
    </row>
    <row r="21" spans="1:14" s="125" customFormat="1">
      <c r="A21" s="123" t="s">
        <v>75</v>
      </c>
      <c r="B21" s="124"/>
      <c r="C21" s="124"/>
      <c r="D21" s="124"/>
      <c r="E21" s="124"/>
      <c r="F21" s="124"/>
      <c r="G21" s="124"/>
      <c r="H21" s="124"/>
      <c r="I21" s="124"/>
      <c r="J21" s="124"/>
      <c r="K21" s="124"/>
      <c r="L21" s="124"/>
      <c r="M21" s="124"/>
      <c r="N21" s="124"/>
    </row>
    <row r="22" spans="1:14" s="125" customFormat="1">
      <c r="A22" s="123" t="s">
        <v>76</v>
      </c>
      <c r="B22" s="124"/>
      <c r="C22" s="124"/>
      <c r="D22" s="124"/>
      <c r="E22" s="124"/>
      <c r="F22" s="124"/>
      <c r="G22" s="124"/>
      <c r="H22" s="124"/>
      <c r="I22" s="124"/>
      <c r="J22" s="124"/>
      <c r="K22" s="124"/>
      <c r="L22" s="124"/>
      <c r="M22" s="124"/>
      <c r="N22" s="124"/>
    </row>
    <row r="23" spans="1:14" s="125" customFormat="1">
      <c r="A23" s="123" t="s">
        <v>77</v>
      </c>
      <c r="B23" s="124"/>
      <c r="C23" s="124"/>
      <c r="D23" s="124"/>
      <c r="E23" s="124"/>
      <c r="F23" s="124"/>
      <c r="G23" s="124"/>
      <c r="H23" s="124"/>
      <c r="I23" s="124"/>
      <c r="J23" s="124">
        <v>5</v>
      </c>
      <c r="K23" s="124"/>
      <c r="L23" s="124"/>
      <c r="M23" s="124"/>
      <c r="N23" s="124"/>
    </row>
    <row r="24" spans="1:14" s="125" customFormat="1">
      <c r="A24" s="123" t="s">
        <v>78</v>
      </c>
      <c r="B24" s="124"/>
      <c r="C24" s="124"/>
      <c r="D24" s="124"/>
      <c r="E24" s="124"/>
      <c r="F24" s="124"/>
      <c r="G24" s="124"/>
      <c r="H24" s="124"/>
      <c r="I24" s="124"/>
      <c r="J24" s="124"/>
      <c r="K24" s="124"/>
      <c r="L24" s="124"/>
      <c r="M24" s="124"/>
      <c r="N24" s="124"/>
    </row>
    <row r="25" spans="1:14" s="125" customFormat="1">
      <c r="A25" s="123" t="s">
        <v>100</v>
      </c>
      <c r="B25" s="124"/>
      <c r="C25" s="124">
        <v>27951.05</v>
      </c>
      <c r="D25" s="124">
        <v>19215.5</v>
      </c>
      <c r="E25" s="124">
        <v>2.5</v>
      </c>
      <c r="F25" s="124">
        <v>0</v>
      </c>
      <c r="G25" s="124">
        <v>0</v>
      </c>
      <c r="H25" s="124">
        <v>0</v>
      </c>
      <c r="I25" s="124">
        <v>0</v>
      </c>
      <c r="J25" s="124">
        <v>0</v>
      </c>
      <c r="K25" s="124">
        <v>0</v>
      </c>
      <c r="L25" s="124"/>
      <c r="M25" s="124"/>
      <c r="N25" s="124"/>
    </row>
    <row r="26" spans="1:14" s="125" customFormat="1">
      <c r="A26" s="123" t="s">
        <v>101</v>
      </c>
      <c r="B26" s="124"/>
      <c r="C26" s="124"/>
      <c r="D26" s="124"/>
      <c r="E26" s="124"/>
      <c r="F26" s="124"/>
      <c r="G26" s="124"/>
      <c r="H26" s="124"/>
      <c r="I26" s="124"/>
      <c r="J26" s="124"/>
      <c r="K26" s="124"/>
      <c r="L26" s="124"/>
      <c r="M26" s="124"/>
      <c r="N26" s="124"/>
    </row>
    <row r="27" spans="1:14" s="125" customFormat="1">
      <c r="A27" s="123" t="s">
        <v>102</v>
      </c>
      <c r="B27" s="124"/>
      <c r="C27" s="124">
        <v>21262</v>
      </c>
      <c r="D27" s="124">
        <v>13424.5</v>
      </c>
      <c r="E27" s="124">
        <v>12872.54</v>
      </c>
      <c r="F27" s="124">
        <v>11358.46</v>
      </c>
      <c r="G27" s="124">
        <f>10240+159+450</f>
        <v>10849</v>
      </c>
      <c r="H27" s="124">
        <f>9660+306+900</f>
        <v>10866</v>
      </c>
      <c r="I27" s="124">
        <f>9936+450+108</f>
        <v>10494</v>
      </c>
      <c r="J27" s="124">
        <f>11320+113+350</f>
        <v>11783</v>
      </c>
      <c r="K27" s="124">
        <f>11010+700+90+7007</f>
        <v>18807</v>
      </c>
      <c r="L27" s="124">
        <f>-1701.53+13840+59455</f>
        <v>71593.47</v>
      </c>
      <c r="M27" s="124">
        <f>922+13840+59455</f>
        <v>74217</v>
      </c>
      <c r="N27" s="124">
        <f>922+13840+59455</f>
        <v>74217</v>
      </c>
    </row>
    <row r="28" spans="1:14" s="125" customFormat="1">
      <c r="A28" s="123" t="s">
        <v>103</v>
      </c>
      <c r="B28" s="124"/>
      <c r="C28" s="124">
        <v>517681</v>
      </c>
      <c r="D28" s="124">
        <v>528945</v>
      </c>
      <c r="E28" s="124">
        <v>489201.35</v>
      </c>
      <c r="F28" s="124">
        <v>485459.65</v>
      </c>
      <c r="G28" s="124">
        <f>503397-6923.63</f>
        <v>496473.37</v>
      </c>
      <c r="H28" s="124">
        <f>464241-6613.98</f>
        <v>457627.02</v>
      </c>
      <c r="I28" s="124">
        <f>454033.5-15339.3</f>
        <v>438694.2</v>
      </c>
      <c r="J28" s="124">
        <f>430732.5-17165.5</f>
        <v>413567</v>
      </c>
      <c r="K28" s="124">
        <f>439620-12186.81</f>
        <v>427433.19</v>
      </c>
      <c r="L28" s="124">
        <v>435492</v>
      </c>
      <c r="M28" s="124">
        <v>438135</v>
      </c>
      <c r="N28" s="124">
        <v>438135</v>
      </c>
    </row>
    <row r="29" spans="1:14" s="125" customFormat="1">
      <c r="A29" s="141"/>
      <c r="B29" s="124"/>
      <c r="C29" s="124"/>
      <c r="D29" s="124"/>
      <c r="E29" s="124"/>
      <c r="F29" s="124"/>
      <c r="G29" s="124"/>
      <c r="H29" s="124"/>
      <c r="I29" s="124"/>
      <c r="J29" s="124"/>
      <c r="K29" s="124"/>
      <c r="L29" s="124"/>
      <c r="M29" s="124"/>
      <c r="N29" s="124"/>
    </row>
    <row r="30" spans="1:14" s="125" customFormat="1">
      <c r="A30" s="123"/>
      <c r="B30" s="124"/>
      <c r="C30" s="124"/>
      <c r="D30" s="124"/>
      <c r="E30" s="124"/>
      <c r="F30" s="124"/>
      <c r="G30" s="124"/>
      <c r="H30" s="124"/>
      <c r="I30" s="124"/>
      <c r="J30" s="124"/>
      <c r="K30" s="124"/>
      <c r="L30" s="124"/>
      <c r="M30" s="124"/>
      <c r="N30" s="124"/>
    </row>
    <row r="31" spans="1:14">
      <c r="A31" s="128" t="s">
        <v>69</v>
      </c>
      <c r="B31" s="104"/>
      <c r="C31" s="104"/>
      <c r="D31" s="104"/>
      <c r="E31" s="104"/>
      <c r="F31" s="104"/>
      <c r="G31" s="104"/>
      <c r="H31" s="104"/>
      <c r="I31" s="104"/>
      <c r="J31" s="104"/>
      <c r="K31" s="104"/>
      <c r="L31" s="104"/>
      <c r="M31" s="104"/>
      <c r="N31" s="104"/>
    </row>
    <row r="32" spans="1:14">
      <c r="A32" s="98" t="s">
        <v>55</v>
      </c>
      <c r="B32" s="99"/>
      <c r="C32" s="99">
        <f t="shared" ref="C32:D32" si="14">SUM(C15:C31)</f>
        <v>638444.05000000005</v>
      </c>
      <c r="D32" s="99">
        <f t="shared" si="14"/>
        <v>626635</v>
      </c>
      <c r="E32" s="99">
        <f>SUM(E15:E31)</f>
        <v>562476.39</v>
      </c>
      <c r="F32" s="99">
        <f>SUM(F15:F31)</f>
        <v>574568.11</v>
      </c>
      <c r="G32" s="99">
        <f>SUM(G15:G31)</f>
        <v>570072.37</v>
      </c>
      <c r="H32" s="99">
        <f t="shared" ref="H32:I32" si="15">SUM(H16:H31)</f>
        <v>508293.02</v>
      </c>
      <c r="I32" s="99">
        <f t="shared" si="15"/>
        <v>484488.2</v>
      </c>
      <c r="J32" s="99">
        <f t="shared" ref="J32:K32" si="16">SUM(J16:J31)</f>
        <v>433805</v>
      </c>
      <c r="K32" s="99">
        <f t="shared" si="16"/>
        <v>472890.19</v>
      </c>
      <c r="L32" s="99">
        <f t="shared" ref="L32" si="17">SUM(L16:L31)</f>
        <v>507085.47</v>
      </c>
      <c r="M32" s="99">
        <f t="shared" ref="M32:N32" si="18">SUM(M16:M31)</f>
        <v>512352</v>
      </c>
      <c r="N32" s="99">
        <f t="shared" si="18"/>
        <v>512352</v>
      </c>
    </row>
    <row r="33" spans="1:14">
      <c r="A33" s="98"/>
      <c r="B33" s="105"/>
      <c r="C33" s="106"/>
      <c r="D33" s="106"/>
      <c r="E33" s="107"/>
      <c r="F33" s="107"/>
      <c r="G33" s="107"/>
      <c r="H33" s="107"/>
      <c r="I33" s="107"/>
      <c r="J33" s="107"/>
      <c r="K33" s="107"/>
      <c r="L33" s="107"/>
      <c r="M33" s="107"/>
      <c r="N33" s="107"/>
    </row>
    <row r="34" spans="1:14">
      <c r="A34" s="98"/>
      <c r="B34" s="105"/>
      <c r="C34" s="106"/>
      <c r="D34" s="106"/>
      <c r="E34" s="107"/>
      <c r="F34" s="107"/>
      <c r="G34" s="107"/>
      <c r="H34" s="107"/>
      <c r="I34" s="107"/>
      <c r="J34" s="107"/>
      <c r="K34" s="107"/>
      <c r="L34" s="107"/>
      <c r="M34" s="107"/>
      <c r="N34" s="107"/>
    </row>
    <row r="35" spans="1:14">
      <c r="A35" s="100" t="s">
        <v>56</v>
      </c>
      <c r="B35" s="99"/>
      <c r="C35" s="99"/>
      <c r="D35" s="99"/>
      <c r="E35" s="99"/>
      <c r="F35" s="99"/>
      <c r="G35" s="99"/>
      <c r="H35" s="99"/>
      <c r="I35" s="99"/>
      <c r="J35" s="99"/>
      <c r="K35" s="99"/>
      <c r="L35" s="99"/>
      <c r="M35" s="99"/>
      <c r="N35" s="99"/>
    </row>
    <row r="36" spans="1:14" s="125" customFormat="1">
      <c r="A36" s="142" t="s">
        <v>79</v>
      </c>
      <c r="B36" s="124"/>
      <c r="C36" s="124"/>
      <c r="D36" s="124"/>
      <c r="E36" s="124"/>
      <c r="F36" s="124"/>
      <c r="G36" s="124"/>
      <c r="H36" s="124"/>
      <c r="I36" s="124"/>
      <c r="J36" s="124"/>
      <c r="K36" s="124"/>
      <c r="L36" s="124"/>
      <c r="M36" s="124"/>
      <c r="N36" s="124"/>
    </row>
    <row r="37" spans="1:14" s="125" customFormat="1">
      <c r="A37" s="142" t="s">
        <v>80</v>
      </c>
      <c r="B37" s="124"/>
      <c r="C37" s="124"/>
      <c r="D37" s="124"/>
      <c r="E37" s="124"/>
      <c r="F37" s="124"/>
      <c r="G37" s="124"/>
      <c r="H37" s="124"/>
      <c r="I37" s="124"/>
      <c r="J37" s="124"/>
      <c r="K37" s="124"/>
      <c r="L37" s="124"/>
      <c r="M37" s="124"/>
      <c r="N37" s="124"/>
    </row>
    <row r="38" spans="1:14" s="125" customFormat="1">
      <c r="A38" s="142" t="s">
        <v>81</v>
      </c>
      <c r="B38" s="124"/>
      <c r="C38" s="124"/>
      <c r="D38" s="124"/>
      <c r="E38" s="124"/>
      <c r="F38" s="124"/>
      <c r="G38" s="124"/>
      <c r="H38" s="124"/>
      <c r="I38" s="124"/>
      <c r="J38" s="124"/>
      <c r="K38" s="124"/>
      <c r="L38" s="124"/>
      <c r="M38" s="124"/>
      <c r="N38" s="124"/>
    </row>
    <row r="39" spans="1:14" s="125" customFormat="1">
      <c r="A39" s="142" t="s">
        <v>82</v>
      </c>
      <c r="B39" s="124"/>
      <c r="C39" s="124">
        <v>765</v>
      </c>
      <c r="D39" s="124">
        <v>685</v>
      </c>
      <c r="E39" s="124">
        <v>395</v>
      </c>
      <c r="F39" s="124">
        <v>510</v>
      </c>
      <c r="G39" s="124">
        <v>1335</v>
      </c>
      <c r="H39" s="124">
        <v>1870</v>
      </c>
      <c r="I39" s="124">
        <v>345</v>
      </c>
      <c r="J39" s="124">
        <v>120</v>
      </c>
      <c r="K39" s="124">
        <v>485</v>
      </c>
      <c r="L39" s="124">
        <v>0</v>
      </c>
      <c r="M39" s="124">
        <v>0</v>
      </c>
      <c r="N39" s="124">
        <v>0</v>
      </c>
    </row>
    <row r="40" spans="1:14" s="125" customFormat="1">
      <c r="A40" s="142" t="s">
        <v>83</v>
      </c>
      <c r="B40" s="124"/>
      <c r="C40" s="124">
        <v>248.95</v>
      </c>
      <c r="D40" s="124">
        <v>186.34</v>
      </c>
      <c r="E40" s="124">
        <v>83.35</v>
      </c>
      <c r="F40" s="124">
        <v>263.66000000000003</v>
      </c>
      <c r="G40" s="124">
        <v>393.93</v>
      </c>
      <c r="H40" s="124">
        <v>177.1</v>
      </c>
      <c r="I40" s="124">
        <v>0</v>
      </c>
      <c r="J40" s="124">
        <v>0</v>
      </c>
      <c r="K40" s="124">
        <v>0</v>
      </c>
      <c r="L40" s="124">
        <v>0</v>
      </c>
      <c r="M40" s="124">
        <v>0</v>
      </c>
      <c r="N40" s="124">
        <v>0</v>
      </c>
    </row>
    <row r="41" spans="1:14" s="125" customFormat="1">
      <c r="A41" s="142" t="s">
        <v>104</v>
      </c>
      <c r="B41" s="124"/>
      <c r="C41" s="124">
        <v>12244.94</v>
      </c>
      <c r="D41" s="124">
        <v>8971.6200000000008</v>
      </c>
      <c r="E41" s="124">
        <v>6948.75</v>
      </c>
      <c r="F41" s="124">
        <v>14311.75</v>
      </c>
      <c r="G41" s="124">
        <v>16672.5</v>
      </c>
      <c r="H41" s="124">
        <v>16404.75</v>
      </c>
      <c r="I41" s="124">
        <v>11802.25</v>
      </c>
      <c r="J41" s="124">
        <v>8834.75</v>
      </c>
      <c r="K41" s="124">
        <v>8546.4500000000007</v>
      </c>
      <c r="L41" s="124">
        <v>7942.75</v>
      </c>
      <c r="M41" s="124">
        <v>7903</v>
      </c>
      <c r="N41" s="124">
        <v>7903</v>
      </c>
    </row>
    <row r="42" spans="1:14" s="125" customFormat="1">
      <c r="A42" s="142" t="s">
        <v>84</v>
      </c>
      <c r="B42" s="124"/>
      <c r="C42" s="124"/>
      <c r="D42" s="124"/>
      <c r="E42" s="124"/>
      <c r="F42" s="124"/>
      <c r="G42" s="124"/>
      <c r="H42" s="124"/>
      <c r="I42" s="124"/>
      <c r="J42" s="124"/>
      <c r="K42" s="124"/>
      <c r="L42" s="124"/>
      <c r="M42" s="124"/>
      <c r="N42" s="124"/>
    </row>
    <row r="43" spans="1:14" s="125" customFormat="1">
      <c r="A43" s="142" t="s">
        <v>85</v>
      </c>
      <c r="B43" s="124"/>
      <c r="C43" s="124"/>
      <c r="D43" s="124"/>
      <c r="E43" s="124"/>
      <c r="F43" s="124"/>
      <c r="G43" s="124"/>
      <c r="H43" s="124"/>
      <c r="I43" s="124"/>
      <c r="J43" s="124"/>
      <c r="K43" s="124"/>
      <c r="L43" s="124"/>
      <c r="M43" s="124"/>
      <c r="N43" s="124"/>
    </row>
    <row r="44" spans="1:14" s="125" customFormat="1">
      <c r="A44" s="142" t="s">
        <v>86</v>
      </c>
      <c r="B44" s="124"/>
      <c r="C44" s="124"/>
      <c r="D44" s="124"/>
      <c r="E44" s="124"/>
      <c r="F44" s="124"/>
      <c r="G44" s="124"/>
      <c r="H44" s="124"/>
      <c r="I44" s="124"/>
      <c r="J44" s="124"/>
      <c r="K44" s="124"/>
      <c r="L44" s="124"/>
      <c r="M44" s="124"/>
      <c r="N44" s="124"/>
    </row>
    <row r="45" spans="1:14" s="125" customFormat="1">
      <c r="A45" s="142" t="s">
        <v>105</v>
      </c>
      <c r="B45" s="124"/>
      <c r="C45" s="124">
        <v>368328</v>
      </c>
      <c r="D45" s="124">
        <v>362323</v>
      </c>
      <c r="E45" s="124">
        <v>404354</v>
      </c>
      <c r="F45" s="124">
        <v>406664</v>
      </c>
      <c r="G45" s="124">
        <v>404933</v>
      </c>
      <c r="H45" s="124">
        <v>415803</v>
      </c>
      <c r="I45" s="124">
        <v>429167</v>
      </c>
      <c r="J45" s="124">
        <v>511365</v>
      </c>
      <c r="K45" s="124">
        <v>515466</v>
      </c>
      <c r="L45" s="124">
        <v>540791</v>
      </c>
      <c r="M45" s="124">
        <f>L45</f>
        <v>540791</v>
      </c>
      <c r="N45" s="124">
        <f>M45</f>
        <v>540791</v>
      </c>
    </row>
    <row r="46" spans="1:14" s="125" customFormat="1">
      <c r="A46" s="142" t="s">
        <v>106</v>
      </c>
      <c r="B46" s="124"/>
      <c r="C46" s="124">
        <v>-368328</v>
      </c>
      <c r="D46" s="124">
        <v>-362323</v>
      </c>
      <c r="E46" s="124">
        <v>-404354</v>
      </c>
      <c r="F46" s="124">
        <v>-406664</v>
      </c>
      <c r="G46" s="124">
        <v>-404933</v>
      </c>
      <c r="H46" s="124">
        <f>-H45</f>
        <v>-415803</v>
      </c>
      <c r="I46" s="182">
        <f>-I45</f>
        <v>-429167</v>
      </c>
      <c r="J46" s="182">
        <f>-J45</f>
        <v>-511365</v>
      </c>
      <c r="K46" s="182">
        <f>-K45</f>
        <v>-515466</v>
      </c>
      <c r="L46" s="182">
        <f t="shared" ref="L46" si="19">-L45</f>
        <v>-540791</v>
      </c>
      <c r="M46" s="182">
        <f>-M45</f>
        <v>-540791</v>
      </c>
      <c r="N46" s="182">
        <f t="shared" ref="N46" si="20">-N45</f>
        <v>-540791</v>
      </c>
    </row>
    <row r="47" spans="1:14" s="125" customFormat="1">
      <c r="A47" s="142" t="s">
        <v>107</v>
      </c>
      <c r="B47" s="124"/>
      <c r="C47" s="124"/>
      <c r="D47" s="124"/>
      <c r="E47" s="124"/>
      <c r="F47" s="124"/>
      <c r="G47" s="124"/>
      <c r="H47" s="124"/>
      <c r="I47" s="124"/>
      <c r="J47" s="124"/>
      <c r="K47" s="124"/>
      <c r="L47" s="124"/>
      <c r="M47" s="124"/>
      <c r="N47" s="124"/>
    </row>
    <row r="48" spans="1:14" s="125" customFormat="1">
      <c r="A48" s="142" t="s">
        <v>108</v>
      </c>
      <c r="B48" s="124"/>
      <c r="C48" s="124">
        <v>165.76</v>
      </c>
      <c r="D48" s="124">
        <v>3592.15</v>
      </c>
      <c r="E48" s="124">
        <v>49687.65</v>
      </c>
      <c r="F48" s="124">
        <v>100376.79</v>
      </c>
      <c r="G48" s="124">
        <v>188284.99</v>
      </c>
      <c r="H48" s="124">
        <v>432459.51</v>
      </c>
      <c r="I48" s="124">
        <v>212211.43</v>
      </c>
      <c r="J48" s="124">
        <v>58879.519999999997</v>
      </c>
      <c r="K48" s="124">
        <v>44328.72</v>
      </c>
      <c r="L48" s="124">
        <v>1012516.22</v>
      </c>
      <c r="M48" s="124">
        <v>1535190</v>
      </c>
      <c r="N48" s="124">
        <v>1535190</v>
      </c>
    </row>
    <row r="49" spans="1:14" s="125" customFormat="1">
      <c r="A49" s="142" t="s">
        <v>109</v>
      </c>
      <c r="B49" s="124"/>
      <c r="C49" s="124">
        <v>5719.28</v>
      </c>
      <c r="D49" s="124">
        <v>7214.35</v>
      </c>
      <c r="E49" s="124">
        <v>7958.51</v>
      </c>
      <c r="F49" s="124">
        <v>7068.03</v>
      </c>
      <c r="G49" s="124">
        <v>8465.1200000000008</v>
      </c>
      <c r="H49" s="124">
        <v>321.5</v>
      </c>
      <c r="I49" s="124">
        <v>957.01</v>
      </c>
      <c r="J49" s="124">
        <v>0</v>
      </c>
      <c r="K49" s="124">
        <v>0</v>
      </c>
      <c r="L49" s="124">
        <v>0</v>
      </c>
      <c r="M49" s="124">
        <v>0</v>
      </c>
      <c r="N49" s="124">
        <v>0</v>
      </c>
    </row>
    <row r="50" spans="1:14" s="125" customFormat="1">
      <c r="A50" s="142" t="s">
        <v>110</v>
      </c>
      <c r="B50" s="124"/>
      <c r="C50" s="124">
        <v>3181.5</v>
      </c>
      <c r="D50" s="124">
        <v>2541.5</v>
      </c>
      <c r="E50" s="124">
        <v>32430</v>
      </c>
      <c r="F50" s="124">
        <v>27810</v>
      </c>
      <c r="G50" s="124">
        <v>40022.5</v>
      </c>
      <c r="H50" s="124">
        <v>50642.5</v>
      </c>
      <c r="I50" s="124">
        <v>59941.5</v>
      </c>
      <c r="J50" s="124">
        <v>33301.480000000003</v>
      </c>
      <c r="K50" s="124">
        <v>58465.81</v>
      </c>
      <c r="L50" s="124">
        <v>66829.759999999995</v>
      </c>
      <c r="M50" s="124">
        <v>67506</v>
      </c>
      <c r="N50" s="124">
        <v>67506</v>
      </c>
    </row>
    <row r="51" spans="1:14" s="125" customFormat="1">
      <c r="A51" s="142" t="s">
        <v>111</v>
      </c>
      <c r="B51" s="124"/>
      <c r="C51" s="124">
        <v>73621.17</v>
      </c>
      <c r="D51" s="124">
        <v>176023.15999999997</v>
      </c>
      <c r="E51" s="124">
        <v>113101.82</v>
      </c>
      <c r="F51" s="124">
        <v>114378.63</v>
      </c>
      <c r="G51" s="124">
        <f>222086.83+69314.86</f>
        <v>291401.69</v>
      </c>
      <c r="H51" s="124">
        <f>199856.11+82246.18-2705.81</f>
        <v>279396.47999999998</v>
      </c>
      <c r="I51" s="124">
        <f>257113.36+91298.82+1651.07</f>
        <v>350063.25</v>
      </c>
      <c r="J51" s="124">
        <f>52500+115497+102128.03</f>
        <v>270125.03000000003</v>
      </c>
      <c r="K51" s="124">
        <f>66097+90564.42+109290.85</f>
        <v>265952.27</v>
      </c>
      <c r="L51" s="124">
        <f>320335.38+409404.97</f>
        <v>729740.35</v>
      </c>
      <c r="M51" s="124">
        <f>220000+418000+513897+316142</f>
        <v>1468039</v>
      </c>
      <c r="N51" s="124">
        <f>220000+418000+513897+316142</f>
        <v>1468039</v>
      </c>
    </row>
    <row r="52" spans="1:14" s="125" customFormat="1">
      <c r="A52" s="142" t="s">
        <v>112</v>
      </c>
      <c r="B52" s="124"/>
      <c r="C52" s="124">
        <v>12736795.380000001</v>
      </c>
      <c r="D52" s="124">
        <v>13142370.52</v>
      </c>
      <c r="E52" s="124">
        <v>13636427.210000001</v>
      </c>
      <c r="F52" s="124">
        <v>13451983.5</v>
      </c>
      <c r="G52" s="124">
        <v>13637060.300000001</v>
      </c>
      <c r="H52" s="124">
        <v>13618247.9</v>
      </c>
      <c r="I52" s="124">
        <v>13932165.5</v>
      </c>
      <c r="J52" s="124">
        <v>14340025.5</v>
      </c>
      <c r="K52" s="124">
        <v>14778188.699999999</v>
      </c>
      <c r="L52" s="124">
        <v>15289217.5</v>
      </c>
      <c r="M52" s="124">
        <v>15680987</v>
      </c>
      <c r="N52" s="124">
        <v>15993443</v>
      </c>
    </row>
    <row r="53" spans="1:14" s="125" customFormat="1">
      <c r="A53" s="142" t="s">
        <v>113</v>
      </c>
      <c r="B53" s="124"/>
      <c r="C53" s="124">
        <v>18150760.379999999</v>
      </c>
      <c r="D53" s="124">
        <v>22166897.52</v>
      </c>
      <c r="E53" s="124">
        <v>21784046.73</v>
      </c>
      <c r="F53" s="124">
        <v>23822232.629999999</v>
      </c>
      <c r="G53" s="124">
        <v>23813277.780000001</v>
      </c>
      <c r="H53" s="124">
        <v>25184024.98</v>
      </c>
      <c r="I53" s="124">
        <v>25056778.550000001</v>
      </c>
      <c r="J53" s="124">
        <v>25083237.050000001</v>
      </c>
      <c r="K53" s="124">
        <v>25455946.460000001</v>
      </c>
      <c r="L53" s="124">
        <v>25312696.370000001</v>
      </c>
      <c r="M53" s="124">
        <v>26878890</v>
      </c>
      <c r="N53" s="124">
        <v>30051598</v>
      </c>
    </row>
    <row r="54" spans="1:14" s="125" customFormat="1">
      <c r="A54" s="142"/>
      <c r="B54" s="124"/>
      <c r="C54" s="124"/>
      <c r="D54" s="124"/>
      <c r="E54" s="124"/>
      <c r="F54" s="124"/>
      <c r="G54" s="124"/>
      <c r="H54" s="124"/>
      <c r="I54" s="124"/>
      <c r="J54" s="124"/>
      <c r="K54" s="124"/>
      <c r="L54" s="124"/>
      <c r="M54" s="124"/>
      <c r="N54" s="124"/>
    </row>
    <row r="55" spans="1:14" s="125" customFormat="1">
      <c r="A55" s="123"/>
      <c r="B55" s="124"/>
      <c r="C55" s="124"/>
      <c r="D55" s="124"/>
      <c r="E55" s="124"/>
      <c r="F55" s="124"/>
      <c r="G55" s="124"/>
      <c r="H55" s="124"/>
      <c r="I55" s="124"/>
      <c r="J55" s="124"/>
      <c r="K55" s="124"/>
      <c r="L55" s="124"/>
      <c r="M55" s="124"/>
      <c r="N55" s="124"/>
    </row>
    <row r="56" spans="1:14">
      <c r="A56" s="128" t="s">
        <v>69</v>
      </c>
      <c r="B56" s="104"/>
      <c r="C56" s="104"/>
      <c r="D56" s="104"/>
      <c r="E56" s="104"/>
      <c r="F56" s="104"/>
      <c r="G56" s="104"/>
      <c r="H56" s="104"/>
      <c r="I56" s="104"/>
      <c r="J56" s="104"/>
      <c r="K56" s="104"/>
      <c r="L56" s="104"/>
      <c r="M56" s="104"/>
      <c r="N56" s="104"/>
    </row>
    <row r="57" spans="1:14">
      <c r="A57" s="98" t="s">
        <v>57</v>
      </c>
      <c r="B57" s="99"/>
      <c r="C57" s="99">
        <f>SUM(C35:C56)</f>
        <v>30983502.359999999</v>
      </c>
      <c r="D57" s="99">
        <f t="shared" ref="D57:G57" si="21">SUM(D35:D56)</f>
        <v>35508482.159999996</v>
      </c>
      <c r="E57" s="99">
        <f t="shared" si="21"/>
        <v>35631079.020000003</v>
      </c>
      <c r="F57" s="99">
        <f t="shared" si="21"/>
        <v>37538934.989999995</v>
      </c>
      <c r="G57" s="99">
        <f t="shared" si="21"/>
        <v>37996913.810000002</v>
      </c>
      <c r="H57" s="99">
        <f t="shared" ref="H57:I57" si="22">SUM(H36:H56)</f>
        <v>39583544.719999999</v>
      </c>
      <c r="I57" s="99">
        <f t="shared" si="22"/>
        <v>39624264.490000002</v>
      </c>
      <c r="J57" s="99">
        <f t="shared" ref="J57:K57" si="23">SUM(J36:J56)</f>
        <v>39794523.329999998</v>
      </c>
      <c r="K57" s="99">
        <f t="shared" si="23"/>
        <v>40611913.409999996</v>
      </c>
      <c r="L57" s="99">
        <f t="shared" ref="L57" si="24">SUM(L36:L56)</f>
        <v>42418942.950000003</v>
      </c>
      <c r="M57" s="99">
        <f t="shared" ref="M57:N57" si="25">SUM(M36:M56)</f>
        <v>45638515</v>
      </c>
      <c r="N57" s="99">
        <f t="shared" si="25"/>
        <v>49123679</v>
      </c>
    </row>
    <row r="58" spans="1:14">
      <c r="A58" s="98"/>
      <c r="B58" s="99"/>
      <c r="C58" s="99"/>
      <c r="D58" s="99"/>
      <c r="E58" s="99"/>
      <c r="F58" s="99"/>
      <c r="G58" s="99"/>
      <c r="H58" s="99"/>
      <c r="I58" s="99"/>
      <c r="J58" s="99"/>
      <c r="K58" s="99"/>
      <c r="L58" s="99"/>
      <c r="M58" s="99"/>
      <c r="N58" s="99"/>
    </row>
    <row r="59" spans="1:14">
      <c r="A59" s="98" t="s">
        <v>58</v>
      </c>
      <c r="B59" s="99"/>
      <c r="C59" s="99">
        <f>C57+C32+C13</f>
        <v>38953307.200000003</v>
      </c>
      <c r="D59" s="99">
        <f>D57+D32+D13</f>
        <v>43753781.229999997</v>
      </c>
      <c r="E59" s="99">
        <f t="shared" ref="E59:I59" si="26">E57+E32+E13</f>
        <v>43294733.450000003</v>
      </c>
      <c r="F59" s="99">
        <f t="shared" si="26"/>
        <v>45299834.899999991</v>
      </c>
      <c r="G59" s="99">
        <f t="shared" si="26"/>
        <v>46216558.240000002</v>
      </c>
      <c r="H59" s="99">
        <f t="shared" si="26"/>
        <v>47696942</v>
      </c>
      <c r="I59" s="99">
        <f t="shared" si="26"/>
        <v>47754890.580000006</v>
      </c>
      <c r="J59" s="99">
        <f t="shared" ref="J59:K59" si="27">J57+J32+J13</f>
        <v>47418341.899999999</v>
      </c>
      <c r="K59" s="99">
        <f t="shared" si="27"/>
        <v>48845396.749999993</v>
      </c>
      <c r="L59" s="99">
        <f t="shared" ref="L59" si="28">L57+L32+L13</f>
        <v>51479346.409999996</v>
      </c>
      <c r="M59" s="99">
        <f t="shared" ref="M59:N59" si="29">M57+M32+M13</f>
        <v>54126642</v>
      </c>
      <c r="N59" s="99">
        <f t="shared" si="29"/>
        <v>57611806</v>
      </c>
    </row>
    <row r="60" spans="1:14">
      <c r="A60" s="98"/>
      <c r="B60" s="99"/>
      <c r="C60" s="99"/>
      <c r="D60" s="99"/>
      <c r="E60" s="99"/>
      <c r="F60" s="99"/>
      <c r="G60" s="99"/>
      <c r="H60" s="99"/>
      <c r="I60" s="99"/>
      <c r="J60" s="99"/>
      <c r="K60" s="99"/>
      <c r="L60" s="99"/>
      <c r="M60" s="99"/>
      <c r="N60" s="99"/>
    </row>
    <row r="61" spans="1:14">
      <c r="A61" s="98" t="s">
        <v>59</v>
      </c>
      <c r="B61" s="99"/>
      <c r="C61" s="101">
        <f>C59+C4</f>
        <v>53991113.200000003</v>
      </c>
      <c r="D61" s="101">
        <f>D59+D4</f>
        <v>60478438.520000011</v>
      </c>
      <c r="E61" s="101">
        <f t="shared" ref="E61:I61" si="30">E59+E4</f>
        <v>62864638.140000015</v>
      </c>
      <c r="F61" s="101">
        <f t="shared" si="30"/>
        <v>66601884.550000012</v>
      </c>
      <c r="G61" s="101">
        <f t="shared" si="30"/>
        <v>68916097.890000015</v>
      </c>
      <c r="H61" s="101">
        <f t="shared" si="30"/>
        <v>72279521.670000017</v>
      </c>
      <c r="I61" s="101">
        <f t="shared" si="30"/>
        <v>72017845.300000012</v>
      </c>
      <c r="J61" s="101">
        <f t="shared" ref="J61:K61" si="31">J59+J4</f>
        <v>73663081.670000017</v>
      </c>
      <c r="K61" s="101">
        <f t="shared" si="31"/>
        <v>75761682.000000015</v>
      </c>
      <c r="L61" s="101">
        <f t="shared" ref="L61" si="32">L59+L4</f>
        <v>78518761.74000001</v>
      </c>
      <c r="M61" s="101">
        <f t="shared" ref="M61:N61" si="33">M59+M4</f>
        <v>81190917.720000014</v>
      </c>
      <c r="N61" s="101">
        <f t="shared" si="33"/>
        <v>84676081.720000014</v>
      </c>
    </row>
    <row r="62" spans="1:14">
      <c r="A62" s="98"/>
      <c r="B62" s="99"/>
      <c r="C62" s="101"/>
      <c r="D62" s="101"/>
      <c r="E62" s="101"/>
      <c r="F62" s="101"/>
      <c r="G62" s="101"/>
      <c r="H62" s="101"/>
      <c r="I62" s="101"/>
      <c r="J62" s="101"/>
      <c r="K62" s="101"/>
      <c r="L62" s="101"/>
      <c r="M62" s="101"/>
      <c r="N62" s="101"/>
    </row>
    <row r="63" spans="1:14">
      <c r="A63" s="98" t="s">
        <v>60</v>
      </c>
      <c r="B63" s="124"/>
      <c r="C63" s="120">
        <v>-37266455.909999996</v>
      </c>
      <c r="D63" s="120">
        <v>-40898533.830000006</v>
      </c>
      <c r="E63" s="120">
        <v>-41552588.489999995</v>
      </c>
      <c r="F63" s="120">
        <f>-42740388.57-1161956.33+29693.5</f>
        <v>-43872651.399999999</v>
      </c>
      <c r="G63" s="120">
        <f>-43245155.27-1088362.95+14491.5</f>
        <v>-44319026.720000006</v>
      </c>
      <c r="H63" s="120">
        <f>-47035387.92-348960.72+28121-632218.31</f>
        <v>-47988445.950000003</v>
      </c>
      <c r="I63" s="120">
        <f>-43992084.69-1781020.84+48994.13</f>
        <v>-45724111.399999999</v>
      </c>
      <c r="J63" s="120">
        <f>-45687734.87-1059061.55+45226</f>
        <v>-46701570.419999994</v>
      </c>
      <c r="K63" s="120">
        <f>-47865918.06-856348.61+115244</f>
        <v>-48607022.670000002</v>
      </c>
      <c r="L63" s="120">
        <f>-51786436.9+331950.88+72054</f>
        <v>-51382432.019999996</v>
      </c>
      <c r="M63" s="120">
        <f>-59147497+5020855+96500</f>
        <v>-54030142</v>
      </c>
      <c r="N63" s="120">
        <f>-61430810+3819004+90563</f>
        <v>-57521243</v>
      </c>
    </row>
    <row r="64" spans="1:14">
      <c r="A64" s="98" t="s">
        <v>61</v>
      </c>
      <c r="B64" s="124"/>
      <c r="C64" s="120">
        <v>0</v>
      </c>
      <c r="D64" s="120">
        <v>-10000</v>
      </c>
      <c r="E64" s="120">
        <v>-10000</v>
      </c>
      <c r="F64" s="120">
        <v>-29693.5</v>
      </c>
      <c r="G64" s="120">
        <v>-14491.5</v>
      </c>
      <c r="H64" s="120">
        <v>-28121</v>
      </c>
      <c r="I64" s="120">
        <v>-48994.13</v>
      </c>
      <c r="J64" s="120">
        <v>-45226</v>
      </c>
      <c r="K64" s="120">
        <v>-115244</v>
      </c>
      <c r="L64" s="120">
        <v>-72054</v>
      </c>
      <c r="M64" s="120">
        <v>-96500</v>
      </c>
      <c r="N64" s="120">
        <v>-90563</v>
      </c>
    </row>
    <row r="65" spans="1:14">
      <c r="A65" s="98" t="s">
        <v>62</v>
      </c>
      <c r="B65" s="124"/>
      <c r="C65" s="120">
        <v>0</v>
      </c>
      <c r="D65" s="120">
        <v>0</v>
      </c>
      <c r="E65" s="120">
        <v>0</v>
      </c>
      <c r="F65" s="120">
        <v>0</v>
      </c>
      <c r="G65" s="120">
        <v>0</v>
      </c>
      <c r="H65" s="120">
        <v>0</v>
      </c>
      <c r="I65" s="120">
        <v>0</v>
      </c>
      <c r="J65" s="120">
        <v>0</v>
      </c>
      <c r="K65" s="120">
        <v>0</v>
      </c>
      <c r="L65" s="120">
        <v>0</v>
      </c>
      <c r="M65" s="120">
        <v>0</v>
      </c>
      <c r="N65" s="120">
        <v>0</v>
      </c>
    </row>
    <row r="66" spans="1:14">
      <c r="A66" s="9" t="s">
        <v>63</v>
      </c>
      <c r="B66" s="143"/>
      <c r="C66" s="144">
        <v>-16724656.91</v>
      </c>
      <c r="D66" s="146">
        <v>-19569904.309999999</v>
      </c>
      <c r="E66" s="146">
        <v>-21302049.27</v>
      </c>
      <c r="F66" s="146">
        <v>-22699539.27</v>
      </c>
      <c r="G66" s="146">
        <v>-24582579.289999999</v>
      </c>
      <c r="H66" s="146">
        <f>-24895172.68+632218.31</f>
        <v>-24262954.370000001</v>
      </c>
      <c r="I66" s="146">
        <v>-26244739.420000002</v>
      </c>
      <c r="J66" s="146">
        <v>-26916284.899999999</v>
      </c>
      <c r="K66" s="146">
        <v>-27039414.98</v>
      </c>
      <c r="L66" s="146">
        <v>-27064275.370000001</v>
      </c>
      <c r="M66" s="146">
        <f>+L66</f>
        <v>-27064275.370000001</v>
      </c>
      <c r="N66" s="146">
        <f>+M66</f>
        <v>-27064275.370000001</v>
      </c>
    </row>
    <row r="67" spans="1:14">
      <c r="A67" s="103" t="s">
        <v>64</v>
      </c>
      <c r="B67" s="95"/>
      <c r="C67" s="109">
        <f>C66+C65+C64+C63+C61</f>
        <v>0.38000001013278961</v>
      </c>
      <c r="D67" s="109">
        <f>D66+D65+D64+D63+D61</f>
        <v>0.38000001013278961</v>
      </c>
      <c r="E67" s="109">
        <f t="shared" ref="E67:G67" si="34">E66+E65+E64+E63+E61</f>
        <v>0.38000002503395081</v>
      </c>
      <c r="F67" s="109">
        <f t="shared" si="34"/>
        <v>0.38000001013278961</v>
      </c>
      <c r="G67" s="109">
        <f t="shared" si="34"/>
        <v>0.38000001013278961</v>
      </c>
      <c r="H67" s="109">
        <f t="shared" ref="H67:I67" si="35">SUM(H61:H66)</f>
        <v>0.35000001266598701</v>
      </c>
      <c r="I67" s="109">
        <f t="shared" si="35"/>
        <v>0.35000001266598701</v>
      </c>
      <c r="J67" s="109">
        <f t="shared" ref="J67:K67" si="36">SUM(J61:J66)</f>
        <v>0.35000002384185791</v>
      </c>
      <c r="K67" s="109">
        <f t="shared" si="36"/>
        <v>0.35000001266598701</v>
      </c>
      <c r="L67" s="109">
        <f t="shared" ref="L67" si="37">SUM(L61:L66)</f>
        <v>0.35000001266598701</v>
      </c>
      <c r="M67" s="109">
        <f t="shared" ref="M67:N67" si="38">SUM(M61:M66)</f>
        <v>0.35000001266598701</v>
      </c>
      <c r="N67" s="109">
        <f t="shared" si="38"/>
        <v>0.35000001266598701</v>
      </c>
    </row>
    <row r="68" spans="1:14">
      <c r="A68" s="98"/>
      <c r="B68" s="119"/>
      <c r="C68" s="126"/>
      <c r="D68" s="126"/>
      <c r="E68" s="126"/>
      <c r="F68" s="126"/>
      <c r="G68" s="126"/>
      <c r="H68" s="126"/>
      <c r="I68" s="126"/>
      <c r="J68" s="126"/>
      <c r="K68" s="126"/>
      <c r="L68" s="126"/>
      <c r="M68" s="126"/>
      <c r="N68" s="126"/>
    </row>
    <row r="69" spans="1:14">
      <c r="A69" s="98" t="s">
        <v>65</v>
      </c>
      <c r="B69" s="119"/>
      <c r="C69" s="126">
        <v>37266455.909999996</v>
      </c>
      <c r="D69" s="126">
        <v>40898533.830000006</v>
      </c>
      <c r="E69" s="126">
        <v>41552588.489999995</v>
      </c>
      <c r="F69" s="126">
        <v>43872651.399999999</v>
      </c>
      <c r="G69" s="126">
        <v>44319026.720000006</v>
      </c>
      <c r="H69" s="126">
        <f t="shared" ref="H69:I69" si="39">-H63</f>
        <v>47988445.950000003</v>
      </c>
      <c r="I69" s="126">
        <f t="shared" si="39"/>
        <v>45724111.399999999</v>
      </c>
      <c r="J69" s="126">
        <f t="shared" ref="J69:K69" si="40">-J63</f>
        <v>46701570.419999994</v>
      </c>
      <c r="K69" s="126">
        <f t="shared" si="40"/>
        <v>48607022.670000002</v>
      </c>
      <c r="L69" s="126">
        <f t="shared" ref="L69" si="41">-L63</f>
        <v>51382432.019999996</v>
      </c>
      <c r="M69" s="126">
        <f t="shared" ref="M69:N69" si="42">-M63</f>
        <v>54030142</v>
      </c>
      <c r="N69" s="126">
        <f t="shared" si="42"/>
        <v>57521243</v>
      </c>
    </row>
    <row r="70" spans="1:14">
      <c r="A70" s="98" t="s">
        <v>66</v>
      </c>
      <c r="B70" s="119"/>
      <c r="C70" s="126"/>
      <c r="D70" s="126">
        <v>10000</v>
      </c>
      <c r="E70" s="126">
        <v>10000</v>
      </c>
      <c r="F70" s="126">
        <v>29693.5</v>
      </c>
      <c r="G70" s="126">
        <v>14491.5</v>
      </c>
      <c r="H70" s="126">
        <f t="shared" ref="H70:L70" si="43">-H64</f>
        <v>28121</v>
      </c>
      <c r="I70" s="126">
        <f t="shared" si="43"/>
        <v>48994.13</v>
      </c>
      <c r="J70" s="126">
        <f t="shared" si="43"/>
        <v>45226</v>
      </c>
      <c r="K70" s="126">
        <f t="shared" si="43"/>
        <v>115244</v>
      </c>
      <c r="L70" s="126">
        <f t="shared" si="43"/>
        <v>72054</v>
      </c>
      <c r="M70" s="126">
        <f t="shared" ref="M70:N70" si="44">-M64</f>
        <v>96500</v>
      </c>
      <c r="N70" s="126">
        <f t="shared" si="44"/>
        <v>90563</v>
      </c>
    </row>
    <row r="71" spans="1:14">
      <c r="A71" s="98" t="s">
        <v>67</v>
      </c>
      <c r="B71" s="119"/>
      <c r="C71" s="127"/>
      <c r="D71" s="127"/>
      <c r="E71" s="127"/>
      <c r="F71" s="127"/>
      <c r="G71" s="127"/>
      <c r="H71" s="127"/>
      <c r="I71" s="127"/>
      <c r="J71" s="127"/>
      <c r="K71" s="127"/>
      <c r="L71" s="127"/>
      <c r="M71" s="127"/>
      <c r="N71" s="127"/>
    </row>
    <row r="72" spans="1:14">
      <c r="A72" s="103" t="s">
        <v>68</v>
      </c>
      <c r="B72" s="139"/>
      <c r="C72" s="145">
        <f>SUM(C69:C71)</f>
        <v>37266455.909999996</v>
      </c>
      <c r="D72" s="145">
        <f t="shared" ref="D72:G72" si="45">SUM(D69:D71)</f>
        <v>40908533.830000006</v>
      </c>
      <c r="E72" s="145">
        <f t="shared" si="45"/>
        <v>41562588.489999995</v>
      </c>
      <c r="F72" s="145">
        <f t="shared" si="45"/>
        <v>43902344.899999999</v>
      </c>
      <c r="G72" s="145">
        <f t="shared" si="45"/>
        <v>44333518.220000006</v>
      </c>
      <c r="H72" s="145">
        <f t="shared" ref="H72:I72" si="46">SUM(H69:H70)</f>
        <v>48016566.950000003</v>
      </c>
      <c r="I72" s="145">
        <f t="shared" si="46"/>
        <v>45773105.530000001</v>
      </c>
      <c r="J72" s="145">
        <f t="shared" ref="J72:K72" si="47">SUM(J69:J70)</f>
        <v>46746796.419999994</v>
      </c>
      <c r="K72" s="145">
        <f t="shared" si="47"/>
        <v>48722266.670000002</v>
      </c>
      <c r="L72" s="145">
        <f t="shared" ref="L72" si="48">SUM(L69:L70)</f>
        <v>51454486.019999996</v>
      </c>
      <c r="M72" s="145">
        <f t="shared" ref="M72:N72" si="49">SUM(M69:M70)</f>
        <v>54126642</v>
      </c>
      <c r="N72" s="145">
        <f t="shared" si="49"/>
        <v>57611806</v>
      </c>
    </row>
    <row r="75" spans="1:14">
      <c r="F75" s="108"/>
    </row>
    <row r="77" spans="1:14">
      <c r="C77" s="108"/>
      <c r="F77" s="108"/>
      <c r="G77" s="108"/>
    </row>
  </sheetData>
  <sheetProtection formatColumns="0" insertRows="0" selectLockedCells="1"/>
  <dataValidations disablePrompts="1" count="1">
    <dataValidation type="whole" operator="lessThan" allowBlank="1" showErrorMessage="1" prompt="Amount must be negative." sqref="C8:C9 C11 C63:C66" xr:uid="{00000000-0002-0000-0300-000000000000}">
      <formula1>0</formula1>
    </dataValidation>
  </dataValidations>
  <pageMargins left="0.6" right="0.3" top="0.75" bottom="0.3" header="0.05" footer="0.25"/>
  <pageSetup scale="75" orientation="landscape" r:id="rId1"/>
  <headerFooter>
    <oddHeader>&amp;C&amp;"-,Bold"&amp;22Northeast Community College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Enrollment &amp; Tuition Summary</vt:lpstr>
      <vt:lpstr>Student Fee Schedule</vt:lpstr>
      <vt:lpstr>Student Financial Aid</vt:lpstr>
      <vt:lpstr>Cash Fund Revenue Summary</vt:lpstr>
      <vt:lpstr>'Cash Fund Revenue Summary'!Print_Area</vt:lpstr>
      <vt:lpstr>'Enrollment &amp; Tuition Summary'!Print_Area</vt:lpstr>
      <vt:lpstr>'Student Fee Schedule'!Print_Area</vt:lpstr>
      <vt:lpstr>'Student Financial Aid'!Print_Area</vt:lpstr>
      <vt:lpstr>'Enrollment &amp; Tuition Summary'!Print_Titles</vt:lpstr>
      <vt:lpstr>'Student Financial Aid'!Print_Titles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2021-12-10T17:52:50Z</dcterms:created>
  <dcterms:modified xsi:type="dcterms:W3CDTF">2024-04-24T21:31:06Z</dcterms:modified>
</cp:coreProperties>
</file>