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FC6765F5-6188-4C7D-8C4F-59C87FE8B89E}" xr6:coauthVersionLast="47" xr6:coauthVersionMax="47" xr10:uidLastSave="{00000000-0000-0000-0000-000000000000}"/>
  <bookViews>
    <workbookView xWindow="-120" yWindow="-120" windowWidth="29040" windowHeight="17640" tabRatio="787" xr2:uid="{00000000-000D-0000-FFFF-FFFF00000000}"/>
  </bookViews>
  <sheets>
    <sheet name="Enrollment &amp; Tuition Summary" sheetId="1" r:id="rId1"/>
    <sheet name="Student Fee Schedule" sheetId="5" r:id="rId2"/>
    <sheet name="Student Financial Aid" sheetId="10" r:id="rId3"/>
    <sheet name="Cash Fund Revenue Summary" sheetId="8" r:id="rId4"/>
  </sheets>
  <definedNames>
    <definedName name="_2017_18_CCPE_Headcount" localSheetId="2">#REF!</definedName>
    <definedName name="_2017_18_CCPE_Headcount">#REF!</definedName>
    <definedName name="_xlnm.Print_Area" localSheetId="3">'Cash Fund Revenue Summary'!$A$1:$H$72</definedName>
    <definedName name="_xlnm.Print_Area" localSheetId="0">'Enrollment &amp; Tuition Summary'!$D$3:$AG$33</definedName>
    <definedName name="_xlnm.Print_Area" localSheetId="1">'Student Fee Schedule'!$B$1:$AJ$35</definedName>
    <definedName name="_xlnm.Print_Area" localSheetId="2">'Student Financial Aid'!$L$7:$AD$124</definedName>
    <definedName name="_xlnm.Print_Titles" localSheetId="0">'Enrollment &amp; Tuition Summary'!$A$1:$IU$2</definedName>
    <definedName name="_xlnm.Print_Titles" localSheetId="2">'Student Financial Aid'!$A:$A,'Student Financial Aid'!$1:$6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113" i="10" l="1"/>
  <c r="AZ113" i="10"/>
  <c r="AP113" i="10"/>
  <c r="AF113" i="10"/>
  <c r="V113" i="10"/>
  <c r="L113" i="10"/>
  <c r="B113" i="10"/>
  <c r="BJ110" i="10"/>
  <c r="AZ110" i="10"/>
  <c r="AP110" i="10"/>
  <c r="AF110" i="10"/>
  <c r="V110" i="10"/>
  <c r="L110" i="10"/>
  <c r="B110" i="10"/>
  <c r="BJ108" i="10"/>
  <c r="AZ108" i="10"/>
  <c r="AP108" i="10"/>
  <c r="AF108" i="10"/>
  <c r="V108" i="10"/>
  <c r="L108" i="10"/>
  <c r="B108" i="10"/>
  <c r="BJ104" i="10"/>
  <c r="BK104" i="10" s="1"/>
  <c r="AZ104" i="10"/>
  <c r="BA104" i="10" s="1"/>
  <c r="AP104" i="10"/>
  <c r="AQ104" i="10" s="1"/>
  <c r="AF104" i="10"/>
  <c r="AG104" i="10" s="1"/>
  <c r="V104" i="10"/>
  <c r="W104" i="10" s="1"/>
  <c r="L104" i="10"/>
  <c r="M104" i="10" s="1"/>
  <c r="B104" i="10"/>
  <c r="C104" i="10" s="1"/>
  <c r="BR98" i="10"/>
  <c r="BQ98" i="10"/>
  <c r="BP98" i="10"/>
  <c r="BO98" i="10"/>
  <c r="BN98" i="10"/>
  <c r="BM98" i="10"/>
  <c r="BJ98" i="10"/>
  <c r="BH98" i="10"/>
  <c r="BG98" i="10"/>
  <c r="BF98" i="10"/>
  <c r="BE98" i="10"/>
  <c r="BD98" i="10"/>
  <c r="BC98" i="10"/>
  <c r="AZ98" i="10"/>
  <c r="AX98" i="10"/>
  <c r="AW98" i="10"/>
  <c r="AV98" i="10"/>
  <c r="AU98" i="10"/>
  <c r="AT98" i="10"/>
  <c r="AS98" i="10"/>
  <c r="AP98" i="10"/>
  <c r="AN98" i="10"/>
  <c r="AM98" i="10"/>
  <c r="AL98" i="10"/>
  <c r="AK98" i="10"/>
  <c r="AJ98" i="10"/>
  <c r="AI98" i="10"/>
  <c r="AF98" i="10"/>
  <c r="AD98" i="10"/>
  <c r="AC98" i="10"/>
  <c r="AB98" i="10"/>
  <c r="AA98" i="10"/>
  <c r="Z98" i="10"/>
  <c r="Y98" i="10"/>
  <c r="V98" i="10"/>
  <c r="T98" i="10"/>
  <c r="S98" i="10"/>
  <c r="R98" i="10"/>
  <c r="Q98" i="10"/>
  <c r="P98" i="10"/>
  <c r="O98" i="10"/>
  <c r="L98" i="10"/>
  <c r="J98" i="10"/>
  <c r="I98" i="10"/>
  <c r="H98" i="10"/>
  <c r="G98" i="10"/>
  <c r="F98" i="10"/>
  <c r="E98" i="10"/>
  <c r="B98" i="10"/>
  <c r="BS96" i="10"/>
  <c r="BK96" i="10"/>
  <c r="BL96" i="10" s="1"/>
  <c r="BI96" i="10"/>
  <c r="BB96" i="10"/>
  <c r="BA96" i="10"/>
  <c r="AY96" i="10"/>
  <c r="AR96" i="10"/>
  <c r="AQ96" i="10"/>
  <c r="AO96" i="10"/>
  <c r="AG96" i="10"/>
  <c r="AH96" i="10" s="1"/>
  <c r="AE96" i="10"/>
  <c r="X96" i="10"/>
  <c r="W96" i="10"/>
  <c r="U96" i="10"/>
  <c r="M96" i="10"/>
  <c r="N96" i="10" s="1"/>
  <c r="K96" i="10"/>
  <c r="D96" i="10"/>
  <c r="C96" i="10"/>
  <c r="BS95" i="10"/>
  <c r="BK95" i="10"/>
  <c r="BL95" i="10" s="1"/>
  <c r="BI95" i="10"/>
  <c r="BB95" i="10"/>
  <c r="BA95" i="10"/>
  <c r="AY95" i="10"/>
  <c r="AQ95" i="10"/>
  <c r="AR95" i="10" s="1"/>
  <c r="AO95" i="10"/>
  <c r="AH95" i="10"/>
  <c r="AG95" i="10"/>
  <c r="AE95" i="10"/>
  <c r="W95" i="10"/>
  <c r="X95" i="10" s="1"/>
  <c r="U95" i="10"/>
  <c r="N95" i="10"/>
  <c r="M95" i="10"/>
  <c r="K95" i="10"/>
  <c r="C95" i="10"/>
  <c r="D95" i="10" s="1"/>
  <c r="BS94" i="10"/>
  <c r="BL94" i="10"/>
  <c r="BK94" i="10"/>
  <c r="BI94" i="10"/>
  <c r="BA94" i="10"/>
  <c r="BB94" i="10" s="1"/>
  <c r="AY94" i="10"/>
  <c r="AR94" i="10"/>
  <c r="AQ94" i="10"/>
  <c r="AO94" i="10"/>
  <c r="AG94" i="10"/>
  <c r="AH94" i="10" s="1"/>
  <c r="AE94" i="10"/>
  <c r="X94" i="10"/>
  <c r="W94" i="10"/>
  <c r="U94" i="10"/>
  <c r="M94" i="10"/>
  <c r="N94" i="10" s="1"/>
  <c r="K94" i="10"/>
  <c r="D94" i="10"/>
  <c r="C94" i="10"/>
  <c r="BS93" i="10"/>
  <c r="BK93" i="10"/>
  <c r="BL93" i="10" s="1"/>
  <c r="BI93" i="10"/>
  <c r="BB93" i="10"/>
  <c r="BA93" i="10"/>
  <c r="AY93" i="10"/>
  <c r="AQ93" i="10"/>
  <c r="AR93" i="10" s="1"/>
  <c r="AO93" i="10"/>
  <c r="AH93" i="10"/>
  <c r="AG93" i="10"/>
  <c r="AE93" i="10"/>
  <c r="W93" i="10"/>
  <c r="X93" i="10" s="1"/>
  <c r="U93" i="10"/>
  <c r="N93" i="10"/>
  <c r="M93" i="10"/>
  <c r="K93" i="10"/>
  <c r="C93" i="10"/>
  <c r="D93" i="10" s="1"/>
  <c r="BS92" i="10"/>
  <c r="BL92" i="10"/>
  <c r="BK92" i="10"/>
  <c r="BI92" i="10"/>
  <c r="BA92" i="10"/>
  <c r="BB92" i="10" s="1"/>
  <c r="AY92" i="10"/>
  <c r="AR92" i="10"/>
  <c r="AQ92" i="10"/>
  <c r="AO92" i="10"/>
  <c r="AG92" i="10"/>
  <c r="AH92" i="10" s="1"/>
  <c r="AE92" i="10"/>
  <c r="X92" i="10"/>
  <c r="W92" i="10"/>
  <c r="U92" i="10"/>
  <c r="M92" i="10"/>
  <c r="N92" i="10" s="1"/>
  <c r="K92" i="10"/>
  <c r="D92" i="10"/>
  <c r="C92" i="10"/>
  <c r="BS91" i="10"/>
  <c r="BK91" i="10"/>
  <c r="BL91" i="10" s="1"/>
  <c r="BI91" i="10"/>
  <c r="BB91" i="10"/>
  <c r="BA91" i="10"/>
  <c r="AY91" i="10"/>
  <c r="AQ91" i="10"/>
  <c r="AR91" i="10" s="1"/>
  <c r="AO91" i="10"/>
  <c r="AH91" i="10"/>
  <c r="AG91" i="10"/>
  <c r="AE91" i="10"/>
  <c r="W91" i="10"/>
  <c r="X91" i="10" s="1"/>
  <c r="U91" i="10"/>
  <c r="N91" i="10"/>
  <c r="M91" i="10"/>
  <c r="K91" i="10"/>
  <c r="C91" i="10"/>
  <c r="D91" i="10" s="1"/>
  <c r="BS90" i="10"/>
  <c r="BS98" i="10" s="1"/>
  <c r="BL90" i="10"/>
  <c r="BK90" i="10"/>
  <c r="BK98" i="10" s="1"/>
  <c r="BI90" i="10"/>
  <c r="BI98" i="10" s="1"/>
  <c r="BB90" i="10"/>
  <c r="BA90" i="10"/>
  <c r="BA98" i="10" s="1"/>
  <c r="AY90" i="10"/>
  <c r="AY98" i="10" s="1"/>
  <c r="AQ90" i="10"/>
  <c r="AQ98" i="10" s="1"/>
  <c r="AO90" i="10"/>
  <c r="AO98" i="10" s="1"/>
  <c r="AG90" i="10"/>
  <c r="AE90" i="10"/>
  <c r="X90" i="10"/>
  <c r="W90" i="10"/>
  <c r="U90" i="10"/>
  <c r="U98" i="10" s="1"/>
  <c r="M90" i="10"/>
  <c r="M98" i="10" s="1"/>
  <c r="K90" i="10"/>
  <c r="D90" i="10"/>
  <c r="C90" i="10"/>
  <c r="C98" i="10" s="1"/>
  <c r="BC87" i="10"/>
  <c r="AU87" i="10"/>
  <c r="T87" i="10"/>
  <c r="O87" i="10"/>
  <c r="G87" i="10"/>
  <c r="BR85" i="10"/>
  <c r="BQ85" i="10"/>
  <c r="BP85" i="10"/>
  <c r="BO85" i="10"/>
  <c r="BO87" i="10" s="1"/>
  <c r="BN85" i="10"/>
  <c r="BM85" i="10"/>
  <c r="BJ85" i="10"/>
  <c r="BH85" i="10"/>
  <c r="BG85" i="10"/>
  <c r="BG87" i="10" s="1"/>
  <c r="BF85" i="10"/>
  <c r="BE85" i="10"/>
  <c r="BD85" i="10"/>
  <c r="BC85" i="10"/>
  <c r="AZ85" i="10"/>
  <c r="AX85" i="10"/>
  <c r="AW85" i="10"/>
  <c r="AV85" i="10"/>
  <c r="AU85" i="10"/>
  <c r="AT85" i="10"/>
  <c r="AS85" i="10"/>
  <c r="AP85" i="10"/>
  <c r="AN85" i="10"/>
  <c r="AM85" i="10"/>
  <c r="AM87" i="10" s="1"/>
  <c r="AL85" i="10"/>
  <c r="AK85" i="10"/>
  <c r="AJ85" i="10"/>
  <c r="AI85" i="10"/>
  <c r="AI87" i="10" s="1"/>
  <c r="AF85" i="10"/>
  <c r="AD85" i="10"/>
  <c r="AC85" i="10"/>
  <c r="AC87" i="10" s="1"/>
  <c r="AB85" i="10"/>
  <c r="AA85" i="10"/>
  <c r="AA87" i="10" s="1"/>
  <c r="Z85" i="10"/>
  <c r="Y85" i="10"/>
  <c r="V85" i="10"/>
  <c r="T85" i="10"/>
  <c r="S85" i="10"/>
  <c r="S87" i="10" s="1"/>
  <c r="R85" i="10"/>
  <c r="R87" i="10" s="1"/>
  <c r="Q85" i="10"/>
  <c r="P85" i="10"/>
  <c r="O85" i="10"/>
  <c r="L85" i="10"/>
  <c r="J85" i="10"/>
  <c r="I85" i="10"/>
  <c r="H85" i="10"/>
  <c r="G85" i="10"/>
  <c r="F85" i="10"/>
  <c r="E85" i="10"/>
  <c r="B85" i="10"/>
  <c r="BS83" i="10"/>
  <c r="BK83" i="10"/>
  <c r="BL83" i="10" s="1"/>
  <c r="BI83" i="10"/>
  <c r="BB83" i="10"/>
  <c r="BA83" i="10"/>
  <c r="AY83" i="10"/>
  <c r="AR83" i="10"/>
  <c r="AQ83" i="10"/>
  <c r="AO83" i="10"/>
  <c r="AG83" i="10"/>
  <c r="AH83" i="10" s="1"/>
  <c r="AE83" i="10"/>
  <c r="W83" i="10"/>
  <c r="X83" i="10" s="1"/>
  <c r="U83" i="10"/>
  <c r="N83" i="10"/>
  <c r="M83" i="10"/>
  <c r="K83" i="10"/>
  <c r="C83" i="10"/>
  <c r="D83" i="10" s="1"/>
  <c r="BS82" i="10"/>
  <c r="BL82" i="10"/>
  <c r="BK82" i="10"/>
  <c r="BI82" i="10"/>
  <c r="BA82" i="10"/>
  <c r="BB82" i="10" s="1"/>
  <c r="AY82" i="10"/>
  <c r="AR82" i="10"/>
  <c r="AQ82" i="10"/>
  <c r="AO82" i="10"/>
  <c r="AH82" i="10"/>
  <c r="AG82" i="10"/>
  <c r="AE82" i="10"/>
  <c r="W82" i="10"/>
  <c r="X82" i="10" s="1"/>
  <c r="U82" i="10"/>
  <c r="M82" i="10"/>
  <c r="N82" i="10" s="1"/>
  <c r="K82" i="10"/>
  <c r="D82" i="10"/>
  <c r="C82" i="10"/>
  <c r="BS81" i="10"/>
  <c r="BK81" i="10"/>
  <c r="BL81" i="10" s="1"/>
  <c r="BI81" i="10"/>
  <c r="BB81" i="10"/>
  <c r="BA81" i="10"/>
  <c r="AY81" i="10"/>
  <c r="AQ81" i="10"/>
  <c r="AR81" i="10" s="1"/>
  <c r="AO81" i="10"/>
  <c r="AG81" i="10"/>
  <c r="AH81" i="10" s="1"/>
  <c r="AE81" i="10"/>
  <c r="X81" i="10"/>
  <c r="W81" i="10"/>
  <c r="U81" i="10"/>
  <c r="M81" i="10"/>
  <c r="N81" i="10" s="1"/>
  <c r="K81" i="10"/>
  <c r="D81" i="10"/>
  <c r="C81" i="10"/>
  <c r="BS80" i="10"/>
  <c r="BK80" i="10"/>
  <c r="BL80" i="10" s="1"/>
  <c r="BI80" i="10"/>
  <c r="BB80" i="10"/>
  <c r="BA80" i="10"/>
  <c r="AY80" i="10"/>
  <c r="AQ80" i="10"/>
  <c r="AR80" i="10" s="1"/>
  <c r="AO80" i="10"/>
  <c r="AH80" i="10"/>
  <c r="AG80" i="10"/>
  <c r="AE80" i="10"/>
  <c r="W80" i="10"/>
  <c r="X80" i="10" s="1"/>
  <c r="U80" i="10"/>
  <c r="N80" i="10"/>
  <c r="M80" i="10"/>
  <c r="K80" i="10"/>
  <c r="C80" i="10"/>
  <c r="D80" i="10" s="1"/>
  <c r="BS79" i="10"/>
  <c r="BL79" i="10"/>
  <c r="BK79" i="10"/>
  <c r="BI79" i="10"/>
  <c r="BA79" i="10"/>
  <c r="BB79" i="10" s="1"/>
  <c r="AY79" i="10"/>
  <c r="AR79" i="10"/>
  <c r="AQ79" i="10"/>
  <c r="AO79" i="10"/>
  <c r="AG79" i="10"/>
  <c r="AH79" i="10" s="1"/>
  <c r="AE79" i="10"/>
  <c r="X79" i="10"/>
  <c r="W79" i="10"/>
  <c r="U79" i="10"/>
  <c r="M79" i="10"/>
  <c r="N79" i="10" s="1"/>
  <c r="K79" i="10"/>
  <c r="D79" i="10"/>
  <c r="C79" i="10"/>
  <c r="BS78" i="10"/>
  <c r="BK78" i="10"/>
  <c r="BL78" i="10" s="1"/>
  <c r="BI78" i="10"/>
  <c r="BB78" i="10"/>
  <c r="BA78" i="10"/>
  <c r="AY78" i="10"/>
  <c r="AQ78" i="10"/>
  <c r="AR78" i="10" s="1"/>
  <c r="AO78" i="10"/>
  <c r="AH78" i="10"/>
  <c r="AG78" i="10"/>
  <c r="AE78" i="10"/>
  <c r="W78" i="10"/>
  <c r="X78" i="10" s="1"/>
  <c r="U78" i="10"/>
  <c r="M78" i="10"/>
  <c r="N78" i="10" s="1"/>
  <c r="K78" i="10"/>
  <c r="C78" i="10"/>
  <c r="D78" i="10" s="1"/>
  <c r="BS77" i="10"/>
  <c r="BL77" i="10"/>
  <c r="BK77" i="10"/>
  <c r="BI77" i="10"/>
  <c r="BA77" i="10"/>
  <c r="BB77" i="10" s="1"/>
  <c r="AY77" i="10"/>
  <c r="AR77" i="10"/>
  <c r="AQ77" i="10"/>
  <c r="AO77" i="10"/>
  <c r="AO85" i="10" s="1"/>
  <c r="AG77" i="10"/>
  <c r="AH77" i="10" s="1"/>
  <c r="AE77" i="10"/>
  <c r="X77" i="10"/>
  <c r="W77" i="10"/>
  <c r="U77" i="10"/>
  <c r="N77" i="10"/>
  <c r="M77" i="10"/>
  <c r="K77" i="10"/>
  <c r="D77" i="10"/>
  <c r="C77" i="10"/>
  <c r="BS76" i="10"/>
  <c r="BK76" i="10"/>
  <c r="BI76" i="10"/>
  <c r="BB76" i="10"/>
  <c r="BA76" i="10"/>
  <c r="AY76" i="10"/>
  <c r="AR76" i="10"/>
  <c r="AQ76" i="10"/>
  <c r="AQ85" i="10" s="1"/>
  <c r="AO76" i="10"/>
  <c r="AG76" i="10"/>
  <c r="AE76" i="10"/>
  <c r="AE85" i="10" s="1"/>
  <c r="W76" i="10"/>
  <c r="U76" i="10"/>
  <c r="N76" i="10"/>
  <c r="M76" i="10"/>
  <c r="K76" i="10"/>
  <c r="C76" i="10"/>
  <c r="BR73" i="10"/>
  <c r="BQ73" i="10"/>
  <c r="BP73" i="10"/>
  <c r="BP87" i="10" s="1"/>
  <c r="BO73" i="10"/>
  <c r="BN73" i="10"/>
  <c r="BM73" i="10"/>
  <c r="BJ73" i="10"/>
  <c r="BH73" i="10"/>
  <c r="BH87" i="10" s="1"/>
  <c r="BG73" i="10"/>
  <c r="BF73" i="10"/>
  <c r="BE73" i="10"/>
  <c r="BE87" i="10" s="1"/>
  <c r="BD73" i="10"/>
  <c r="BD87" i="10" s="1"/>
  <c r="BC73" i="10"/>
  <c r="AZ73" i="10"/>
  <c r="AZ87" i="10" s="1"/>
  <c r="AX73" i="10"/>
  <c r="AW73" i="10"/>
  <c r="AW87" i="10" s="1"/>
  <c r="AV73" i="10"/>
  <c r="AV87" i="10" s="1"/>
  <c r="AU73" i="10"/>
  <c r="AT73" i="10"/>
  <c r="AS73" i="10"/>
  <c r="AP73" i="10"/>
  <c r="AN73" i="10"/>
  <c r="AN87" i="10" s="1"/>
  <c r="AM73" i="10"/>
  <c r="AL73" i="10"/>
  <c r="AK73" i="10"/>
  <c r="AJ73" i="10"/>
  <c r="AJ87" i="10" s="1"/>
  <c r="AI73" i="10"/>
  <c r="AF73" i="10"/>
  <c r="AF87" i="10" s="1"/>
  <c r="AD73" i="10"/>
  <c r="AC73" i="10"/>
  <c r="AB73" i="10"/>
  <c r="AB87" i="10" s="1"/>
  <c r="AA73" i="10"/>
  <c r="Z73" i="10"/>
  <c r="Y73" i="10"/>
  <c r="Y87" i="10" s="1"/>
  <c r="V73" i="10"/>
  <c r="T73" i="10"/>
  <c r="S73" i="10"/>
  <c r="R73" i="10"/>
  <c r="Q73" i="10"/>
  <c r="Q87" i="10" s="1"/>
  <c r="P73" i="10"/>
  <c r="P87" i="10" s="1"/>
  <c r="O73" i="10"/>
  <c r="L73" i="10"/>
  <c r="L87" i="10" s="1"/>
  <c r="J73" i="10"/>
  <c r="I73" i="10"/>
  <c r="I87" i="10" s="1"/>
  <c r="H73" i="10"/>
  <c r="H87" i="10" s="1"/>
  <c r="G73" i="10"/>
  <c r="F73" i="10"/>
  <c r="E73" i="10"/>
  <c r="B73" i="10"/>
  <c r="BS71" i="10"/>
  <c r="BL71" i="10"/>
  <c r="BK71" i="10"/>
  <c r="BI71" i="10"/>
  <c r="BA71" i="10"/>
  <c r="BB71" i="10" s="1"/>
  <c r="AY71" i="10"/>
  <c r="AQ71" i="10"/>
  <c r="AR71" i="10" s="1"/>
  <c r="AO71" i="10"/>
  <c r="AG71" i="10"/>
  <c r="AH71" i="10" s="1"/>
  <c r="AE71" i="10"/>
  <c r="X71" i="10"/>
  <c r="W71" i="10"/>
  <c r="U71" i="10"/>
  <c r="M71" i="10"/>
  <c r="N71" i="10" s="1"/>
  <c r="K71" i="10"/>
  <c r="D71" i="10"/>
  <c r="C71" i="10"/>
  <c r="BS70" i="10"/>
  <c r="BK70" i="10"/>
  <c r="BL70" i="10" s="1"/>
  <c r="BI70" i="10"/>
  <c r="BB70" i="10"/>
  <c r="BA70" i="10"/>
  <c r="AY70" i="10"/>
  <c r="AR70" i="10"/>
  <c r="AQ70" i="10"/>
  <c r="AO70" i="10"/>
  <c r="AG70" i="10"/>
  <c r="AH70" i="10" s="1"/>
  <c r="AE70" i="10"/>
  <c r="W70" i="10"/>
  <c r="X70" i="10" s="1"/>
  <c r="U70" i="10"/>
  <c r="N70" i="10"/>
  <c r="M70" i="10"/>
  <c r="K70" i="10"/>
  <c r="C70" i="10"/>
  <c r="D70" i="10" s="1"/>
  <c r="BS69" i="10"/>
  <c r="BK69" i="10"/>
  <c r="BL69" i="10" s="1"/>
  <c r="BI69" i="10"/>
  <c r="BI73" i="10" s="1"/>
  <c r="BA69" i="10"/>
  <c r="BB69" i="10" s="1"/>
  <c r="AY69" i="10"/>
  <c r="AR69" i="10"/>
  <c r="AQ69" i="10"/>
  <c r="AO69" i="10"/>
  <c r="AG69" i="10"/>
  <c r="AH69" i="10" s="1"/>
  <c r="AE69" i="10"/>
  <c r="W69" i="10"/>
  <c r="X69" i="10" s="1"/>
  <c r="U69" i="10"/>
  <c r="M69" i="10"/>
  <c r="N69" i="10" s="1"/>
  <c r="K69" i="10"/>
  <c r="D69" i="10"/>
  <c r="C69" i="10"/>
  <c r="BS68" i="10"/>
  <c r="BK68" i="10"/>
  <c r="BL68" i="10" s="1"/>
  <c r="BI68" i="10"/>
  <c r="BB68" i="10"/>
  <c r="BA68" i="10"/>
  <c r="AY68" i="10"/>
  <c r="AQ68" i="10"/>
  <c r="AR68" i="10" s="1"/>
  <c r="AO68" i="10"/>
  <c r="AH68" i="10"/>
  <c r="AG68" i="10"/>
  <c r="AE68" i="10"/>
  <c r="X68" i="10"/>
  <c r="W68" i="10"/>
  <c r="U68" i="10"/>
  <c r="M68" i="10"/>
  <c r="N68" i="10" s="1"/>
  <c r="K68" i="10"/>
  <c r="C68" i="10"/>
  <c r="D68" i="10" s="1"/>
  <c r="BS67" i="10"/>
  <c r="BL67" i="10"/>
  <c r="BK67" i="10"/>
  <c r="BI67" i="10"/>
  <c r="BA67" i="10"/>
  <c r="BA73" i="10" s="1"/>
  <c r="BB73" i="10" s="1"/>
  <c r="AY67" i="10"/>
  <c r="AQ67" i="10"/>
  <c r="AR67" i="10" s="1"/>
  <c r="AO67" i="10"/>
  <c r="AG67" i="10"/>
  <c r="AH67" i="10" s="1"/>
  <c r="AE67" i="10"/>
  <c r="X67" i="10"/>
  <c r="W67" i="10"/>
  <c r="U67" i="10"/>
  <c r="M67" i="10"/>
  <c r="N67" i="10" s="1"/>
  <c r="K67" i="10"/>
  <c r="C67" i="10"/>
  <c r="D67" i="10" s="1"/>
  <c r="BS66" i="10"/>
  <c r="BS73" i="10" s="1"/>
  <c r="BK66" i="10"/>
  <c r="BI66" i="10"/>
  <c r="BB66" i="10"/>
  <c r="BA66" i="10"/>
  <c r="AY66" i="10"/>
  <c r="AQ66" i="10"/>
  <c r="AO66" i="10"/>
  <c r="AH66" i="10"/>
  <c r="AG66" i="10"/>
  <c r="AE66" i="10"/>
  <c r="W66" i="10"/>
  <c r="U66" i="10"/>
  <c r="U73" i="10" s="1"/>
  <c r="N66" i="10"/>
  <c r="M66" i="10"/>
  <c r="K66" i="10"/>
  <c r="K73" i="10" s="1"/>
  <c r="D66" i="10"/>
  <c r="C66" i="10"/>
  <c r="AT61" i="10"/>
  <c r="AP61" i="10"/>
  <c r="J61" i="10"/>
  <c r="BR59" i="10"/>
  <c r="BQ59" i="10"/>
  <c r="BP59" i="10"/>
  <c r="BO59" i="10"/>
  <c r="BN59" i="10"/>
  <c r="BM59" i="10"/>
  <c r="BJ59" i="10"/>
  <c r="BH59" i="10"/>
  <c r="BG59" i="10"/>
  <c r="BF59" i="10"/>
  <c r="BE59" i="10"/>
  <c r="BD59" i="10"/>
  <c r="BC59" i="10"/>
  <c r="AZ59" i="10"/>
  <c r="AX59" i="10"/>
  <c r="AW59" i="10"/>
  <c r="AV59" i="10"/>
  <c r="AU59" i="10"/>
  <c r="AT59" i="10"/>
  <c r="AS59" i="10"/>
  <c r="AP59" i="10"/>
  <c r="AN59" i="10"/>
  <c r="AM59" i="10"/>
  <c r="AL59" i="10"/>
  <c r="AK59" i="10"/>
  <c r="AJ59" i="10"/>
  <c r="AI59" i="10"/>
  <c r="AF59" i="10"/>
  <c r="AD59" i="10"/>
  <c r="AC59" i="10"/>
  <c r="AB59" i="10"/>
  <c r="AA59" i="10"/>
  <c r="Z59" i="10"/>
  <c r="Y59" i="10"/>
  <c r="V59" i="10"/>
  <c r="T59" i="10"/>
  <c r="S59" i="10"/>
  <c r="R59" i="10"/>
  <c r="Q59" i="10"/>
  <c r="P59" i="10"/>
  <c r="O59" i="10"/>
  <c r="L59" i="10"/>
  <c r="K59" i="10"/>
  <c r="J59" i="10"/>
  <c r="I59" i="10"/>
  <c r="H59" i="10"/>
  <c r="G59" i="10"/>
  <c r="F59" i="10"/>
  <c r="E59" i="10"/>
  <c r="B59" i="10"/>
  <c r="BS57" i="10"/>
  <c r="BK57" i="10"/>
  <c r="BL57" i="10" s="1"/>
  <c r="BI57" i="10"/>
  <c r="BA57" i="10"/>
  <c r="BB57" i="10" s="1"/>
  <c r="AY57" i="10"/>
  <c r="AQ57" i="10"/>
  <c r="AR57" i="10" s="1"/>
  <c r="AO57" i="10"/>
  <c r="AH57" i="10"/>
  <c r="AG57" i="10"/>
  <c r="AE57" i="10"/>
  <c r="X57" i="10"/>
  <c r="W57" i="10"/>
  <c r="U57" i="10"/>
  <c r="M57" i="10"/>
  <c r="N57" i="10" s="1"/>
  <c r="K57" i="10"/>
  <c r="C57" i="10"/>
  <c r="D57" i="10" s="1"/>
  <c r="BS56" i="10"/>
  <c r="BL56" i="10"/>
  <c r="BK56" i="10"/>
  <c r="BI56" i="10"/>
  <c r="BA56" i="10"/>
  <c r="BB56" i="10" s="1"/>
  <c r="AY56" i="10"/>
  <c r="AQ56" i="10"/>
  <c r="AR56" i="10" s="1"/>
  <c r="AO56" i="10"/>
  <c r="AG56" i="10"/>
  <c r="AH56" i="10" s="1"/>
  <c r="AE56" i="10"/>
  <c r="X56" i="10"/>
  <c r="W56" i="10"/>
  <c r="U56" i="10"/>
  <c r="N56" i="10"/>
  <c r="M56" i="10"/>
  <c r="K56" i="10"/>
  <c r="C56" i="10"/>
  <c r="D56" i="10" s="1"/>
  <c r="BS55" i="10"/>
  <c r="BK55" i="10"/>
  <c r="BL55" i="10" s="1"/>
  <c r="BI55" i="10"/>
  <c r="BB55" i="10"/>
  <c r="BA55" i="10"/>
  <c r="AY55" i="10"/>
  <c r="AQ55" i="10"/>
  <c r="AR55" i="10" s="1"/>
  <c r="AO55" i="10"/>
  <c r="AG55" i="10"/>
  <c r="AH55" i="10" s="1"/>
  <c r="AE55" i="10"/>
  <c r="W55" i="10"/>
  <c r="X55" i="10" s="1"/>
  <c r="U55" i="10"/>
  <c r="N55" i="10"/>
  <c r="M55" i="10"/>
  <c r="K55" i="10"/>
  <c r="D55" i="10"/>
  <c r="C55" i="10"/>
  <c r="BS54" i="10"/>
  <c r="BK54" i="10"/>
  <c r="BL54" i="10" s="1"/>
  <c r="BI54" i="10"/>
  <c r="BA54" i="10"/>
  <c r="BB54" i="10" s="1"/>
  <c r="AY54" i="10"/>
  <c r="AR54" i="10"/>
  <c r="AQ54" i="10"/>
  <c r="AO54" i="10"/>
  <c r="AG54" i="10"/>
  <c r="AH54" i="10" s="1"/>
  <c r="AE54" i="10"/>
  <c r="W54" i="10"/>
  <c r="X54" i="10" s="1"/>
  <c r="U54" i="10"/>
  <c r="M54" i="10"/>
  <c r="N54" i="10" s="1"/>
  <c r="K54" i="10"/>
  <c r="D54" i="10"/>
  <c r="C54" i="10"/>
  <c r="BS53" i="10"/>
  <c r="BL53" i="10"/>
  <c r="BK53" i="10"/>
  <c r="BI53" i="10"/>
  <c r="BA53" i="10"/>
  <c r="BB53" i="10" s="1"/>
  <c r="AY53" i="10"/>
  <c r="AQ53" i="10"/>
  <c r="AR53" i="10" s="1"/>
  <c r="AO53" i="10"/>
  <c r="AH53" i="10"/>
  <c r="AG53" i="10"/>
  <c r="AE53" i="10"/>
  <c r="W53" i="10"/>
  <c r="X53" i="10" s="1"/>
  <c r="U53" i="10"/>
  <c r="M53" i="10"/>
  <c r="N53" i="10" s="1"/>
  <c r="K53" i="10"/>
  <c r="C53" i="10"/>
  <c r="D53" i="10" s="1"/>
  <c r="BS52" i="10"/>
  <c r="BL52" i="10"/>
  <c r="BK52" i="10"/>
  <c r="BI52" i="10"/>
  <c r="BB52" i="10"/>
  <c r="BA52" i="10"/>
  <c r="AY52" i="10"/>
  <c r="AQ52" i="10"/>
  <c r="AR52" i="10" s="1"/>
  <c r="AO52" i="10"/>
  <c r="AG52" i="10"/>
  <c r="AH52" i="10" s="1"/>
  <c r="AE52" i="10"/>
  <c r="AE59" i="10" s="1"/>
  <c r="X52" i="10"/>
  <c r="W52" i="10"/>
  <c r="U52" i="10"/>
  <c r="M52" i="10"/>
  <c r="N52" i="10" s="1"/>
  <c r="K52" i="10"/>
  <c r="C52" i="10"/>
  <c r="D52" i="10" s="1"/>
  <c r="BS51" i="10"/>
  <c r="BK51" i="10"/>
  <c r="BL51" i="10" s="1"/>
  <c r="BI51" i="10"/>
  <c r="BB51" i="10"/>
  <c r="BA51" i="10"/>
  <c r="AY51" i="10"/>
  <c r="AR51" i="10"/>
  <c r="AQ51" i="10"/>
  <c r="AO51" i="10"/>
  <c r="AG51" i="10"/>
  <c r="AH51" i="10" s="1"/>
  <c r="AE51" i="10"/>
  <c r="W51" i="10"/>
  <c r="X51" i="10" s="1"/>
  <c r="U51" i="10"/>
  <c r="N51" i="10"/>
  <c r="M51" i="10"/>
  <c r="K51" i="10"/>
  <c r="C51" i="10"/>
  <c r="D51" i="10" s="1"/>
  <c r="BS50" i="10"/>
  <c r="BK50" i="10"/>
  <c r="BL50" i="10" s="1"/>
  <c r="BI50" i="10"/>
  <c r="BA50" i="10"/>
  <c r="BB50" i="10" s="1"/>
  <c r="AY50" i="10"/>
  <c r="AR50" i="10"/>
  <c r="AQ50" i="10"/>
  <c r="AO50" i="10"/>
  <c r="AH50" i="10"/>
  <c r="AG50" i="10"/>
  <c r="AE50" i="10"/>
  <c r="W50" i="10"/>
  <c r="X50" i="10" s="1"/>
  <c r="U50" i="10"/>
  <c r="M50" i="10"/>
  <c r="N50" i="10" s="1"/>
  <c r="K50" i="10"/>
  <c r="D50" i="10"/>
  <c r="C50" i="10"/>
  <c r="BS49" i="10"/>
  <c r="BK49" i="10"/>
  <c r="BL49" i="10" s="1"/>
  <c r="BI49" i="10"/>
  <c r="BA49" i="10"/>
  <c r="BB49" i="10" s="1"/>
  <c r="AY49" i="10"/>
  <c r="AY59" i="10" s="1"/>
  <c r="AQ49" i="10"/>
  <c r="AR49" i="10" s="1"/>
  <c r="AO49" i="10"/>
  <c r="AH49" i="10"/>
  <c r="AG49" i="10"/>
  <c r="AE49" i="10"/>
  <c r="X49" i="10"/>
  <c r="W49" i="10"/>
  <c r="U49" i="10"/>
  <c r="M49" i="10"/>
  <c r="N49" i="10" s="1"/>
  <c r="K49" i="10"/>
  <c r="C49" i="10"/>
  <c r="D49" i="10" s="1"/>
  <c r="BS48" i="10"/>
  <c r="BS59" i="10" s="1"/>
  <c r="BL48" i="10"/>
  <c r="BK48" i="10"/>
  <c r="BI48" i="10"/>
  <c r="BA48" i="10"/>
  <c r="BA59" i="10" s="1"/>
  <c r="BB59" i="10" s="1"/>
  <c r="AY48" i="10"/>
  <c r="AQ48" i="10"/>
  <c r="AR48" i="10" s="1"/>
  <c r="AO48" i="10"/>
  <c r="AO59" i="10" s="1"/>
  <c r="AG48" i="10"/>
  <c r="AH48" i="10" s="1"/>
  <c r="AE48" i="10"/>
  <c r="X48" i="10"/>
  <c r="W48" i="10"/>
  <c r="U48" i="10"/>
  <c r="U59" i="10" s="1"/>
  <c r="N48" i="10"/>
  <c r="M48" i="10"/>
  <c r="K48" i="10"/>
  <c r="C48" i="10"/>
  <c r="D48" i="10" s="1"/>
  <c r="BR45" i="10"/>
  <c r="BQ45" i="10"/>
  <c r="BP45" i="10"/>
  <c r="BO45" i="10"/>
  <c r="BN45" i="10"/>
  <c r="BM45" i="10"/>
  <c r="BJ45" i="10"/>
  <c r="BH45" i="10"/>
  <c r="BG45" i="10"/>
  <c r="BF45" i="10"/>
  <c r="BE45" i="10"/>
  <c r="BD45" i="10"/>
  <c r="BC45" i="10"/>
  <c r="AZ45" i="10"/>
  <c r="AX45" i="10"/>
  <c r="AW45" i="10"/>
  <c r="AV45" i="10"/>
  <c r="AU45" i="10"/>
  <c r="AT45" i="10"/>
  <c r="AS45" i="10"/>
  <c r="AP45" i="10"/>
  <c r="AN45" i="10"/>
  <c r="AM45" i="10"/>
  <c r="AL45" i="10"/>
  <c r="AK45" i="10"/>
  <c r="AJ45" i="10"/>
  <c r="AI45" i="10"/>
  <c r="AF45" i="10"/>
  <c r="AD45" i="10"/>
  <c r="AC45" i="10"/>
  <c r="AB45" i="10"/>
  <c r="AA45" i="10"/>
  <c r="Z45" i="10"/>
  <c r="Y45" i="10"/>
  <c r="V45" i="10"/>
  <c r="T45" i="10"/>
  <c r="S45" i="10"/>
  <c r="R45" i="10"/>
  <c r="Q45" i="10"/>
  <c r="P45" i="10"/>
  <c r="O45" i="10"/>
  <c r="L45" i="10"/>
  <c r="J45" i="10"/>
  <c r="I45" i="10"/>
  <c r="H45" i="10"/>
  <c r="G45" i="10"/>
  <c r="F45" i="10"/>
  <c r="E45" i="10"/>
  <c r="B45" i="10"/>
  <c r="BS43" i="10"/>
  <c r="BK43" i="10"/>
  <c r="BL43" i="10" s="1"/>
  <c r="BI43" i="10"/>
  <c r="BA43" i="10"/>
  <c r="BB43" i="10" s="1"/>
  <c r="AY43" i="10"/>
  <c r="AQ43" i="10"/>
  <c r="AR43" i="10" s="1"/>
  <c r="AO43" i="10"/>
  <c r="AH43" i="10"/>
  <c r="AG43" i="10"/>
  <c r="AE43" i="10"/>
  <c r="X43" i="10"/>
  <c r="W43" i="10"/>
  <c r="U43" i="10"/>
  <c r="M43" i="10"/>
  <c r="N43" i="10" s="1"/>
  <c r="K43" i="10"/>
  <c r="C43" i="10"/>
  <c r="D43" i="10" s="1"/>
  <c r="BS42" i="10"/>
  <c r="BL42" i="10"/>
  <c r="BK42" i="10"/>
  <c r="BI42" i="10"/>
  <c r="BA42" i="10"/>
  <c r="BB42" i="10" s="1"/>
  <c r="AY42" i="10"/>
  <c r="AQ42" i="10"/>
  <c r="AR42" i="10" s="1"/>
  <c r="AO42" i="10"/>
  <c r="AG42" i="10"/>
  <c r="AH42" i="10" s="1"/>
  <c r="AE42" i="10"/>
  <c r="X42" i="10"/>
  <c r="W42" i="10"/>
  <c r="U42" i="10"/>
  <c r="N42" i="10"/>
  <c r="M42" i="10"/>
  <c r="K42" i="10"/>
  <c r="C42" i="10"/>
  <c r="D42" i="10" s="1"/>
  <c r="BS41" i="10"/>
  <c r="BK41" i="10"/>
  <c r="BL41" i="10" s="1"/>
  <c r="BI41" i="10"/>
  <c r="BB41" i="10"/>
  <c r="BA41" i="10"/>
  <c r="AY41" i="10"/>
  <c r="AQ41" i="10"/>
  <c r="AR41" i="10" s="1"/>
  <c r="AO41" i="10"/>
  <c r="AG41" i="10"/>
  <c r="AH41" i="10" s="1"/>
  <c r="AE41" i="10"/>
  <c r="W41" i="10"/>
  <c r="X41" i="10" s="1"/>
  <c r="U41" i="10"/>
  <c r="N41" i="10"/>
  <c r="M41" i="10"/>
  <c r="K41" i="10"/>
  <c r="D41" i="10"/>
  <c r="C41" i="10"/>
  <c r="BS40" i="10"/>
  <c r="BK40" i="10"/>
  <c r="BL40" i="10" s="1"/>
  <c r="BI40" i="10"/>
  <c r="BA40" i="10"/>
  <c r="BB40" i="10" s="1"/>
  <c r="AY40" i="10"/>
  <c r="AR40" i="10"/>
  <c r="AQ40" i="10"/>
  <c r="AO40" i="10"/>
  <c r="AG40" i="10"/>
  <c r="AH40" i="10" s="1"/>
  <c r="AE40" i="10"/>
  <c r="W40" i="10"/>
  <c r="X40" i="10" s="1"/>
  <c r="U40" i="10"/>
  <c r="M40" i="10"/>
  <c r="N40" i="10" s="1"/>
  <c r="K40" i="10"/>
  <c r="D40" i="10"/>
  <c r="C40" i="10"/>
  <c r="BS39" i="10"/>
  <c r="BL39" i="10"/>
  <c r="BK39" i="10"/>
  <c r="BI39" i="10"/>
  <c r="BA39" i="10"/>
  <c r="BB39" i="10" s="1"/>
  <c r="AY39" i="10"/>
  <c r="AQ39" i="10"/>
  <c r="AR39" i="10" s="1"/>
  <c r="AO39" i="10"/>
  <c r="AH39" i="10"/>
  <c r="AG39" i="10"/>
  <c r="AE39" i="10"/>
  <c r="W39" i="10"/>
  <c r="X39" i="10" s="1"/>
  <c r="U39" i="10"/>
  <c r="M39" i="10"/>
  <c r="N39" i="10" s="1"/>
  <c r="K39" i="10"/>
  <c r="C39" i="10"/>
  <c r="D39" i="10" s="1"/>
  <c r="BS38" i="10"/>
  <c r="BL38" i="10"/>
  <c r="BK38" i="10"/>
  <c r="BI38" i="10"/>
  <c r="BB38" i="10"/>
  <c r="BA38" i="10"/>
  <c r="AY38" i="10"/>
  <c r="AQ38" i="10"/>
  <c r="AR38" i="10" s="1"/>
  <c r="AO38" i="10"/>
  <c r="AH38" i="10"/>
  <c r="AG38" i="10"/>
  <c r="AE38" i="10"/>
  <c r="X38" i="10"/>
  <c r="W38" i="10"/>
  <c r="U38" i="10"/>
  <c r="N38" i="10"/>
  <c r="M38" i="10"/>
  <c r="K38" i="10"/>
  <c r="C38" i="10"/>
  <c r="D38" i="10" s="1"/>
  <c r="BS37" i="10"/>
  <c r="BL37" i="10"/>
  <c r="BK37" i="10"/>
  <c r="BI37" i="10"/>
  <c r="BB37" i="10"/>
  <c r="BA37" i="10"/>
  <c r="AY37" i="10"/>
  <c r="AQ37" i="10"/>
  <c r="AR37" i="10" s="1"/>
  <c r="AO37" i="10"/>
  <c r="AG37" i="10"/>
  <c r="AH37" i="10" s="1"/>
  <c r="AE37" i="10"/>
  <c r="X37" i="10"/>
  <c r="W37" i="10"/>
  <c r="U37" i="10"/>
  <c r="M37" i="10"/>
  <c r="N37" i="10" s="1"/>
  <c r="K37" i="10"/>
  <c r="C37" i="10"/>
  <c r="D37" i="10" s="1"/>
  <c r="BS36" i="10"/>
  <c r="BL36" i="10"/>
  <c r="BK36" i="10"/>
  <c r="BI36" i="10"/>
  <c r="BB36" i="10"/>
  <c r="BA36" i="10"/>
  <c r="AY36" i="10"/>
  <c r="AQ36" i="10"/>
  <c r="AR36" i="10" s="1"/>
  <c r="AO36" i="10"/>
  <c r="AG36" i="10"/>
  <c r="AH36" i="10" s="1"/>
  <c r="AE36" i="10"/>
  <c r="X36" i="10"/>
  <c r="W36" i="10"/>
  <c r="U36" i="10"/>
  <c r="N36" i="10"/>
  <c r="M36" i="10"/>
  <c r="K36" i="10"/>
  <c r="C36" i="10"/>
  <c r="D36" i="10" s="1"/>
  <c r="BS35" i="10"/>
  <c r="BK35" i="10"/>
  <c r="BL35" i="10" s="1"/>
  <c r="BI35" i="10"/>
  <c r="BB35" i="10"/>
  <c r="BA35" i="10"/>
  <c r="AY35" i="10"/>
  <c r="AR35" i="10"/>
  <c r="AQ35" i="10"/>
  <c r="AO35" i="10"/>
  <c r="AG35" i="10"/>
  <c r="AH35" i="10" s="1"/>
  <c r="AE35" i="10"/>
  <c r="W35" i="10"/>
  <c r="X35" i="10" s="1"/>
  <c r="U35" i="10"/>
  <c r="N35" i="10"/>
  <c r="M35" i="10"/>
  <c r="K35" i="10"/>
  <c r="D35" i="10"/>
  <c r="C35" i="10"/>
  <c r="BS34" i="10"/>
  <c r="BK34" i="10"/>
  <c r="BL34" i="10" s="1"/>
  <c r="BI34" i="10"/>
  <c r="BA34" i="10"/>
  <c r="BB34" i="10" s="1"/>
  <c r="AY34" i="10"/>
  <c r="AR34" i="10"/>
  <c r="AQ34" i="10"/>
  <c r="AO34" i="10"/>
  <c r="AH34" i="10"/>
  <c r="AG34" i="10"/>
  <c r="AE34" i="10"/>
  <c r="W34" i="10"/>
  <c r="W45" i="10" s="1"/>
  <c r="X45" i="10" s="1"/>
  <c r="U34" i="10"/>
  <c r="M34" i="10"/>
  <c r="N34" i="10" s="1"/>
  <c r="K34" i="10"/>
  <c r="K45" i="10" s="1"/>
  <c r="D34" i="10"/>
  <c r="C34" i="10"/>
  <c r="BS33" i="10"/>
  <c r="BL33" i="10"/>
  <c r="BK33" i="10"/>
  <c r="BI33" i="10"/>
  <c r="BA33" i="10"/>
  <c r="BB33" i="10" s="1"/>
  <c r="AY33" i="10"/>
  <c r="AQ33" i="10"/>
  <c r="AR33" i="10" s="1"/>
  <c r="AO33" i="10"/>
  <c r="AH33" i="10"/>
  <c r="AG33" i="10"/>
  <c r="AE33" i="10"/>
  <c r="X33" i="10"/>
  <c r="W33" i="10"/>
  <c r="U33" i="10"/>
  <c r="M33" i="10"/>
  <c r="N33" i="10" s="1"/>
  <c r="K33" i="10"/>
  <c r="C33" i="10"/>
  <c r="D33" i="10" s="1"/>
  <c r="BS32" i="10"/>
  <c r="BS45" i="10" s="1"/>
  <c r="BL32" i="10"/>
  <c r="BK32" i="10"/>
  <c r="BK45" i="10" s="1"/>
  <c r="BL45" i="10" s="1"/>
  <c r="BI32" i="10"/>
  <c r="BB32" i="10"/>
  <c r="BA32" i="10"/>
  <c r="AY32" i="10"/>
  <c r="AY45" i="10" s="1"/>
  <c r="AQ32" i="10"/>
  <c r="AR32" i="10" s="1"/>
  <c r="AO32" i="10"/>
  <c r="AG32" i="10"/>
  <c r="AH32" i="10" s="1"/>
  <c r="AE32" i="10"/>
  <c r="AE45" i="10" s="1"/>
  <c r="X32" i="10"/>
  <c r="W32" i="10"/>
  <c r="U32" i="10"/>
  <c r="N32" i="10"/>
  <c r="M32" i="10"/>
  <c r="K32" i="10"/>
  <c r="C32" i="10"/>
  <c r="D32" i="10" s="1"/>
  <c r="BR29" i="10"/>
  <c r="BQ29" i="10"/>
  <c r="BQ61" i="10" s="1"/>
  <c r="BP29" i="10"/>
  <c r="BP61" i="10" s="1"/>
  <c r="BO29" i="10"/>
  <c r="BO61" i="10" s="1"/>
  <c r="BN29" i="10"/>
  <c r="BM29" i="10"/>
  <c r="BM61" i="10" s="1"/>
  <c r="BJ29" i="10"/>
  <c r="BJ61" i="10" s="1"/>
  <c r="BH29" i="10"/>
  <c r="BH61" i="10" s="1"/>
  <c r="BG29" i="10"/>
  <c r="BF29" i="10"/>
  <c r="BF61" i="10" s="1"/>
  <c r="BE29" i="10"/>
  <c r="BE61" i="10" s="1"/>
  <c r="BD29" i="10"/>
  <c r="BD61" i="10" s="1"/>
  <c r="BC29" i="10"/>
  <c r="AZ29" i="10"/>
  <c r="AZ61" i="10" s="1"/>
  <c r="AX29" i="10"/>
  <c r="AX61" i="10" s="1"/>
  <c r="AW29" i="10"/>
  <c r="AW61" i="10" s="1"/>
  <c r="AV29" i="10"/>
  <c r="AV61" i="10" s="1"/>
  <c r="AU29" i="10"/>
  <c r="AU61" i="10" s="1"/>
  <c r="AT29" i="10"/>
  <c r="AS29" i="10"/>
  <c r="AS61" i="10" s="1"/>
  <c r="AP29" i="10"/>
  <c r="AN29" i="10"/>
  <c r="AN61" i="10" s="1"/>
  <c r="AM29" i="10"/>
  <c r="AM61" i="10" s="1"/>
  <c r="AL29" i="10"/>
  <c r="AL61" i="10" s="1"/>
  <c r="AK29" i="10"/>
  <c r="AK61" i="10" s="1"/>
  <c r="AJ29" i="10"/>
  <c r="AJ61" i="10" s="1"/>
  <c r="AI29" i="10"/>
  <c r="AI61" i="10" s="1"/>
  <c r="AF29" i="10"/>
  <c r="AF61" i="10" s="1"/>
  <c r="AD29" i="10"/>
  <c r="AD61" i="10" s="1"/>
  <c r="AC29" i="10"/>
  <c r="AC61" i="10" s="1"/>
  <c r="AB29" i="10"/>
  <c r="AB61" i="10" s="1"/>
  <c r="AA29" i="10"/>
  <c r="Z29" i="10"/>
  <c r="Z61" i="10" s="1"/>
  <c r="Y29" i="10"/>
  <c r="Y61" i="10" s="1"/>
  <c r="V29" i="10"/>
  <c r="V61" i="10" s="1"/>
  <c r="T29" i="10"/>
  <c r="T61" i="10" s="1"/>
  <c r="S29" i="10"/>
  <c r="S61" i="10" s="1"/>
  <c r="R29" i="10"/>
  <c r="R61" i="10" s="1"/>
  <c r="Q29" i="10"/>
  <c r="Q61" i="10" s="1"/>
  <c r="P29" i="10"/>
  <c r="P61" i="10" s="1"/>
  <c r="O29" i="10"/>
  <c r="O61" i="10" s="1"/>
  <c r="L29" i="10"/>
  <c r="L61" i="10" s="1"/>
  <c r="J29" i="10"/>
  <c r="I29" i="10"/>
  <c r="I61" i="10" s="1"/>
  <c r="H29" i="10"/>
  <c r="H61" i="10" s="1"/>
  <c r="G29" i="10"/>
  <c r="F29" i="10"/>
  <c r="F61" i="10" s="1"/>
  <c r="E29" i="10"/>
  <c r="E61" i="10" s="1"/>
  <c r="B29" i="10"/>
  <c r="B61" i="10" s="1"/>
  <c r="BS27" i="10"/>
  <c r="BL27" i="10"/>
  <c r="BK27" i="10"/>
  <c r="BI27" i="10"/>
  <c r="BA27" i="10"/>
  <c r="BB27" i="10" s="1"/>
  <c r="AY27" i="10"/>
  <c r="AQ27" i="10"/>
  <c r="AR27" i="10" s="1"/>
  <c r="AO27" i="10"/>
  <c r="AH27" i="10"/>
  <c r="AG27" i="10"/>
  <c r="AE27" i="10"/>
  <c r="X27" i="10"/>
  <c r="W27" i="10"/>
  <c r="U27" i="10"/>
  <c r="M27" i="10"/>
  <c r="N27" i="10" s="1"/>
  <c r="K27" i="10"/>
  <c r="C27" i="10"/>
  <c r="D27" i="10" s="1"/>
  <c r="BS26" i="10"/>
  <c r="BL26" i="10"/>
  <c r="BK26" i="10"/>
  <c r="BI26" i="10"/>
  <c r="BB26" i="10"/>
  <c r="BA26" i="10"/>
  <c r="AY26" i="10"/>
  <c r="AQ26" i="10"/>
  <c r="AR26" i="10" s="1"/>
  <c r="AO26" i="10"/>
  <c r="AG26" i="10"/>
  <c r="AH26" i="10" s="1"/>
  <c r="AE26" i="10"/>
  <c r="X26" i="10"/>
  <c r="W26" i="10"/>
  <c r="U26" i="10"/>
  <c r="N26" i="10"/>
  <c r="M26" i="10"/>
  <c r="K26" i="10"/>
  <c r="C26" i="10"/>
  <c r="D26" i="10" s="1"/>
  <c r="BS25" i="10"/>
  <c r="BK25" i="10"/>
  <c r="BL25" i="10" s="1"/>
  <c r="BI25" i="10"/>
  <c r="BB25" i="10"/>
  <c r="BA25" i="10"/>
  <c r="AY25" i="10"/>
  <c r="AR25" i="10"/>
  <c r="AQ25" i="10"/>
  <c r="AO25" i="10"/>
  <c r="AG25" i="10"/>
  <c r="AH25" i="10" s="1"/>
  <c r="AE25" i="10"/>
  <c r="W25" i="10"/>
  <c r="X25" i="10" s="1"/>
  <c r="U25" i="10"/>
  <c r="N25" i="10"/>
  <c r="M25" i="10"/>
  <c r="K25" i="10"/>
  <c r="D25" i="10"/>
  <c r="C25" i="10"/>
  <c r="BS24" i="10"/>
  <c r="BK24" i="10"/>
  <c r="BL24" i="10" s="1"/>
  <c r="BI24" i="10"/>
  <c r="BA24" i="10"/>
  <c r="BB24" i="10" s="1"/>
  <c r="AY24" i="10"/>
  <c r="AR24" i="10"/>
  <c r="AQ24" i="10"/>
  <c r="AO24" i="10"/>
  <c r="AH24" i="10"/>
  <c r="AG24" i="10"/>
  <c r="AE24" i="10"/>
  <c r="W24" i="10"/>
  <c r="X24" i="10" s="1"/>
  <c r="U24" i="10"/>
  <c r="M24" i="10"/>
  <c r="N24" i="10" s="1"/>
  <c r="K24" i="10"/>
  <c r="D24" i="10"/>
  <c r="C24" i="10"/>
  <c r="BS23" i="10"/>
  <c r="BL23" i="10"/>
  <c r="BK23" i="10"/>
  <c r="BI23" i="10"/>
  <c r="BA23" i="10"/>
  <c r="BB23" i="10" s="1"/>
  <c r="AY23" i="10"/>
  <c r="AQ23" i="10"/>
  <c r="AR23" i="10" s="1"/>
  <c r="AO23" i="10"/>
  <c r="AH23" i="10"/>
  <c r="AG23" i="10"/>
  <c r="AE23" i="10"/>
  <c r="X23" i="10"/>
  <c r="W23" i="10"/>
  <c r="U23" i="10"/>
  <c r="M23" i="10"/>
  <c r="N23" i="10" s="1"/>
  <c r="K23" i="10"/>
  <c r="C23" i="10"/>
  <c r="D23" i="10" s="1"/>
  <c r="BS22" i="10"/>
  <c r="BL22" i="10"/>
  <c r="BK22" i="10"/>
  <c r="BI22" i="10"/>
  <c r="BB22" i="10"/>
  <c r="BA22" i="10"/>
  <c r="AY22" i="10"/>
  <c r="AQ22" i="10"/>
  <c r="AR22" i="10" s="1"/>
  <c r="AO22" i="10"/>
  <c r="AG22" i="10"/>
  <c r="AH22" i="10" s="1"/>
  <c r="AE22" i="10"/>
  <c r="X22" i="10"/>
  <c r="W22" i="10"/>
  <c r="U22" i="10"/>
  <c r="N22" i="10"/>
  <c r="M22" i="10"/>
  <c r="K22" i="10"/>
  <c r="C22" i="10"/>
  <c r="D22" i="10" s="1"/>
  <c r="BS21" i="10"/>
  <c r="BK21" i="10"/>
  <c r="BL21" i="10" s="1"/>
  <c r="BI21" i="10"/>
  <c r="BB21" i="10"/>
  <c r="BA21" i="10"/>
  <c r="AY21" i="10"/>
  <c r="AR21" i="10"/>
  <c r="AQ21" i="10"/>
  <c r="AO21" i="10"/>
  <c r="AG21" i="10"/>
  <c r="AH21" i="10" s="1"/>
  <c r="AE21" i="10"/>
  <c r="W21" i="10"/>
  <c r="X21" i="10" s="1"/>
  <c r="U21" i="10"/>
  <c r="N21" i="10"/>
  <c r="M21" i="10"/>
  <c r="K21" i="10"/>
  <c r="D21" i="10"/>
  <c r="C21" i="10"/>
  <c r="BS20" i="10"/>
  <c r="BK20" i="10"/>
  <c r="BL20" i="10" s="1"/>
  <c r="BI20" i="10"/>
  <c r="BA20" i="10"/>
  <c r="BB20" i="10" s="1"/>
  <c r="AY20" i="10"/>
  <c r="AR20" i="10"/>
  <c r="AQ20" i="10"/>
  <c r="AO20" i="10"/>
  <c r="AH20" i="10"/>
  <c r="AG20" i="10"/>
  <c r="AE20" i="10"/>
  <c r="W20" i="10"/>
  <c r="X20" i="10" s="1"/>
  <c r="U20" i="10"/>
  <c r="M20" i="10"/>
  <c r="N20" i="10" s="1"/>
  <c r="K20" i="10"/>
  <c r="D20" i="10"/>
  <c r="C20" i="10"/>
  <c r="BS19" i="10"/>
  <c r="BL19" i="10"/>
  <c r="BK19" i="10"/>
  <c r="BI19" i="10"/>
  <c r="BA19" i="10"/>
  <c r="BB19" i="10" s="1"/>
  <c r="AY19" i="10"/>
  <c r="AQ19" i="10"/>
  <c r="AR19" i="10" s="1"/>
  <c r="AO19" i="10"/>
  <c r="AH19" i="10"/>
  <c r="AG19" i="10"/>
  <c r="AE19" i="10"/>
  <c r="X19" i="10"/>
  <c r="W19" i="10"/>
  <c r="U19" i="10"/>
  <c r="M19" i="10"/>
  <c r="N19" i="10" s="1"/>
  <c r="K19" i="10"/>
  <c r="C19" i="10"/>
  <c r="D19" i="10" s="1"/>
  <c r="BS18" i="10"/>
  <c r="BL18" i="10"/>
  <c r="BK18" i="10"/>
  <c r="BI18" i="10"/>
  <c r="BB18" i="10"/>
  <c r="BA18" i="10"/>
  <c r="AY18" i="10"/>
  <c r="AQ18" i="10"/>
  <c r="AR18" i="10" s="1"/>
  <c r="AO18" i="10"/>
  <c r="AG18" i="10"/>
  <c r="AH18" i="10" s="1"/>
  <c r="AE18" i="10"/>
  <c r="X18" i="10"/>
  <c r="W18" i="10"/>
  <c r="U18" i="10"/>
  <c r="N18" i="10"/>
  <c r="M18" i="10"/>
  <c r="K18" i="10"/>
  <c r="C18" i="10"/>
  <c r="D18" i="10" s="1"/>
  <c r="BS17" i="10"/>
  <c r="BK17" i="10"/>
  <c r="BL17" i="10" s="1"/>
  <c r="BI17" i="10"/>
  <c r="BB17" i="10"/>
  <c r="BA17" i="10"/>
  <c r="AY17" i="10"/>
  <c r="AR17" i="10"/>
  <c r="AQ17" i="10"/>
  <c r="AO17" i="10"/>
  <c r="AG17" i="10"/>
  <c r="AH17" i="10" s="1"/>
  <c r="AE17" i="10"/>
  <c r="W17" i="10"/>
  <c r="X17" i="10" s="1"/>
  <c r="U17" i="10"/>
  <c r="N17" i="10"/>
  <c r="M17" i="10"/>
  <c r="K17" i="10"/>
  <c r="D17" i="10"/>
  <c r="C17" i="10"/>
  <c r="BS16" i="10"/>
  <c r="BK16" i="10"/>
  <c r="BL16" i="10" s="1"/>
  <c r="BI16" i="10"/>
  <c r="BA16" i="10"/>
  <c r="BB16" i="10" s="1"/>
  <c r="AY16" i="10"/>
  <c r="AR16" i="10"/>
  <c r="AQ16" i="10"/>
  <c r="AO16" i="10"/>
  <c r="AH16" i="10"/>
  <c r="AG16" i="10"/>
  <c r="AE16" i="10"/>
  <c r="W16" i="10"/>
  <c r="X16" i="10" s="1"/>
  <c r="U16" i="10"/>
  <c r="M16" i="10"/>
  <c r="N16" i="10" s="1"/>
  <c r="K16" i="10"/>
  <c r="D16" i="10"/>
  <c r="C16" i="10"/>
  <c r="BS15" i="10"/>
  <c r="BL15" i="10"/>
  <c r="BK15" i="10"/>
  <c r="BI15" i="10"/>
  <c r="BA15" i="10"/>
  <c r="BB15" i="10" s="1"/>
  <c r="AY15" i="10"/>
  <c r="AQ15" i="10"/>
  <c r="AR15" i="10" s="1"/>
  <c r="AO15" i="10"/>
  <c r="AH15" i="10"/>
  <c r="AG15" i="10"/>
  <c r="AE15" i="10"/>
  <c r="X15" i="10"/>
  <c r="W15" i="10"/>
  <c r="U15" i="10"/>
  <c r="M15" i="10"/>
  <c r="N15" i="10" s="1"/>
  <c r="K15" i="10"/>
  <c r="C15" i="10"/>
  <c r="D15" i="10" s="1"/>
  <c r="BS14" i="10"/>
  <c r="BL14" i="10"/>
  <c r="BK14" i="10"/>
  <c r="BI14" i="10"/>
  <c r="BB14" i="10"/>
  <c r="BA14" i="10"/>
  <c r="AY14" i="10"/>
  <c r="AQ14" i="10"/>
  <c r="AR14" i="10" s="1"/>
  <c r="AO14" i="10"/>
  <c r="AG14" i="10"/>
  <c r="AH14" i="10" s="1"/>
  <c r="AE14" i="10"/>
  <c r="X14" i="10"/>
  <c r="W14" i="10"/>
  <c r="U14" i="10"/>
  <c r="N14" i="10"/>
  <c r="M14" i="10"/>
  <c r="K14" i="10"/>
  <c r="C14" i="10"/>
  <c r="D14" i="10" s="1"/>
  <c r="BS13" i="10"/>
  <c r="BK13" i="10"/>
  <c r="BL13" i="10" s="1"/>
  <c r="BI13" i="10"/>
  <c r="BI29" i="10" s="1"/>
  <c r="BB13" i="10"/>
  <c r="BA13" i="10"/>
  <c r="AY13" i="10"/>
  <c r="AR13" i="10"/>
  <c r="AQ13" i="10"/>
  <c r="AO13" i="10"/>
  <c r="AG13" i="10"/>
  <c r="AG29" i="10" s="1"/>
  <c r="AE13" i="10"/>
  <c r="W13" i="10"/>
  <c r="X13" i="10" s="1"/>
  <c r="U13" i="10"/>
  <c r="U29" i="10" s="1"/>
  <c r="N13" i="10"/>
  <c r="M13" i="10"/>
  <c r="K13" i="10"/>
  <c r="D13" i="10"/>
  <c r="C13" i="10"/>
  <c r="BS12" i="10"/>
  <c r="BK12" i="10"/>
  <c r="BL12" i="10" s="1"/>
  <c r="BI12" i="10"/>
  <c r="BA12" i="10"/>
  <c r="BB12" i="10" s="1"/>
  <c r="AY12" i="10"/>
  <c r="AR12" i="10"/>
  <c r="AQ12" i="10"/>
  <c r="AO12" i="10"/>
  <c r="AH12" i="10"/>
  <c r="AG12" i="10"/>
  <c r="AE12" i="10"/>
  <c r="W12" i="10"/>
  <c r="X12" i="10" s="1"/>
  <c r="U12" i="10"/>
  <c r="M12" i="10"/>
  <c r="N12" i="10" s="1"/>
  <c r="K12" i="10"/>
  <c r="D12" i="10"/>
  <c r="C12" i="10"/>
  <c r="BS11" i="10"/>
  <c r="BS29" i="10" s="1"/>
  <c r="BL11" i="10"/>
  <c r="BK11" i="10"/>
  <c r="BK29" i="10" s="1"/>
  <c r="BI11" i="10"/>
  <c r="BA11" i="10"/>
  <c r="BA29" i="10" s="1"/>
  <c r="AY11" i="10"/>
  <c r="AY29" i="10" s="1"/>
  <c r="AY61" i="10" s="1"/>
  <c r="AQ11" i="10"/>
  <c r="AQ29" i="10" s="1"/>
  <c r="AO11" i="10"/>
  <c r="AO29" i="10" s="1"/>
  <c r="AH11" i="10"/>
  <c r="AG11" i="10"/>
  <c r="AE11" i="10"/>
  <c r="AE29" i="10" s="1"/>
  <c r="AE61" i="10" s="1"/>
  <c r="X11" i="10"/>
  <c r="W11" i="10"/>
  <c r="W29" i="10" s="1"/>
  <c r="U11" i="10"/>
  <c r="M11" i="10"/>
  <c r="M29" i="10" s="1"/>
  <c r="K11" i="10"/>
  <c r="K29" i="10" s="1"/>
  <c r="C11" i="10"/>
  <c r="C29" i="10" s="1"/>
  <c r="BA7" i="1"/>
  <c r="BA8" i="1"/>
  <c r="M63" i="8"/>
  <c r="M54" i="8"/>
  <c r="M7" i="8"/>
  <c r="L63" i="8"/>
  <c r="L7" i="8"/>
  <c r="L54" i="8"/>
  <c r="K7" i="8"/>
  <c r="X29" i="10" l="1"/>
  <c r="BS61" i="10"/>
  <c r="BS100" i="10" s="1"/>
  <c r="AJ100" i="10"/>
  <c r="K61" i="10"/>
  <c r="AR85" i="10"/>
  <c r="D29" i="10"/>
  <c r="BB29" i="10"/>
  <c r="N29" i="10"/>
  <c r="AR29" i="10"/>
  <c r="BK61" i="10"/>
  <c r="BL29" i="10"/>
  <c r="AH29" i="10"/>
  <c r="AG98" i="10"/>
  <c r="AH90" i="10"/>
  <c r="U45" i="10"/>
  <c r="U61" i="10" s="1"/>
  <c r="C45" i="10"/>
  <c r="D45" i="10" s="1"/>
  <c r="AG85" i="10"/>
  <c r="AH76" i="10"/>
  <c r="N11" i="10"/>
  <c r="BB11" i="10"/>
  <c r="AH13" i="10"/>
  <c r="BI45" i="10"/>
  <c r="BI61" i="10" s="1"/>
  <c r="BI100" i="10" s="1"/>
  <c r="X34" i="10"/>
  <c r="W59" i="10"/>
  <c r="X59" i="10" s="1"/>
  <c r="H100" i="10"/>
  <c r="M73" i="10"/>
  <c r="N73" i="10" s="1"/>
  <c r="AV100" i="10"/>
  <c r="D11" i="10"/>
  <c r="AR11" i="10"/>
  <c r="BN61" i="10"/>
  <c r="BR61" i="10"/>
  <c r="AQ45" i="10"/>
  <c r="AR45" i="10" s="1"/>
  <c r="M59" i="10"/>
  <c r="N59" i="10" s="1"/>
  <c r="AQ59" i="10"/>
  <c r="AR59" i="10" s="1"/>
  <c r="BP100" i="10"/>
  <c r="T100" i="10"/>
  <c r="L112" i="10" s="1"/>
  <c r="C59" i="10"/>
  <c r="D59" i="10" s="1"/>
  <c r="AZ100" i="10"/>
  <c r="AG45" i="10"/>
  <c r="AH45" i="10" s="1"/>
  <c r="BB48" i="10"/>
  <c r="W73" i="10"/>
  <c r="X73" i="10" s="1"/>
  <c r="X66" i="10"/>
  <c r="AO73" i="10"/>
  <c r="AO87" i="10" s="1"/>
  <c r="BB67" i="10"/>
  <c r="AF100" i="10"/>
  <c r="C85" i="10"/>
  <c r="D76" i="10"/>
  <c r="G61" i="10"/>
  <c r="AA61" i="10"/>
  <c r="BC61" i="10"/>
  <c r="BG61" i="10"/>
  <c r="M45" i="10"/>
  <c r="N45" i="10" s="1"/>
  <c r="AO45" i="10"/>
  <c r="AO61" i="10" s="1"/>
  <c r="AO100" i="10" s="1"/>
  <c r="BA45" i="10"/>
  <c r="BB45" i="10" s="1"/>
  <c r="BK59" i="10"/>
  <c r="BL59" i="10" s="1"/>
  <c r="AG73" i="10"/>
  <c r="AH73" i="10" s="1"/>
  <c r="AY73" i="10"/>
  <c r="BK73" i="10"/>
  <c r="BL73" i="10" s="1"/>
  <c r="BL66" i="10"/>
  <c r="AN100" i="10"/>
  <c r="AF112" i="10" s="1"/>
  <c r="M85" i="10"/>
  <c r="BI85" i="10"/>
  <c r="BI87" i="10" s="1"/>
  <c r="V87" i="10"/>
  <c r="AS87" i="10"/>
  <c r="AS100" i="10" s="1"/>
  <c r="BI59" i="10"/>
  <c r="AG59" i="10"/>
  <c r="AH59" i="10" s="1"/>
  <c r="AE73" i="10"/>
  <c r="AE87" i="10" s="1"/>
  <c r="AQ73" i="10"/>
  <c r="AR73" i="10" s="1"/>
  <c r="AB100" i="10"/>
  <c r="U85" i="10"/>
  <c r="U87" i="10" s="1"/>
  <c r="AY85" i="10"/>
  <c r="BL76" i="10"/>
  <c r="BK85" i="10"/>
  <c r="E87" i="10"/>
  <c r="G100" i="10"/>
  <c r="R100" i="10"/>
  <c r="Y100" i="10"/>
  <c r="AC100" i="10"/>
  <c r="AU100" i="10"/>
  <c r="BF100" i="10"/>
  <c r="C73" i="10"/>
  <c r="D73" i="10" s="1"/>
  <c r="AR66" i="10"/>
  <c r="L100" i="10"/>
  <c r="P100" i="10"/>
  <c r="BD100" i="10"/>
  <c r="BH100" i="10"/>
  <c r="AZ112" i="10" s="1"/>
  <c r="K85" i="10"/>
  <c r="K87" i="10" s="1"/>
  <c r="W85" i="10"/>
  <c r="X76" i="10"/>
  <c r="BA85" i="10"/>
  <c r="BS85" i="10"/>
  <c r="BS87" i="10" s="1"/>
  <c r="F87" i="10"/>
  <c r="J87" i="10"/>
  <c r="J100" i="10" s="1"/>
  <c r="B112" i="10" s="1"/>
  <c r="AK87" i="10"/>
  <c r="BM87" i="10"/>
  <c r="BM100" i="10" s="1"/>
  <c r="BQ87" i="10"/>
  <c r="BQ100" i="10" s="1"/>
  <c r="BL98" i="10"/>
  <c r="AT87" i="10"/>
  <c r="AT100" i="10" s="1"/>
  <c r="AX87" i="10"/>
  <c r="AX100" i="10" s="1"/>
  <c r="AP112" i="10" s="1"/>
  <c r="BF87" i="10"/>
  <c r="BJ87" i="10"/>
  <c r="BJ100" i="10" s="1"/>
  <c r="N98" i="10"/>
  <c r="AR98" i="10"/>
  <c r="E100" i="10"/>
  <c r="I100" i="10"/>
  <c r="AA100" i="10"/>
  <c r="AW100" i="10"/>
  <c r="BO100" i="10"/>
  <c r="Z87" i="10"/>
  <c r="AD87" i="10"/>
  <c r="AL87" i="10"/>
  <c r="AL100" i="10" s="1"/>
  <c r="AP87" i="10"/>
  <c r="AP100" i="10" s="1"/>
  <c r="D98" i="10"/>
  <c r="N90" i="10"/>
  <c r="AE98" i="10"/>
  <c r="AR90" i="10"/>
  <c r="F100" i="10"/>
  <c r="Q100" i="10"/>
  <c r="V100" i="10"/>
  <c r="AI100" i="10"/>
  <c r="AM100" i="10"/>
  <c r="BE100" i="10"/>
  <c r="B87" i="10"/>
  <c r="BN87" i="10"/>
  <c r="BR87" i="10"/>
  <c r="BR100" i="10" s="1"/>
  <c r="BJ112" i="10" s="1"/>
  <c r="K98" i="10"/>
  <c r="K100" i="10" s="1"/>
  <c r="W98" i="10"/>
  <c r="BB98" i="10"/>
  <c r="B100" i="10"/>
  <c r="O100" i="10"/>
  <c r="S100" i="10"/>
  <c r="Z100" i="10"/>
  <c r="AD100" i="10"/>
  <c r="V112" i="10" s="1"/>
  <c r="AK100" i="10"/>
  <c r="BC100" i="10"/>
  <c r="BG100" i="10"/>
  <c r="BN100" i="10"/>
  <c r="K63" i="8"/>
  <c r="K54" i="8"/>
  <c r="AP114" i="10" l="1"/>
  <c r="AP117" i="10"/>
  <c r="BJ117" i="10"/>
  <c r="BJ114" i="10"/>
  <c r="U100" i="10"/>
  <c r="AF117" i="10"/>
  <c r="AF114" i="10"/>
  <c r="M87" i="10"/>
  <c r="N85" i="10"/>
  <c r="AH85" i="10"/>
  <c r="AG87" i="10"/>
  <c r="BL61" i="10"/>
  <c r="M61" i="10"/>
  <c r="C61" i="10"/>
  <c r="AZ114" i="10"/>
  <c r="AZ117" i="10"/>
  <c r="X98" i="10"/>
  <c r="AQ87" i="10"/>
  <c r="W61" i="10"/>
  <c r="L114" i="10"/>
  <c r="L117" i="10"/>
  <c r="BA87" i="10"/>
  <c r="BB85" i="10"/>
  <c r="AY87" i="10"/>
  <c r="AY100" i="10" s="1"/>
  <c r="AH98" i="10"/>
  <c r="B114" i="10"/>
  <c r="B117" i="10"/>
  <c r="X85" i="10"/>
  <c r="W87" i="10"/>
  <c r="AE100" i="10"/>
  <c r="V117" i="10"/>
  <c r="V114" i="10"/>
  <c r="BL85" i="10"/>
  <c r="BK87" i="10"/>
  <c r="D85" i="10"/>
  <c r="C87" i="10"/>
  <c r="AG61" i="10"/>
  <c r="AQ61" i="10"/>
  <c r="BA61" i="10"/>
  <c r="K28" i="8"/>
  <c r="AH18" i="5"/>
  <c r="M69" i="8"/>
  <c r="M72" i="8" s="1"/>
  <c r="M57" i="8"/>
  <c r="M32" i="8"/>
  <c r="M10" i="8"/>
  <c r="M13" i="8" s="1"/>
  <c r="L69" i="8"/>
  <c r="K69" i="8"/>
  <c r="D87" i="10" l="1"/>
  <c r="C100" i="10"/>
  <c r="AR87" i="10"/>
  <c r="AQ100" i="10"/>
  <c r="AH87" i="10"/>
  <c r="N87" i="10"/>
  <c r="M100" i="10"/>
  <c r="BB61" i="10"/>
  <c r="N61" i="10"/>
  <c r="AH61" i="10"/>
  <c r="AG100" i="10"/>
  <c r="BB87" i="10"/>
  <c r="BA100" i="10"/>
  <c r="X61" i="10"/>
  <c r="X87" i="10"/>
  <c r="D61" i="10"/>
  <c r="AR61" i="10"/>
  <c r="BL87" i="10"/>
  <c r="BK100" i="10"/>
  <c r="W100" i="10"/>
  <c r="M59" i="8"/>
  <c r="AG18" i="5"/>
  <c r="AV12" i="1"/>
  <c r="AV11" i="1"/>
  <c r="AV7" i="1"/>
  <c r="AV8" i="1"/>
  <c r="AG7" i="1"/>
  <c r="AG8" i="1"/>
  <c r="AL7" i="1"/>
  <c r="AL8" i="1"/>
  <c r="AQ7" i="1"/>
  <c r="AQ8" i="1"/>
  <c r="J69" i="8"/>
  <c r="J50" i="8"/>
  <c r="J7" i="8"/>
  <c r="J63" i="8"/>
  <c r="J54" i="8"/>
  <c r="J28" i="8"/>
  <c r="BJ111" i="10" l="1"/>
  <c r="BL100" i="10"/>
  <c r="BJ118" i="10"/>
  <c r="N100" i="10"/>
  <c r="L111" i="10"/>
  <c r="L118" i="10"/>
  <c r="B111" i="10"/>
  <c r="D100" i="10"/>
  <c r="B118" i="10"/>
  <c r="AH100" i="10"/>
  <c r="AF111" i="10"/>
  <c r="AF118" i="10"/>
  <c r="AP111" i="10"/>
  <c r="AR100" i="10"/>
  <c r="AP118" i="10"/>
  <c r="V111" i="10"/>
  <c r="X100" i="10"/>
  <c r="V118" i="10"/>
  <c r="BB100" i="10"/>
  <c r="AZ111" i="10"/>
  <c r="AZ118" i="10"/>
  <c r="AE22" i="1"/>
  <c r="AE18" i="1"/>
  <c r="AJ22" i="1"/>
  <c r="AJ18" i="1"/>
  <c r="AO22" i="1"/>
  <c r="AO18" i="1"/>
  <c r="AZ123" i="10" l="1"/>
  <c r="AZ121" i="10"/>
  <c r="AZ122" i="10"/>
  <c r="AZ124" i="10"/>
  <c r="AZ115" i="10"/>
  <c r="AZ120" i="10"/>
  <c r="AZ119" i="10"/>
  <c r="V121" i="10"/>
  <c r="V122" i="10"/>
  <c r="V123" i="10"/>
  <c r="V115" i="10"/>
  <c r="V124" i="10"/>
  <c r="V119" i="10"/>
  <c r="V120" i="10"/>
  <c r="AF121" i="10"/>
  <c r="AF122" i="10"/>
  <c r="AF123" i="10"/>
  <c r="AF115" i="10"/>
  <c r="AF124" i="10"/>
  <c r="AF120" i="10"/>
  <c r="AF119" i="10"/>
  <c r="B122" i="10"/>
  <c r="B123" i="10"/>
  <c r="B121" i="10"/>
  <c r="B124" i="10"/>
  <c r="B115" i="10"/>
  <c r="B120" i="10"/>
  <c r="B119" i="10"/>
  <c r="AP122" i="10"/>
  <c r="AP123" i="10"/>
  <c r="AP121" i="10"/>
  <c r="AP124" i="10"/>
  <c r="AP115" i="10"/>
  <c r="AP119" i="10"/>
  <c r="AP120" i="10"/>
  <c r="L123" i="10"/>
  <c r="L121" i="10"/>
  <c r="L122" i="10"/>
  <c r="L124" i="10"/>
  <c r="L115" i="10"/>
  <c r="L120" i="10"/>
  <c r="L119" i="10"/>
  <c r="BJ121" i="10"/>
  <c r="BJ122" i="10"/>
  <c r="BJ123" i="10"/>
  <c r="BJ124" i="10"/>
  <c r="BJ115" i="10"/>
  <c r="BJ119" i="10"/>
  <c r="BJ120" i="10"/>
  <c r="L72" i="8"/>
  <c r="L57" i="8"/>
  <c r="L32" i="8"/>
  <c r="L10" i="8"/>
  <c r="L13" i="8" s="1"/>
  <c r="L59" i="8" l="1"/>
  <c r="AG20" i="5" l="1"/>
  <c r="AV9" i="1"/>
  <c r="BA9" i="1"/>
  <c r="BF9" i="1"/>
  <c r="K72" i="8" l="1"/>
  <c r="K57" i="8"/>
  <c r="K32" i="8"/>
  <c r="K10" i="8"/>
  <c r="K13" i="8" s="1"/>
  <c r="K59" i="8" l="1"/>
  <c r="AI20" i="5" l="1"/>
  <c r="AH20" i="5"/>
  <c r="AF20" i="5"/>
  <c r="AE20" i="5"/>
  <c r="AD20" i="5"/>
  <c r="AC20" i="5"/>
  <c r="AB20" i="5"/>
  <c r="AA20" i="5"/>
  <c r="Z20" i="5"/>
  <c r="AQ9" i="1"/>
  <c r="AL9" i="1"/>
  <c r="AG9" i="1"/>
  <c r="AB9" i="1"/>
  <c r="W9" i="1"/>
  <c r="R9" i="1"/>
  <c r="M9" i="1"/>
  <c r="H9" i="1"/>
  <c r="I50" i="8" l="1"/>
  <c r="I63" i="8"/>
  <c r="I7" i="8"/>
  <c r="I28" i="8" l="1"/>
  <c r="J72" i="8" l="1"/>
  <c r="J57" i="8"/>
  <c r="J32" i="8"/>
  <c r="J10" i="8"/>
  <c r="J13" i="8" s="1"/>
  <c r="J59" i="8" l="1"/>
  <c r="H63" i="8"/>
  <c r="H7" i="8"/>
  <c r="I72" i="8" l="1"/>
  <c r="I57" i="8"/>
  <c r="I32" i="8"/>
  <c r="I10" i="8"/>
  <c r="I13" i="8" s="1"/>
  <c r="I59" i="8" l="1"/>
  <c r="G66" i="8" l="1"/>
  <c r="G63" i="8" l="1"/>
  <c r="G7" i="8"/>
  <c r="G10" i="8"/>
  <c r="AD6" i="5" l="1"/>
  <c r="BF13" i="1" l="1"/>
  <c r="BA13" i="1"/>
  <c r="AV13" i="1"/>
  <c r="AQ13" i="1"/>
  <c r="AL13" i="1"/>
  <c r="AB13" i="1"/>
  <c r="W13" i="1"/>
  <c r="R13" i="1"/>
  <c r="M13" i="1"/>
  <c r="H13" i="1"/>
  <c r="D57" i="8" l="1"/>
  <c r="E57" i="8"/>
  <c r="F57" i="8"/>
  <c r="G57" i="8"/>
  <c r="H57" i="8"/>
  <c r="C57" i="8"/>
  <c r="C32" i="8"/>
  <c r="D32" i="8"/>
  <c r="AC7" i="5" l="1"/>
  <c r="F32" i="8" l="1"/>
  <c r="G32" i="8"/>
  <c r="H32" i="8"/>
  <c r="E32" i="8"/>
  <c r="D72" i="8" l="1"/>
  <c r="E72" i="8"/>
  <c r="F72" i="8"/>
  <c r="G72" i="8"/>
  <c r="H72" i="8"/>
  <c r="C72" i="8"/>
  <c r="H10" i="8"/>
  <c r="H13" i="8" s="1"/>
  <c r="H59" i="8" s="1"/>
  <c r="G13" i="8"/>
  <c r="G59" i="8" s="1"/>
  <c r="F10" i="8"/>
  <c r="F13" i="8" s="1"/>
  <c r="F59" i="8" s="1"/>
  <c r="E10" i="8"/>
  <c r="E13" i="8" s="1"/>
  <c r="E59" i="8" s="1"/>
  <c r="D10" i="8"/>
  <c r="D13" i="8" s="1"/>
  <c r="C10" i="8"/>
  <c r="C13" i="8" s="1"/>
  <c r="W34" i="5"/>
  <c r="U34" i="5"/>
  <c r="S34" i="5"/>
  <c r="Q34" i="5"/>
  <c r="O34" i="5"/>
  <c r="M34" i="5"/>
  <c r="K34" i="5"/>
  <c r="I34" i="5"/>
  <c r="G34" i="5"/>
  <c r="E34" i="5"/>
  <c r="BB31" i="1"/>
  <c r="AW31" i="1"/>
  <c r="AR31" i="1"/>
  <c r="AM31" i="1"/>
  <c r="BD29" i="1"/>
  <c r="BC29" i="1"/>
  <c r="BB29" i="1"/>
  <c r="BE28" i="1"/>
  <c r="BE27" i="1"/>
  <c r="BE29" i="1" s="1"/>
  <c r="BD22" i="1"/>
  <c r="BC22" i="1"/>
  <c r="BB22" i="1"/>
  <c r="BE21" i="1"/>
  <c r="BE20" i="1"/>
  <c r="BD18" i="1"/>
  <c r="BC18" i="1"/>
  <c r="BB18" i="1"/>
  <c r="BE17" i="1"/>
  <c r="BE16" i="1"/>
  <c r="BD9" i="1"/>
  <c r="BC9" i="1"/>
  <c r="BB9" i="1"/>
  <c r="BE8" i="1"/>
  <c r="BE7" i="1"/>
  <c r="AY29" i="1"/>
  <c r="AX29" i="1"/>
  <c r="AW29" i="1"/>
  <c r="AZ28" i="1"/>
  <c r="AZ27" i="1"/>
  <c r="AY22" i="1"/>
  <c r="AX22" i="1"/>
  <c r="AW22" i="1"/>
  <c r="AZ21" i="1"/>
  <c r="AZ20" i="1"/>
  <c r="AY18" i="1"/>
  <c r="AX18" i="1"/>
  <c r="AW18" i="1"/>
  <c r="AZ17" i="1"/>
  <c r="AZ16" i="1"/>
  <c r="AY9" i="1"/>
  <c r="AX9" i="1"/>
  <c r="AW9" i="1"/>
  <c r="AZ8" i="1"/>
  <c r="AZ7" i="1"/>
  <c r="AT29" i="1"/>
  <c r="AS29" i="1"/>
  <c r="AR29" i="1"/>
  <c r="AU28" i="1"/>
  <c r="AU27" i="1"/>
  <c r="AT22" i="1"/>
  <c r="AS22" i="1"/>
  <c r="AR22" i="1"/>
  <c r="AU21" i="1"/>
  <c r="AU20" i="1"/>
  <c r="AT18" i="1"/>
  <c r="AS18" i="1"/>
  <c r="AR18" i="1"/>
  <c r="AU17" i="1"/>
  <c r="AU16" i="1"/>
  <c r="AT9" i="1"/>
  <c r="AS9" i="1"/>
  <c r="AR9" i="1"/>
  <c r="AU8" i="1"/>
  <c r="AU7" i="1"/>
  <c r="AU18" i="1" l="1"/>
  <c r="AU29" i="1"/>
  <c r="BE22" i="1"/>
  <c r="AZ29" i="1"/>
  <c r="AU22" i="1"/>
  <c r="AU9" i="1"/>
  <c r="AZ9" i="1"/>
  <c r="AZ18" i="1"/>
  <c r="AZ22" i="1"/>
  <c r="BE9" i="1"/>
  <c r="BE18" i="1"/>
  <c r="C59" i="8"/>
  <c r="C61" i="8" s="1"/>
  <c r="C67" i="8" s="1"/>
  <c r="D4" i="8" s="1"/>
  <c r="D59" i="8"/>
  <c r="D61" i="8" l="1"/>
  <c r="D67" i="8" s="1"/>
  <c r="E4" i="8" s="1"/>
  <c r="E61" i="8" l="1"/>
  <c r="E67" i="8" s="1"/>
  <c r="F4" i="8" l="1"/>
  <c r="F61" i="8" s="1"/>
  <c r="F67" i="8" s="1"/>
  <c r="G4" i="8" l="1"/>
  <c r="G61" i="8" s="1"/>
  <c r="G67" i="8" s="1"/>
  <c r="H4" i="8" s="1"/>
  <c r="H61" i="8" s="1"/>
  <c r="H67" i="8" s="1"/>
  <c r="I4" i="8" s="1"/>
  <c r="I61" i="8" s="1"/>
  <c r="I67" i="8" s="1"/>
  <c r="J4" i="8" s="1"/>
  <c r="J61" i="8" s="1"/>
  <c r="J67" i="8" s="1"/>
  <c r="K4" i="8" s="1"/>
  <c r="K61" i="8" s="1"/>
  <c r="K67" i="8" s="1"/>
  <c r="L4" i="8" s="1"/>
  <c r="L61" i="8" s="1"/>
  <c r="L67" i="8" s="1"/>
  <c r="M4" i="8" s="1"/>
  <c r="M61" i="8" s="1"/>
  <c r="M67" i="8" s="1"/>
  <c r="AG13" i="1" l="1"/>
  <c r="AH31" i="1"/>
  <c r="AC31" i="1"/>
  <c r="X31" i="1"/>
  <c r="S31" i="1"/>
  <c r="N31" i="1"/>
  <c r="I31" i="1"/>
  <c r="D31" i="1"/>
  <c r="AO29" i="1"/>
  <c r="AN29" i="1"/>
  <c r="AM29" i="1"/>
  <c r="AP28" i="1"/>
  <c r="AP27" i="1"/>
  <c r="AN22" i="1"/>
  <c r="AM22" i="1"/>
  <c r="AP21" i="1"/>
  <c r="AP20" i="1"/>
  <c r="AN18" i="1"/>
  <c r="AM18" i="1"/>
  <c r="AP17" i="1"/>
  <c r="AP16" i="1"/>
  <c r="AO9" i="1"/>
  <c r="AN9" i="1"/>
  <c r="AM9" i="1"/>
  <c r="AP8" i="1"/>
  <c r="AP7" i="1"/>
  <c r="AJ29" i="1"/>
  <c r="AI29" i="1"/>
  <c r="AH29" i="1"/>
  <c r="AK28" i="1"/>
  <c r="AK27" i="1"/>
  <c r="AI22" i="1"/>
  <c r="AH22" i="1"/>
  <c r="AK21" i="1"/>
  <c r="AK20" i="1"/>
  <c r="AI18" i="1"/>
  <c r="AH18" i="1"/>
  <c r="AK17" i="1"/>
  <c r="AK16" i="1"/>
  <c r="AJ9" i="1"/>
  <c r="AI9" i="1"/>
  <c r="AH9" i="1"/>
  <c r="AK8" i="1"/>
  <c r="AK7" i="1"/>
  <c r="AK9" i="1" s="1"/>
  <c r="AK18" i="1" l="1"/>
  <c r="AP9" i="1"/>
  <c r="AP18" i="1"/>
  <c r="AK22" i="1"/>
  <c r="AP22" i="1"/>
  <c r="AK29" i="1"/>
  <c r="AP29" i="1"/>
  <c r="AD22" i="1" l="1"/>
  <c r="AC22" i="1"/>
  <c r="AF21" i="1"/>
  <c r="AF20" i="1"/>
  <c r="AD18" i="1"/>
  <c r="AC18" i="1"/>
  <c r="AF17" i="1"/>
  <c r="AF16" i="1"/>
  <c r="Z22" i="1"/>
  <c r="Y22" i="1"/>
  <c r="X22" i="1"/>
  <c r="AA21" i="1"/>
  <c r="AA20" i="1"/>
  <c r="Z18" i="1"/>
  <c r="Y18" i="1"/>
  <c r="X18" i="1"/>
  <c r="AA17" i="1"/>
  <c r="AA16" i="1"/>
  <c r="U22" i="1"/>
  <c r="T22" i="1"/>
  <c r="S22" i="1"/>
  <c r="V21" i="1"/>
  <c r="V20" i="1"/>
  <c r="U18" i="1"/>
  <c r="T18" i="1"/>
  <c r="S18" i="1"/>
  <c r="V17" i="1"/>
  <c r="V16" i="1"/>
  <c r="P22" i="1"/>
  <c r="O22" i="1"/>
  <c r="N22" i="1"/>
  <c r="Q21" i="1"/>
  <c r="Q20" i="1"/>
  <c r="P18" i="1"/>
  <c r="O18" i="1"/>
  <c r="N18" i="1"/>
  <c r="Q17" i="1"/>
  <c r="Q16" i="1"/>
  <c r="Q18" i="1" s="1"/>
  <c r="K22" i="1"/>
  <c r="J22" i="1"/>
  <c r="I22" i="1"/>
  <c r="L21" i="1"/>
  <c r="L20" i="1"/>
  <c r="K18" i="1"/>
  <c r="J18" i="1"/>
  <c r="I18" i="1"/>
  <c r="L17" i="1"/>
  <c r="L16" i="1"/>
  <c r="F22" i="1"/>
  <c r="F18" i="1"/>
  <c r="V22" i="1" l="1"/>
  <c r="L22" i="1"/>
  <c r="AA18" i="1"/>
  <c r="AF18" i="1"/>
  <c r="L18" i="1"/>
  <c r="Q22" i="1"/>
  <c r="AF22" i="1"/>
  <c r="AA22" i="1"/>
  <c r="V18" i="1"/>
  <c r="AE29" i="1"/>
  <c r="AD29" i="1"/>
  <c r="AC29" i="1"/>
  <c r="Z29" i="1"/>
  <c r="Y29" i="1"/>
  <c r="X29" i="1"/>
  <c r="U29" i="1"/>
  <c r="T29" i="1"/>
  <c r="S29" i="1"/>
  <c r="P29" i="1"/>
  <c r="O29" i="1"/>
  <c r="N29" i="1"/>
  <c r="K29" i="1"/>
  <c r="J29" i="1"/>
  <c r="I29" i="1"/>
  <c r="F29" i="1"/>
  <c r="E29" i="1"/>
  <c r="D29" i="1"/>
  <c r="AF28" i="1"/>
  <c r="AA28" i="1"/>
  <c r="V28" i="1"/>
  <c r="Q28" i="1"/>
  <c r="L28" i="1"/>
  <c r="G28" i="1"/>
  <c r="AF27" i="1"/>
  <c r="AA27" i="1"/>
  <c r="V27" i="1"/>
  <c r="Q27" i="1"/>
  <c r="L27" i="1"/>
  <c r="G27" i="1"/>
  <c r="P9" i="1"/>
  <c r="O9" i="1"/>
  <c r="N9" i="1"/>
  <c r="Q8" i="1"/>
  <c r="Q7" i="1"/>
  <c r="K9" i="1"/>
  <c r="J9" i="1"/>
  <c r="I9" i="1"/>
  <c r="L8" i="1"/>
  <c r="L7" i="1"/>
  <c r="F9" i="1"/>
  <c r="E9" i="1"/>
  <c r="D9" i="1"/>
  <c r="G8" i="1"/>
  <c r="G7" i="1"/>
  <c r="AE9" i="1"/>
  <c r="AD9" i="1"/>
  <c r="AC9" i="1"/>
  <c r="AF8" i="1"/>
  <c r="AF7" i="1"/>
  <c r="Z9" i="1"/>
  <c r="Y9" i="1"/>
  <c r="X9" i="1"/>
  <c r="AA8" i="1"/>
  <c r="AA7" i="1"/>
  <c r="V8" i="1"/>
  <c r="V7" i="1"/>
  <c r="G9" i="1" l="1"/>
  <c r="AA9" i="1"/>
  <c r="L9" i="1"/>
  <c r="AF9" i="1"/>
  <c r="AA29" i="1"/>
  <c r="L29" i="1"/>
  <c r="AF29" i="1"/>
  <c r="Q29" i="1"/>
  <c r="V9" i="1"/>
  <c r="V29" i="1"/>
  <c r="Q9" i="1"/>
  <c r="G29" i="1"/>
  <c r="AI16" i="5" l="1"/>
  <c r="AH16" i="5"/>
  <c r="AG16" i="5"/>
  <c r="AF16" i="5"/>
  <c r="AE16" i="5"/>
  <c r="AD16" i="5"/>
  <c r="AC16" i="5"/>
  <c r="G21" i="1" l="1"/>
  <c r="G20" i="1"/>
  <c r="G17" i="1"/>
  <c r="G16" i="1"/>
  <c r="E22" i="1"/>
  <c r="D22" i="1"/>
  <c r="E18" i="1"/>
  <c r="D18" i="1"/>
  <c r="G22" i="1" l="1"/>
  <c r="G18" i="1"/>
  <c r="AB16" i="5" l="1"/>
  <c r="AA16" i="5"/>
  <c r="Z16" i="5"/>
  <c r="T9" i="1" l="1"/>
  <c r="S9" i="1"/>
  <c r="U9" i="1"/>
</calcChain>
</file>

<file path=xl/sharedStrings.xml><?xml version="1.0" encoding="utf-8"?>
<sst xmlns="http://schemas.openxmlformats.org/spreadsheetml/2006/main" count="502" uniqueCount="201">
  <si>
    <t>x</t>
  </si>
  <si>
    <t>Unduplicated Headcount</t>
  </si>
  <si>
    <t>Student Credit Hours</t>
  </si>
  <si>
    <t>FTE</t>
  </si>
  <si>
    <t>Undergraduate</t>
  </si>
  <si>
    <t>Resident</t>
  </si>
  <si>
    <t>Non-Resident</t>
  </si>
  <si>
    <t>Preparatory/
Remedial</t>
  </si>
  <si>
    <t>Dual Enrollment</t>
  </si>
  <si>
    <t>Gross Tuition</t>
  </si>
  <si>
    <t>Less:</t>
  </si>
  <si>
    <t>Net Tuition Income</t>
  </si>
  <si>
    <t>Student Contact Hours</t>
  </si>
  <si>
    <t>RATE/UNIT</t>
  </si>
  <si>
    <t>TOTAL REVENUE</t>
  </si>
  <si>
    <t>TYPE OF FEE</t>
  </si>
  <si>
    <t>REVENUE CLASS</t>
  </si>
  <si>
    <t>PCS SUB. PRO.</t>
  </si>
  <si>
    <t>Rate</t>
  </si>
  <si>
    <t>Unit</t>
  </si>
  <si>
    <t>MANDATORY FEES</t>
  </si>
  <si>
    <t>SEM</t>
  </si>
  <si>
    <t>Unres. Aux. Oper.</t>
  </si>
  <si>
    <t>Unres. Gen.</t>
  </si>
  <si>
    <t>OTHER FEES AND CHARGES</t>
  </si>
  <si>
    <t>Other</t>
  </si>
  <si>
    <t>FUNDING BY SOURCE</t>
  </si>
  <si>
    <t>PROGRAM DESCRIPTION</t>
  </si>
  <si>
    <t>Headcount</t>
  </si>
  <si>
    <t>Total Value</t>
  </si>
  <si>
    <t>Average Award</t>
  </si>
  <si>
    <t>Tuition Waivers</t>
  </si>
  <si>
    <t>Institution</t>
  </si>
  <si>
    <t>State</t>
  </si>
  <si>
    <t>Federal</t>
  </si>
  <si>
    <t>Amount to Nebraska Residents</t>
  </si>
  <si>
    <t>ACADEMIC AID</t>
  </si>
  <si>
    <t>(1) Need Based</t>
  </si>
  <si>
    <t>ACE</t>
  </si>
  <si>
    <t>ACE Plus</t>
  </si>
  <si>
    <t>Federal Direct Subsidized</t>
  </si>
  <si>
    <t>Federal Pell Grant</t>
  </si>
  <si>
    <t>Federal Supplemental Education Opportunity Grant (FSEOG)</t>
  </si>
  <si>
    <t>Foundation Aid (need-based)</t>
  </si>
  <si>
    <t>Nebraska Opportunity Grant (NOG)</t>
  </si>
  <si>
    <t xml:space="preserve">    Subtotal Need Based</t>
  </si>
  <si>
    <t>(2) Ability Based</t>
  </si>
  <si>
    <t>Foundation Aid (merit-based)</t>
  </si>
  <si>
    <t xml:space="preserve">    Subtotal Ability Based</t>
  </si>
  <si>
    <t>(3) Membership Based</t>
  </si>
  <si>
    <t>Academic Staff Waivers</t>
  </si>
  <si>
    <t>Senior Citizens Remissions</t>
  </si>
  <si>
    <t>Staff Dependent Waivers</t>
  </si>
  <si>
    <t xml:space="preserve">    Subtotal Membership Based</t>
  </si>
  <si>
    <t xml:space="preserve">    TOTAL ACADEMIC AID</t>
  </si>
  <si>
    <t>AID FOR SERVICE</t>
  </si>
  <si>
    <t>Work Study</t>
  </si>
  <si>
    <t>Men's Athletics</t>
  </si>
  <si>
    <t>Residence Hall Assistants</t>
  </si>
  <si>
    <t>Women's Athletics</t>
  </si>
  <si>
    <t xml:space="preserve">    TOTAL AID FOR SERVICE</t>
  </si>
  <si>
    <t>Other Aid</t>
  </si>
  <si>
    <t>Federal Direct Unsubsidized</t>
  </si>
  <si>
    <t>Federal PLUS</t>
  </si>
  <si>
    <t xml:space="preserve">    Subtotal Other Aid</t>
  </si>
  <si>
    <t xml:space="preserve">    GRAND TOTAL ACADEMIC AID, AID FOR SERVICE, OTHER AID</t>
  </si>
  <si>
    <t xml:space="preserve">     DATA CALCULATIONS</t>
  </si>
  <si>
    <t xml:space="preserve"> 1.  Total institutional headcount</t>
  </si>
  <si>
    <t xml:space="preserve"> 2.  Number of students participating in financial aid programs</t>
  </si>
  <si>
    <t xml:space="preserve"> 3.  Number of students receiving more than one aid</t>
  </si>
  <si>
    <t xml:space="preserve"> 4.  % of total institutional headcount receiving aid</t>
  </si>
  <si>
    <t xml:space="preserve"> 5.  Number of Nebraska residents receiving financial aid</t>
  </si>
  <si>
    <t xml:space="preserve"> 6.  % participation by Nebraska residents</t>
  </si>
  <si>
    <t xml:space="preserve"> 7.  Total dollar value of financial aid</t>
  </si>
  <si>
    <t xml:space="preserve"> 8.  Amount received by Nebraska residents</t>
  </si>
  <si>
    <t>Select Calendar</t>
  </si>
  <si>
    <t>Reimbursable for State Aid</t>
  </si>
  <si>
    <t>Non-Reimbursable for State Aid</t>
  </si>
  <si>
    <t>Of students reported above:</t>
  </si>
  <si>
    <t>2012-13</t>
  </si>
  <si>
    <t>2017-18</t>
  </si>
  <si>
    <t>2016-17</t>
  </si>
  <si>
    <t>2013-14</t>
  </si>
  <si>
    <t>2014-15</t>
  </si>
  <si>
    <t>2015-16</t>
  </si>
  <si>
    <t>2018-19</t>
  </si>
  <si>
    <t>2019-20</t>
  </si>
  <si>
    <t>Total</t>
  </si>
  <si>
    <t>2020-21</t>
  </si>
  <si>
    <t>2021-22</t>
  </si>
  <si>
    <t>2022-23</t>
  </si>
  <si>
    <t>Restricted</t>
  </si>
  <si>
    <t>SCH</t>
  </si>
  <si>
    <t>Cash Fund Number</t>
  </si>
  <si>
    <t>NCHEMS</t>
  </si>
  <si>
    <t>Actual</t>
  </si>
  <si>
    <t>Est.</t>
  </si>
  <si>
    <t>Sub-Prog</t>
  </si>
  <si>
    <t>Unencumb. Bal. Forward</t>
  </si>
  <si>
    <t>Tuition Income</t>
  </si>
  <si>
    <t xml:space="preserve">  Need-based Remissions/Scholar</t>
  </si>
  <si>
    <t xml:space="preserve">  Non-need-based Remissions/Sch</t>
  </si>
  <si>
    <t xml:space="preserve">  TOTAL Remissions/Scholarships</t>
  </si>
  <si>
    <t xml:space="preserve">  Refunds</t>
  </si>
  <si>
    <t>A Subtotal--Gross Tuition Less</t>
  </si>
  <si>
    <t xml:space="preserve">   Remissions &amp; Refunds</t>
  </si>
  <si>
    <t>Student Fees</t>
  </si>
  <si>
    <t>B Subtotal--Student Fees</t>
  </si>
  <si>
    <t>Other Income</t>
  </si>
  <si>
    <t>C Subtotal--Other Income</t>
  </si>
  <si>
    <t>TOTAL Cash Revenue (Sum A..C)</t>
  </si>
  <si>
    <t>TOTAL Cash Revenue + Balance</t>
  </si>
  <si>
    <t>(Less) PCS 1-7 Cash Expenditures</t>
  </si>
  <si>
    <t>(Less) PCS 8 Cash Exp. (Optional)</t>
  </si>
  <si>
    <t>(Less) Encumb.</t>
  </si>
  <si>
    <t>(Less) Necess. Reserve</t>
  </si>
  <si>
    <t>Available Balance</t>
  </si>
  <si>
    <t xml:space="preserve">C.F. Expenditures (PCS 1-7) </t>
  </si>
  <si>
    <t>PCS 8 Expenditures (if applicable)</t>
  </si>
  <si>
    <t>Total Cash Expenditures</t>
  </si>
  <si>
    <t xml:space="preserve">  Forms/Reports 100-A, 101-A</t>
  </si>
  <si>
    <t>Insert rows above here</t>
  </si>
  <si>
    <t>Insert rows above here by copying row above and Insert Copied Cells</t>
  </si>
  <si>
    <t>General</t>
  </si>
  <si>
    <t>Since 2014-15, a collaboration with a major industry partner has ended per company request. This has resulted in the dramatic decrease in reimbursable, non-resident headcount. Those students were taking proportionally less credits per student than non-industry, therefore not having the same amount of impact in credit hours/FTE.</t>
  </si>
  <si>
    <t>Facilities Fee</t>
  </si>
  <si>
    <t>General Purpose</t>
  </si>
  <si>
    <t>Student Acct. Fee</t>
  </si>
  <si>
    <t>Housing: McCook</t>
  </si>
  <si>
    <t>Housing: NP-North</t>
  </si>
  <si>
    <t>Housing: NP-South</t>
  </si>
  <si>
    <t>Meals: McCook</t>
  </si>
  <si>
    <t>Meals: North Platte</t>
  </si>
  <si>
    <t xml:space="preserve">  Late Registration</t>
  </si>
  <si>
    <t xml:space="preserve">  Change of Schedule</t>
  </si>
  <si>
    <t xml:space="preserve">  Matriculation</t>
  </si>
  <si>
    <t xml:space="preserve">  Degree</t>
  </si>
  <si>
    <t xml:space="preserve">  Health</t>
  </si>
  <si>
    <t xml:space="preserve">  Placement</t>
  </si>
  <si>
    <t xml:space="preserve">  Student Act.</t>
  </si>
  <si>
    <t xml:space="preserve">  Transcripts</t>
  </si>
  <si>
    <t xml:space="preserve">  I.D. Cards</t>
  </si>
  <si>
    <t xml:space="preserve">  Facilities Fee</t>
  </si>
  <si>
    <t xml:space="preserve">  Facilities Fee (transfer out)</t>
  </si>
  <si>
    <t xml:space="preserve">  Other</t>
  </si>
  <si>
    <t xml:space="preserve">  Interest</t>
  </si>
  <si>
    <t xml:space="preserve">  Federal Reimb.</t>
  </si>
  <si>
    <t xml:space="preserve">  Sales of Prop.</t>
  </si>
  <si>
    <t xml:space="preserve">  Auto Registration</t>
  </si>
  <si>
    <t xml:space="preserve">  Parking Fines</t>
  </si>
  <si>
    <t xml:space="preserve">  Library Fines</t>
  </si>
  <si>
    <t xml:space="preserve">  Gate Receipts</t>
  </si>
  <si>
    <t xml:space="preserve">  ACT Testing</t>
  </si>
  <si>
    <t xml:space="preserve">  Space Rentals</t>
  </si>
  <si>
    <t xml:space="preserve">  Xeroxing</t>
  </si>
  <si>
    <t xml:space="preserve">  Vending Machines</t>
  </si>
  <si>
    <t xml:space="preserve">  Advertising</t>
  </si>
  <si>
    <t xml:space="preserve">  SSAP/SAP Aid</t>
  </si>
  <si>
    <t xml:space="preserve"> Tobacco Settlement</t>
  </si>
  <si>
    <t>Property Tax</t>
  </si>
  <si>
    <t>State Aid</t>
  </si>
  <si>
    <t>NSG Aid (incl in tuition)</t>
  </si>
  <si>
    <t>Project Help Grant</t>
  </si>
  <si>
    <t>Presidential</t>
  </si>
  <si>
    <t>Art/Drama/Music</t>
  </si>
  <si>
    <t>Semester</t>
  </si>
  <si>
    <t>Refunds</t>
  </si>
  <si>
    <t>Remissions/Waivers</t>
  </si>
  <si>
    <t>Veterans Waivers</t>
  </si>
  <si>
    <t>Technology Fee</t>
  </si>
  <si>
    <t>UnresAuxOprt</t>
  </si>
  <si>
    <t>mcc - 1410  / npn - 1385 / nps - 1510 / meals - 1540 for both</t>
  </si>
  <si>
    <r>
      <t>Total Mandatory Fees Revenue</t>
    </r>
    <r>
      <rPr>
        <sz val="9"/>
        <rFont val="Arial"/>
        <family val="2"/>
      </rPr>
      <t/>
    </r>
  </si>
  <si>
    <t>Resident Mandatory Fees Revenue</t>
  </si>
  <si>
    <t>Non-resident Mandatory Fees Revenue</t>
  </si>
  <si>
    <t>Total Mandatory Fees Revenue</t>
  </si>
  <si>
    <t xml:space="preserve"> 9.  Amount of Tuition Waivers received by Nebraska residents</t>
  </si>
  <si>
    <t>10.  Amount of Tuition Waivers received by non-Nebraska residents</t>
  </si>
  <si>
    <t>11.  % of total dollar amount received by Nebraska residents</t>
  </si>
  <si>
    <t>12.  Gross tuition income less refunds</t>
  </si>
  <si>
    <t>13.  % gross tuition income remitted to students</t>
  </si>
  <si>
    <t>14.  % remissions is of Grand Total of all aid</t>
  </si>
  <si>
    <t>15.  % Academic Aid is of Grand Total of all aid</t>
  </si>
  <si>
    <t>16.  % Aid for Service is of Grand Total of all aid</t>
  </si>
  <si>
    <t>17.  % Need Based Aid is of Grand Total of all aid</t>
  </si>
  <si>
    <t>18.  % Ability Based Aid is of Grand Total of all aid</t>
  </si>
  <si>
    <t>19.  % Aid Based on Membership is of Grand Total of all aid</t>
  </si>
  <si>
    <t>20. % Other Academic Aid as a Grand Total of All Aid</t>
  </si>
  <si>
    <t>Tuition Waivers to Nebraska Residents</t>
  </si>
  <si>
    <t>State tuition remissions for non-resident students (aggregated)</t>
  </si>
  <si>
    <t>Davis Chambers</t>
  </si>
  <si>
    <t>GAP Assistance</t>
  </si>
  <si>
    <t>HEERF</t>
  </si>
  <si>
    <t>Academic</t>
  </si>
  <si>
    <t>Board of Governors</t>
  </si>
  <si>
    <t>Bridge to Success</t>
  </si>
  <si>
    <t>Workforce</t>
  </si>
  <si>
    <t>Alternative Loans</t>
  </si>
  <si>
    <t>2023-24</t>
  </si>
  <si>
    <t>mcc - 1510  / npn - 1485 / nps - 1610 / meals - 1636 for both</t>
  </si>
  <si>
    <t>Nebraska Career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</si>
</sst>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_)"/>
    <numFmt numFmtId="166" formatCode="0.0%"/>
    <numFmt numFmtId="167" formatCode="&quot;$&quot;#,##0"/>
    <numFmt numFmtId="168" formatCode="_(* #,##0_);_(* \(#,##0\);_(* &quot;-&quot;??_);_(@_)"/>
    <numFmt numFmtId="169" formatCode="&quot;$&quot;#,##0.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u/>
      <sz val="10"/>
      <color rgb="FF80008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rgb="FF0000FF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Times New Roman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name val="Arial Unicode MS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2"/>
      <name val="SWISS"/>
    </font>
    <font>
      <sz val="10"/>
      <color theme="1"/>
      <name val="Tahoma"/>
      <family val="2"/>
    </font>
    <font>
      <sz val="10"/>
      <color theme="1"/>
      <name val="Times New Roman"/>
      <family val="2"/>
    </font>
    <font>
      <sz val="10"/>
      <name val="SWISS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Courier New"/>
      <family val="3"/>
    </font>
    <font>
      <sz val="8"/>
      <name val="DUTCH"/>
    </font>
    <font>
      <sz val="10"/>
      <color rgb="FF000000"/>
      <name val="Arial"/>
      <family val="2"/>
    </font>
    <font>
      <sz val="14"/>
      <color theme="1"/>
      <name val="Calibri"/>
      <family val="2"/>
    </font>
    <font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FF0000"/>
      <name val="Cambria"/>
      <family val="1"/>
      <scheme val="maj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i/>
      <sz val="9"/>
      <color theme="1"/>
      <name val="Arial"/>
      <family val="2"/>
    </font>
    <font>
      <sz val="11"/>
      <name val="Cambria"/>
      <family val="1"/>
      <scheme val="major"/>
    </font>
    <font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4DFEC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59">
    <xf numFmtId="0" fontId="0" fillId="0" borderId="0"/>
    <xf numFmtId="165" fontId="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/>
    <xf numFmtId="0" fontId="1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2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" fillId="0" borderId="0"/>
    <xf numFmtId="0" fontId="24" fillId="0" borderId="0"/>
    <xf numFmtId="0" fontId="11" fillId="0" borderId="0"/>
    <xf numFmtId="0" fontId="25" fillId="0" borderId="0"/>
    <xf numFmtId="0" fontId="11" fillId="0" borderId="0"/>
    <xf numFmtId="0" fontId="26" fillId="0" borderId="0"/>
    <xf numFmtId="37" fontId="27" fillId="0" borderId="0"/>
    <xf numFmtId="0" fontId="24" fillId="0" borderId="0"/>
    <xf numFmtId="0" fontId="11" fillId="0" borderId="0"/>
    <xf numFmtId="0" fontId="28" fillId="0" borderId="0"/>
    <xf numFmtId="0" fontId="29" fillId="0" borderId="0"/>
    <xf numFmtId="165" fontId="7" fillId="0" borderId="0"/>
    <xf numFmtId="0" fontId="30" fillId="0" borderId="0"/>
    <xf numFmtId="0" fontId="7" fillId="0" borderId="0"/>
    <xf numFmtId="0" fontId="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31" fillId="0" borderId="0"/>
    <xf numFmtId="0" fontId="3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37" fontId="22" fillId="0" borderId="0"/>
    <xf numFmtId="0" fontId="7" fillId="0" borderId="0"/>
    <xf numFmtId="39" fontId="34" fillId="7" borderId="0"/>
    <xf numFmtId="0" fontId="35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" fillId="0" borderId="0"/>
    <xf numFmtId="16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2" fillId="0" borderId="0"/>
    <xf numFmtId="37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2" fillId="0" borderId="0"/>
    <xf numFmtId="0" fontId="11" fillId="0" borderId="0"/>
    <xf numFmtId="37" fontId="22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2">
    <xf numFmtId="0" fontId="0" fillId="0" borderId="0" xfId="0"/>
    <xf numFmtId="164" fontId="2" fillId="0" borderId="2" xfId="0" applyNumberFormat="1" applyFont="1" applyBorder="1"/>
    <xf numFmtId="164" fontId="2" fillId="4" borderId="2" xfId="0" applyNumberFormat="1" applyFont="1" applyFill="1" applyBorder="1"/>
    <xf numFmtId="3" fontId="2" fillId="0" borderId="0" xfId="0" applyNumberFormat="1" applyFont="1"/>
    <xf numFmtId="164" fontId="2" fillId="0" borderId="0" xfId="0" applyNumberFormat="1" applyFont="1"/>
    <xf numFmtId="164" fontId="2" fillId="3" borderId="0" xfId="0" applyNumberFormat="1" applyFont="1" applyFill="1"/>
    <xf numFmtId="0" fontId="2" fillId="3" borderId="0" xfId="0" applyFont="1" applyFill="1"/>
    <xf numFmtId="0" fontId="6" fillId="3" borderId="0" xfId="0" applyFont="1" applyFill="1"/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6" fillId="3" borderId="0" xfId="0" applyFont="1" applyFill="1" applyAlignment="1">
      <alignment wrapText="1"/>
    </xf>
    <xf numFmtId="0" fontId="39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0" applyFont="1"/>
    <xf numFmtId="0" fontId="3" fillId="8" borderId="2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wrapText="1"/>
    </xf>
    <xf numFmtId="0" fontId="0" fillId="8" borderId="0" xfId="0" applyFill="1"/>
    <xf numFmtId="0" fontId="40" fillId="3" borderId="0" xfId="0" applyFont="1" applyFill="1"/>
    <xf numFmtId="0" fontId="38" fillId="3" borderId="0" xfId="0" applyFont="1" applyFill="1"/>
    <xf numFmtId="0" fontId="11" fillId="3" borderId="0" xfId="177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 wrapText="1"/>
    </xf>
    <xf numFmtId="0" fontId="38" fillId="3" borderId="0" xfId="0" applyFont="1" applyFill="1" applyAlignment="1">
      <alignment horizontal="center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2" fillId="0" borderId="0" xfId="0" applyFont="1"/>
    <xf numFmtId="3" fontId="2" fillId="0" borderId="28" xfId="0" applyNumberFormat="1" applyFont="1" applyBorder="1"/>
    <xf numFmtId="3" fontId="2" fillId="4" borderId="26" xfId="0" applyNumberFormat="1" applyFont="1" applyFill="1" applyBorder="1"/>
    <xf numFmtId="167" fontId="2" fillId="0" borderId="29" xfId="557" applyNumberFormat="1" applyFont="1" applyFill="1" applyBorder="1" applyProtection="1"/>
    <xf numFmtId="167" fontId="2" fillId="0" borderId="29" xfId="0" applyNumberFormat="1" applyFont="1" applyBorder="1"/>
    <xf numFmtId="167" fontId="2" fillId="0" borderId="27" xfId="0" applyNumberFormat="1" applyFont="1" applyBorder="1" applyProtection="1">
      <protection locked="0"/>
    </xf>
    <xf numFmtId="167" fontId="2" fillId="4" borderId="27" xfId="0" applyNumberFormat="1" applyFont="1" applyFill="1" applyBorder="1"/>
    <xf numFmtId="167" fontId="2" fillId="5" borderId="27" xfId="0" applyNumberFormat="1" applyFont="1" applyFill="1" applyBorder="1"/>
    <xf numFmtId="167" fontId="2" fillId="0" borderId="0" xfId="0" applyNumberFormat="1" applyFont="1"/>
    <xf numFmtId="167" fontId="2" fillId="5" borderId="2" xfId="0" applyNumberFormat="1" applyFont="1" applyFill="1" applyBorder="1"/>
    <xf numFmtId="0" fontId="39" fillId="0" borderId="0" xfId="0" applyFont="1" applyAlignment="1">
      <alignment horizontal="left" indent="2"/>
    </xf>
    <xf numFmtId="3" fontId="3" fillId="0" borderId="0" xfId="0" applyNumberFormat="1" applyFont="1"/>
    <xf numFmtId="3" fontId="38" fillId="3" borderId="0" xfId="0" applyNumberFormat="1" applyFont="1" applyFill="1"/>
    <xf numFmtId="3" fontId="3" fillId="0" borderId="15" xfId="0" applyNumberFormat="1" applyFont="1" applyBorder="1"/>
    <xf numFmtId="3" fontId="3" fillId="0" borderId="16" xfId="0" applyNumberFormat="1" applyFont="1" applyBorder="1"/>
    <xf numFmtId="0" fontId="3" fillId="0" borderId="2" xfId="0" applyFont="1" applyBorder="1" applyAlignment="1" applyProtection="1">
      <alignment horizontal="left" indent="1"/>
      <protection locked="0"/>
    </xf>
    <xf numFmtId="0" fontId="39" fillId="0" borderId="35" xfId="0" applyFont="1" applyBorder="1"/>
    <xf numFmtId="4" fontId="3" fillId="0" borderId="31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0" fontId="3" fillId="0" borderId="32" xfId="0" applyFont="1" applyBorder="1"/>
    <xf numFmtId="4" fontId="3" fillId="0" borderId="32" xfId="0" applyNumberFormat="1" applyFont="1" applyBorder="1"/>
    <xf numFmtId="0" fontId="6" fillId="6" borderId="1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wrapText="1"/>
    </xf>
    <xf numFmtId="0" fontId="0" fillId="3" borderId="11" xfId="0" applyFill="1" applyBorder="1" applyAlignment="1">
      <alignment wrapText="1"/>
    </xf>
    <xf numFmtId="0" fontId="6" fillId="6" borderId="11" xfId="0" applyFont="1" applyFill="1" applyBorder="1"/>
    <xf numFmtId="0" fontId="6" fillId="6" borderId="12" xfId="0" applyFont="1" applyFill="1" applyBorder="1"/>
    <xf numFmtId="0" fontId="6" fillId="6" borderId="36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wrapText="1"/>
    </xf>
    <xf numFmtId="0" fontId="0" fillId="3" borderId="28" xfId="0" applyFill="1" applyBorder="1"/>
    <xf numFmtId="0" fontId="6" fillId="0" borderId="37" xfId="0" applyFont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4" fontId="3" fillId="0" borderId="38" xfId="0" applyNumberFormat="1" applyFont="1" applyBorder="1"/>
    <xf numFmtId="0" fontId="3" fillId="0" borderId="37" xfId="0" applyFont="1" applyBorder="1"/>
    <xf numFmtId="4" fontId="41" fillId="0" borderId="0" xfId="0" applyNumberFormat="1" applyFont="1" applyAlignment="1">
      <alignment horizontal="right" indent="1"/>
    </xf>
    <xf numFmtId="0" fontId="42" fillId="0" borderId="0" xfId="0" applyFont="1"/>
    <xf numFmtId="3" fontId="2" fillId="0" borderId="26" xfId="0" applyNumberFormat="1" applyFont="1" applyBorder="1"/>
    <xf numFmtId="0" fontId="44" fillId="0" borderId="8" xfId="0" applyFont="1" applyBorder="1" applyAlignment="1">
      <alignment horizontal="left" vertical="center"/>
    </xf>
    <xf numFmtId="3" fontId="2" fillId="0" borderId="34" xfId="0" applyNumberFormat="1" applyFont="1" applyBorder="1"/>
    <xf numFmtId="164" fontId="2" fillId="0" borderId="7" xfId="0" applyNumberFormat="1" applyFont="1" applyBorder="1"/>
    <xf numFmtId="167" fontId="2" fillId="0" borderId="33" xfId="557" applyNumberFormat="1" applyFont="1" applyFill="1" applyBorder="1" applyProtection="1"/>
    <xf numFmtId="167" fontId="2" fillId="0" borderId="6" xfId="557" applyNumberFormat="1" applyFont="1" applyFill="1" applyBorder="1" applyProtection="1"/>
    <xf numFmtId="3" fontId="2" fillId="4" borderId="6" xfId="0" applyNumberFormat="1" applyFont="1" applyFill="1" applyBorder="1"/>
    <xf numFmtId="0" fontId="2" fillId="0" borderId="7" xfId="0" applyFont="1" applyBorder="1"/>
    <xf numFmtId="167" fontId="2" fillId="0" borderId="7" xfId="0" applyNumberFormat="1" applyFont="1" applyBorder="1"/>
    <xf numFmtId="167" fontId="2" fillId="0" borderId="33" xfId="0" applyNumberFormat="1" applyFont="1" applyBorder="1"/>
    <xf numFmtId="0" fontId="2" fillId="9" borderId="0" xfId="0" applyFont="1" applyFill="1"/>
    <xf numFmtId="3" fontId="2" fillId="9" borderId="0" xfId="0" applyNumberFormat="1" applyFont="1" applyFill="1"/>
    <xf numFmtId="167" fontId="2" fillId="9" borderId="0" xfId="0" applyNumberFormat="1" applyFont="1" applyFill="1"/>
    <xf numFmtId="0" fontId="4" fillId="0" borderId="0" xfId="0" applyFont="1"/>
    <xf numFmtId="167" fontId="4" fillId="0" borderId="0" xfId="0" applyNumberFormat="1" applyFont="1"/>
    <xf numFmtId="164" fontId="2" fillId="4" borderId="8" xfId="0" applyNumberFormat="1" applyFont="1" applyFill="1" applyBorder="1"/>
    <xf numFmtId="0" fontId="48" fillId="8" borderId="0" xfId="0" applyFont="1" applyFill="1"/>
    <xf numFmtId="0" fontId="49" fillId="8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51" fillId="8" borderId="0" xfId="0" applyFont="1" applyFill="1" applyAlignment="1">
      <alignment horizontal="right"/>
    </xf>
    <xf numFmtId="0" fontId="53" fillId="8" borderId="0" xfId="0" applyFont="1" applyFill="1"/>
    <xf numFmtId="0" fontId="54" fillId="8" borderId="0" xfId="0" applyFont="1" applyFill="1"/>
    <xf numFmtId="0" fontId="54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/>
    <xf numFmtId="3" fontId="48" fillId="0" borderId="28" xfId="0" applyNumberFormat="1" applyFont="1" applyBorder="1" applyAlignment="1">
      <alignment horizontal="right" indent="1"/>
    </xf>
    <xf numFmtId="0" fontId="51" fillId="0" borderId="0" xfId="0" applyFont="1"/>
    <xf numFmtId="3" fontId="53" fillId="0" borderId="28" xfId="0" applyNumberFormat="1" applyFont="1" applyBorder="1" applyAlignment="1">
      <alignment horizontal="right" indent="1"/>
    </xf>
    <xf numFmtId="0" fontId="53" fillId="0" borderId="0" xfId="0" applyFont="1"/>
    <xf numFmtId="0" fontId="54" fillId="0" borderId="0" xfId="0" applyFont="1"/>
    <xf numFmtId="0" fontId="56" fillId="0" borderId="0" xfId="0" applyFont="1"/>
    <xf numFmtId="0" fontId="57" fillId="0" borderId="0" xfId="0" applyFont="1" applyProtection="1">
      <protection locked="0"/>
    </xf>
    <xf numFmtId="3" fontId="58" fillId="0" borderId="28" xfId="0" applyNumberFormat="1" applyFont="1" applyBorder="1" applyAlignment="1" applyProtection="1">
      <alignment horizontal="right" indent="1"/>
      <protection locked="0"/>
    </xf>
    <xf numFmtId="0" fontId="58" fillId="0" borderId="0" xfId="0" applyFont="1" applyProtection="1">
      <protection locked="0"/>
    </xf>
    <xf numFmtId="0" fontId="54" fillId="4" borderId="0" xfId="0" applyFont="1" applyFill="1"/>
    <xf numFmtId="3" fontId="58" fillId="4" borderId="28" xfId="0" applyNumberFormat="1" applyFont="1" applyFill="1" applyBorder="1" applyAlignment="1">
      <alignment horizontal="right" indent="1"/>
    </xf>
    <xf numFmtId="0" fontId="58" fillId="0" borderId="0" xfId="0" applyFont="1"/>
    <xf numFmtId="3" fontId="58" fillId="0" borderId="28" xfId="0" applyNumberFormat="1" applyFont="1" applyBorder="1" applyAlignment="1">
      <alignment horizontal="right" indent="1"/>
    </xf>
    <xf numFmtId="0" fontId="58" fillId="0" borderId="0" xfId="0" applyFont="1" applyAlignment="1">
      <alignment wrapText="1"/>
    </xf>
    <xf numFmtId="0" fontId="59" fillId="8" borderId="0" xfId="0" applyFont="1" applyFill="1"/>
    <xf numFmtId="0" fontId="47" fillId="8" borderId="28" xfId="0" applyFont="1" applyFill="1" applyBorder="1" applyAlignment="1">
      <alignment horizontal="right" indent="1"/>
    </xf>
    <xf numFmtId="0" fontId="48" fillId="8" borderId="0" xfId="0" applyFont="1" applyFill="1" applyAlignment="1">
      <alignment horizontal="right" indent="1"/>
    </xf>
    <xf numFmtId="0" fontId="48" fillId="8" borderId="28" xfId="0" applyFont="1" applyFill="1" applyBorder="1" applyAlignment="1">
      <alignment horizontal="right" indent="1"/>
    </xf>
    <xf numFmtId="0" fontId="60" fillId="0" borderId="8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 wrapText="1"/>
    </xf>
    <xf numFmtId="0" fontId="48" fillId="8" borderId="0" xfId="0" applyFont="1" applyFill="1" applyAlignment="1">
      <alignment horizontal="center" vertical="center" wrapText="1"/>
    </xf>
    <xf numFmtId="0" fontId="50" fillId="8" borderId="0" xfId="0" applyFont="1" applyFill="1"/>
    <xf numFmtId="0" fontId="54" fillId="4" borderId="9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/>
    <xf numFmtId="4" fontId="3" fillId="0" borderId="35" xfId="0" applyNumberFormat="1" applyFont="1" applyBorder="1"/>
    <xf numFmtId="0" fontId="39" fillId="3" borderId="0" xfId="0" applyFont="1" applyFill="1" applyAlignment="1">
      <alignment horizontal="left" indent="1"/>
    </xf>
    <xf numFmtId="0" fontId="0" fillId="3" borderId="0" xfId="0" applyFill="1" applyAlignment="1">
      <alignment horizontal="right" indent="1"/>
    </xf>
    <xf numFmtId="0" fontId="5" fillId="3" borderId="0" xfId="0" applyFont="1" applyFill="1" applyAlignment="1">
      <alignment vertical="top"/>
    </xf>
    <xf numFmtId="0" fontId="4" fillId="3" borderId="0" xfId="0" applyFont="1" applyFill="1" applyAlignment="1">
      <alignment wrapText="1"/>
    </xf>
    <xf numFmtId="0" fontId="45" fillId="3" borderId="0" xfId="0" applyFont="1" applyFill="1"/>
    <xf numFmtId="0" fontId="45" fillId="3" borderId="0" xfId="0" applyFont="1" applyFill="1" applyAlignment="1">
      <alignment horizontal="center"/>
    </xf>
    <xf numFmtId="3" fontId="45" fillId="3" borderId="0" xfId="0" applyNumberFormat="1" applyFont="1" applyFill="1"/>
    <xf numFmtId="167" fontId="49" fillId="8" borderId="0" xfId="0" applyNumberFormat="1" applyFont="1" applyFill="1" applyAlignment="1">
      <alignment horizontal="center"/>
    </xf>
    <xf numFmtId="167" fontId="48" fillId="4" borderId="4" xfId="0" applyNumberFormat="1" applyFont="1" applyFill="1" applyBorder="1" applyAlignment="1">
      <alignment horizontal="right" indent="1"/>
    </xf>
    <xf numFmtId="167" fontId="48" fillId="0" borderId="0" xfId="0" applyNumberFormat="1" applyFont="1" applyAlignment="1">
      <alignment horizontal="right" indent="1"/>
    </xf>
    <xf numFmtId="167" fontId="53" fillId="4" borderId="4" xfId="0" applyNumberFormat="1" applyFont="1" applyFill="1" applyBorder="1" applyAlignment="1">
      <alignment horizontal="right" indent="1"/>
    </xf>
    <xf numFmtId="167" fontId="58" fillId="4" borderId="4" xfId="0" applyNumberFormat="1" applyFont="1" applyFill="1" applyBorder="1" applyAlignment="1">
      <alignment horizontal="right" indent="1"/>
    </xf>
    <xf numFmtId="167" fontId="58" fillId="0" borderId="0" xfId="0" applyNumberFormat="1" applyFont="1" applyAlignment="1" applyProtection="1">
      <alignment horizontal="right" indent="1"/>
      <protection locked="0"/>
    </xf>
    <xf numFmtId="167" fontId="58" fillId="4" borderId="0" xfId="0" applyNumberFormat="1" applyFont="1" applyFill="1" applyAlignment="1">
      <alignment horizontal="right" indent="1"/>
    </xf>
    <xf numFmtId="167" fontId="58" fillId="4" borderId="29" xfId="0" applyNumberFormat="1" applyFont="1" applyFill="1" applyBorder="1" applyAlignment="1">
      <alignment horizontal="right" indent="1"/>
    </xf>
    <xf numFmtId="167" fontId="58" fillId="0" borderId="0" xfId="0" applyNumberFormat="1" applyFont="1" applyAlignment="1">
      <alignment horizontal="right" indent="1"/>
    </xf>
    <xf numFmtId="167" fontId="58" fillId="4" borderId="3" xfId="0" applyNumberFormat="1" applyFont="1" applyFill="1" applyBorder="1" applyAlignment="1">
      <alignment horizontal="right"/>
    </xf>
    <xf numFmtId="167" fontId="48" fillId="8" borderId="0" xfId="0" applyNumberFormat="1" applyFont="1" applyFill="1" applyAlignment="1">
      <alignment horizontal="right" indent="1"/>
    </xf>
    <xf numFmtId="167" fontId="48" fillId="8" borderId="29" xfId="0" applyNumberFormat="1" applyFont="1" applyFill="1" applyBorder="1" applyAlignment="1">
      <alignment horizontal="right" indent="1"/>
    </xf>
    <xf numFmtId="167" fontId="48" fillId="8" borderId="0" xfId="0" applyNumberFormat="1" applyFont="1" applyFill="1"/>
    <xf numFmtId="167" fontId="54" fillId="9" borderId="0" xfId="0" applyNumberFormat="1" applyFont="1" applyFill="1"/>
    <xf numFmtId="167" fontId="54" fillId="9" borderId="29" xfId="0" applyNumberFormat="1" applyFont="1" applyFill="1" applyBorder="1"/>
    <xf numFmtId="167" fontId="54" fillId="9" borderId="0" xfId="0" applyNumberFormat="1" applyFont="1" applyFill="1" applyAlignment="1">
      <alignment horizontal="center" vertical="center"/>
    </xf>
    <xf numFmtId="167" fontId="54" fillId="9" borderId="6" xfId="0" applyNumberFormat="1" applyFont="1" applyFill="1" applyBorder="1" applyAlignment="1">
      <alignment horizontal="center" vertical="center" wrapText="1"/>
    </xf>
    <xf numFmtId="167" fontId="55" fillId="9" borderId="6" xfId="0" applyNumberFormat="1" applyFont="1" applyFill="1" applyBorder="1" applyAlignment="1">
      <alignment horizontal="center" vertical="center" wrapText="1"/>
    </xf>
    <xf numFmtId="167" fontId="54" fillId="9" borderId="27" xfId="0" applyNumberFormat="1" applyFont="1" applyFill="1" applyBorder="1" applyAlignment="1">
      <alignment horizontal="center" vertical="center" wrapText="1"/>
    </xf>
    <xf numFmtId="167" fontId="47" fillId="8" borderId="0" xfId="0" applyNumberFormat="1" applyFont="1" applyFill="1" applyAlignment="1">
      <alignment horizontal="right" indent="1"/>
    </xf>
    <xf numFmtId="167" fontId="47" fillId="0" borderId="0" xfId="0" applyNumberFormat="1" applyFont="1" applyAlignment="1">
      <alignment horizontal="right" indent="1"/>
    </xf>
    <xf numFmtId="0" fontId="6" fillId="3" borderId="9" xfId="0" applyFont="1" applyFill="1" applyBorder="1"/>
    <xf numFmtId="0" fontId="0" fillId="3" borderId="10" xfId="0" applyFill="1" applyBorder="1"/>
    <xf numFmtId="0" fontId="6" fillId="6" borderId="5" xfId="0" applyFont="1" applyFill="1" applyBorder="1" applyAlignment="1">
      <alignment horizontal="center"/>
    </xf>
    <xf numFmtId="0" fontId="0" fillId="3" borderId="32" xfId="0" applyFill="1" applyBorder="1"/>
    <xf numFmtId="0" fontId="6" fillId="6" borderId="32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6" fillId="3" borderId="10" xfId="0" applyFont="1" applyFill="1" applyBorder="1"/>
    <xf numFmtId="168" fontId="0" fillId="3" borderId="10" xfId="557" applyNumberFormat="1" applyFont="1" applyFill="1" applyBorder="1"/>
    <xf numFmtId="0" fontId="46" fillId="3" borderId="10" xfId="0" applyFont="1" applyFill="1" applyBorder="1"/>
    <xf numFmtId="168" fontId="63" fillId="3" borderId="10" xfId="557" applyNumberFormat="1" applyFont="1" applyFill="1" applyBorder="1"/>
    <xf numFmtId="0" fontId="6" fillId="3" borderId="50" xfId="0" applyFont="1" applyFill="1" applyBorder="1"/>
    <xf numFmtId="0" fontId="6" fillId="3" borderId="32" xfId="0" applyFont="1" applyFill="1" applyBorder="1"/>
    <xf numFmtId="168" fontId="0" fillId="3" borderId="32" xfId="557" applyNumberFormat="1" applyFont="1" applyFill="1" applyBorder="1"/>
    <xf numFmtId="168" fontId="0" fillId="3" borderId="0" xfId="557" applyNumberFormat="1" applyFont="1" applyFill="1"/>
    <xf numFmtId="168" fontId="0" fillId="3" borderId="39" xfId="557" applyNumberFormat="1" applyFont="1" applyFill="1" applyBorder="1"/>
    <xf numFmtId="168" fontId="0" fillId="3" borderId="4" xfId="557" applyNumberFormat="1" applyFont="1" applyFill="1" applyBorder="1"/>
    <xf numFmtId="168" fontId="0" fillId="3" borderId="0" xfId="0" applyNumberFormat="1" applyFill="1"/>
    <xf numFmtId="168" fontId="1" fillId="3" borderId="32" xfId="0" applyNumberFormat="1" applyFont="1" applyFill="1" applyBorder="1"/>
    <xf numFmtId="0" fontId="45" fillId="3" borderId="39" xfId="0" applyFont="1" applyFill="1" applyBorder="1"/>
    <xf numFmtId="0" fontId="5" fillId="3" borderId="39" xfId="0" applyFont="1" applyFill="1" applyBorder="1" applyAlignment="1">
      <alignment vertical="top"/>
    </xf>
    <xf numFmtId="3" fontId="2" fillId="0" borderId="7" xfId="0" applyNumberFormat="1" applyFont="1" applyBorder="1"/>
    <xf numFmtId="0" fontId="2" fillId="3" borderId="27" xfId="0" applyFont="1" applyFill="1" applyBorder="1"/>
    <xf numFmtId="0" fontId="6" fillId="3" borderId="27" xfId="0" applyFont="1" applyFill="1" applyBorder="1"/>
    <xf numFmtId="0" fontId="2" fillId="0" borderId="29" xfId="0" applyFont="1" applyBorder="1"/>
    <xf numFmtId="0" fontId="6" fillId="3" borderId="29" xfId="0" applyFont="1" applyFill="1" applyBorder="1"/>
    <xf numFmtId="0" fontId="64" fillId="0" borderId="2" xfId="0" applyFont="1" applyBorder="1" applyAlignment="1">
      <alignment horizontal="left" indent="1"/>
    </xf>
    <xf numFmtId="0" fontId="0" fillId="0" borderId="0" xfId="0" applyProtection="1">
      <protection locked="0"/>
    </xf>
    <xf numFmtId="167" fontId="58" fillId="4" borderId="4" xfId="0" applyNumberFormat="1" applyFont="1" applyFill="1" applyBorder="1" applyAlignment="1" applyProtection="1">
      <alignment horizontal="right" indent="1"/>
      <protection locked="0"/>
    </xf>
    <xf numFmtId="0" fontId="0" fillId="3" borderId="10" xfId="0" applyFill="1" applyBorder="1" applyProtection="1">
      <protection locked="0"/>
    </xf>
    <xf numFmtId="168" fontId="63" fillId="3" borderId="10" xfId="557" applyNumberFormat="1" applyFont="1" applyFill="1" applyBorder="1" applyProtection="1">
      <protection locked="0"/>
    </xf>
    <xf numFmtId="0" fontId="0" fillId="3" borderId="50" xfId="0" applyFill="1" applyBorder="1" applyProtection="1">
      <protection locked="0"/>
    </xf>
    <xf numFmtId="168" fontId="63" fillId="3" borderId="50" xfId="557" applyNumberFormat="1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168" fontId="0" fillId="3" borderId="10" xfId="557" applyNumberFormat="1" applyFont="1" applyFill="1" applyBorder="1" applyProtection="1">
      <protection locked="0"/>
    </xf>
    <xf numFmtId="0" fontId="0" fillId="3" borderId="0" xfId="0" applyFill="1" applyProtection="1">
      <protection locked="0"/>
    </xf>
    <xf numFmtId="168" fontId="1" fillId="3" borderId="10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64" fillId="0" borderId="3" xfId="0" applyFont="1" applyBorder="1" applyAlignment="1">
      <alignment horizontal="left" indent="1"/>
    </xf>
    <xf numFmtId="0" fontId="6" fillId="6" borderId="37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 vertical="center" wrapText="1"/>
    </xf>
    <xf numFmtId="167" fontId="48" fillId="0" borderId="0" xfId="0" applyNumberFormat="1" applyFont="1"/>
    <xf numFmtId="3" fontId="3" fillId="0" borderId="18" xfId="0" applyNumberFormat="1" applyFont="1" applyBorder="1"/>
    <xf numFmtId="3" fontId="54" fillId="9" borderId="34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 horizontal="right" indent="1"/>
    </xf>
    <xf numFmtId="3" fontId="54" fillId="9" borderId="28" xfId="0" applyNumberFormat="1" applyFont="1" applyFill="1" applyBorder="1" applyAlignment="1">
      <alignment horizontal="right" indent="1"/>
    </xf>
    <xf numFmtId="3" fontId="54" fillId="9" borderId="28" xfId="0" applyNumberFormat="1" applyFont="1" applyFill="1" applyBorder="1" applyAlignment="1">
      <alignment horizontal="right" vertical="center" indent="1"/>
    </xf>
    <xf numFmtId="3" fontId="58" fillId="4" borderId="48" xfId="0" applyNumberFormat="1" applyFont="1" applyFill="1" applyBorder="1" applyAlignment="1">
      <alignment horizontal="right" indent="1"/>
    </xf>
    <xf numFmtId="167" fontId="58" fillId="4" borderId="5" xfId="0" applyNumberFormat="1" applyFont="1" applyFill="1" applyBorder="1" applyAlignment="1">
      <alignment horizontal="right" indent="1"/>
    </xf>
    <xf numFmtId="3" fontId="57" fillId="8" borderId="28" xfId="0" applyNumberFormat="1" applyFont="1" applyFill="1" applyBorder="1" applyAlignment="1">
      <alignment horizontal="right" indent="1"/>
    </xf>
    <xf numFmtId="167" fontId="57" fillId="8" borderId="0" xfId="0" applyNumberFormat="1" applyFont="1" applyFill="1" applyAlignment="1">
      <alignment horizontal="right" indent="1"/>
    </xf>
    <xf numFmtId="167" fontId="57" fillId="0" borderId="0" xfId="0" applyNumberFormat="1" applyFont="1" applyAlignment="1">
      <alignment horizontal="right" indent="1"/>
    </xf>
    <xf numFmtId="167" fontId="58" fillId="8" borderId="0" xfId="0" applyNumberFormat="1" applyFont="1" applyFill="1" applyAlignment="1">
      <alignment horizontal="right" indent="1"/>
    </xf>
    <xf numFmtId="167" fontId="58" fillId="8" borderId="29" xfId="0" applyNumberFormat="1" applyFont="1" applyFill="1" applyBorder="1" applyAlignment="1">
      <alignment horizontal="right" indent="1"/>
    </xf>
    <xf numFmtId="3" fontId="58" fillId="8" borderId="0" xfId="0" applyNumberFormat="1" applyFont="1" applyFill="1" applyAlignment="1">
      <alignment horizontal="right" indent="1"/>
    </xf>
    <xf numFmtId="3" fontId="55" fillId="8" borderId="0" xfId="0" applyNumberFormat="1" applyFont="1" applyFill="1" applyAlignment="1">
      <alignment horizontal="right" indent="1"/>
    </xf>
    <xf numFmtId="167" fontId="58" fillId="8" borderId="0" xfId="0" applyNumberFormat="1" applyFont="1" applyFill="1"/>
    <xf numFmtId="3" fontId="58" fillId="0" borderId="0" xfId="0" applyNumberFormat="1" applyFont="1" applyAlignment="1">
      <alignment horizontal="right" indent="1"/>
    </xf>
    <xf numFmtId="167" fontId="58" fillId="0" borderId="0" xfId="0" applyNumberFormat="1" applyFont="1"/>
    <xf numFmtId="167" fontId="58" fillId="4" borderId="3" xfId="0" applyNumberFormat="1" applyFont="1" applyFill="1" applyBorder="1" applyAlignment="1">
      <alignment horizontal="right" indent="1"/>
    </xf>
    <xf numFmtId="167" fontId="58" fillId="4" borderId="9" xfId="0" applyNumberFormat="1" applyFont="1" applyFill="1" applyBorder="1" applyAlignment="1">
      <alignment horizontal="right" indent="1"/>
    </xf>
    <xf numFmtId="167" fontId="58" fillId="4" borderId="49" xfId="0" applyNumberFormat="1" applyFont="1" applyFill="1" applyBorder="1" applyAlignment="1">
      <alignment horizontal="right" indent="1"/>
    </xf>
    <xf numFmtId="166" fontId="57" fillId="4" borderId="26" xfId="558" applyNumberFormat="1" applyFont="1" applyFill="1" applyBorder="1" applyAlignment="1" applyProtection="1">
      <alignment horizontal="right" vertical="center" indent="1"/>
    </xf>
    <xf numFmtId="166" fontId="57" fillId="4" borderId="44" xfId="558" applyNumberFormat="1" applyFont="1" applyFill="1" applyBorder="1" applyAlignment="1" applyProtection="1">
      <alignment horizontal="right" vertical="center" indent="1"/>
    </xf>
    <xf numFmtId="167" fontId="57" fillId="4" borderId="26" xfId="0" applyNumberFormat="1" applyFont="1" applyFill="1" applyBorder="1" applyAlignment="1">
      <alignment horizontal="right" vertical="center" indent="1"/>
    </xf>
    <xf numFmtId="0" fontId="65" fillId="0" borderId="23" xfId="0" applyFont="1" applyBorder="1" applyAlignment="1">
      <alignment horizontal="left" indent="1"/>
    </xf>
    <xf numFmtId="166" fontId="57" fillId="4" borderId="26" xfId="0" applyNumberFormat="1" applyFont="1" applyFill="1" applyBorder="1" applyAlignment="1">
      <alignment horizontal="right" vertical="center" indent="1"/>
    </xf>
    <xf numFmtId="166" fontId="57" fillId="4" borderId="26" xfId="545" applyNumberFormat="1" applyFont="1" applyFill="1" applyBorder="1" applyAlignment="1" applyProtection="1">
      <alignment horizontal="right" vertical="center" indent="1"/>
    </xf>
    <xf numFmtId="166" fontId="57" fillId="4" borderId="44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wrapText="1"/>
    </xf>
    <xf numFmtId="168" fontId="1" fillId="3" borderId="10" xfId="557" applyNumberFormat="1" applyFont="1" applyFill="1" applyBorder="1"/>
    <xf numFmtId="3" fontId="54" fillId="0" borderId="26" xfId="0" applyNumberFormat="1" applyFont="1" applyBorder="1" applyAlignment="1">
      <alignment horizontal="center" vertical="center" wrapText="1"/>
    </xf>
    <xf numFmtId="0" fontId="43" fillId="0" borderId="29" xfId="0" applyFont="1" applyBorder="1"/>
    <xf numFmtId="0" fontId="4" fillId="10" borderId="0" xfId="0" applyFont="1" applyFill="1"/>
    <xf numFmtId="0" fontId="2" fillId="3" borderId="29" xfId="0" applyFont="1" applyFill="1" applyBorder="1"/>
    <xf numFmtId="0" fontId="6" fillId="3" borderId="49" xfId="0" applyFont="1" applyFill="1" applyBorder="1"/>
    <xf numFmtId="0" fontId="6" fillId="0" borderId="29" xfId="0" applyFont="1" applyBorder="1"/>
    <xf numFmtId="0" fontId="6" fillId="0" borderId="33" xfId="0" applyFont="1" applyBorder="1"/>
    <xf numFmtId="167" fontId="3" fillId="0" borderId="2" xfId="0" applyNumberFormat="1" applyFont="1" applyBorder="1" applyProtection="1">
      <protection locked="0"/>
    </xf>
    <xf numFmtId="167" fontId="3" fillId="0" borderId="2" xfId="0" applyNumberFormat="1" applyFont="1" applyBorder="1"/>
    <xf numFmtId="167" fontId="3" fillId="4" borderId="2" xfId="0" applyNumberFormat="1" applyFont="1" applyFill="1" applyBorder="1"/>
    <xf numFmtId="0" fontId="0" fillId="3" borderId="32" xfId="0" applyFill="1" applyBorder="1" applyProtection="1">
      <protection locked="0"/>
    </xf>
    <xf numFmtId="168" fontId="63" fillId="3" borderId="32" xfId="557" applyNumberFormat="1" applyFont="1" applyFill="1" applyBorder="1" applyProtection="1">
      <protection locked="0"/>
    </xf>
    <xf numFmtId="0" fontId="46" fillId="3" borderId="10" xfId="0" applyFont="1" applyFill="1" applyBorder="1" applyProtection="1">
      <protection locked="0"/>
    </xf>
    <xf numFmtId="0" fontId="6" fillId="3" borderId="10" xfId="0" applyFont="1" applyFill="1" applyBorder="1" applyAlignment="1" applyProtection="1">
      <alignment horizontal="left" indent="1"/>
      <protection locked="0"/>
    </xf>
    <xf numFmtId="168" fontId="0" fillId="3" borderId="31" xfId="557" applyNumberFormat="1" applyFont="1" applyFill="1" applyBorder="1" applyProtection="1">
      <protection locked="0"/>
    </xf>
    <xf numFmtId="168" fontId="63" fillId="3" borderId="31" xfId="557" applyNumberFormat="1" applyFont="1" applyFill="1" applyBorder="1" applyProtection="1">
      <protection locked="0"/>
    </xf>
    <xf numFmtId="168" fontId="63" fillId="3" borderId="3" xfId="557" applyNumberFormat="1" applyFont="1" applyFill="1" applyBorder="1" applyProtection="1">
      <protection locked="0"/>
    </xf>
    <xf numFmtId="168" fontId="1" fillId="3" borderId="32" xfId="0" applyNumberFormat="1" applyFont="1" applyFill="1" applyBorder="1" applyProtection="1">
      <protection locked="0"/>
    </xf>
    <xf numFmtId="0" fontId="6" fillId="6" borderId="42" xfId="0" applyFont="1" applyFill="1" applyBorder="1" applyAlignment="1">
      <alignment horizontal="center"/>
    </xf>
    <xf numFmtId="0" fontId="0" fillId="3" borderId="51" xfId="0" applyFill="1" applyBorder="1" applyAlignment="1" applyProtection="1">
      <alignment horizontal="center"/>
      <protection locked="0"/>
    </xf>
    <xf numFmtId="0" fontId="6" fillId="6" borderId="3" xfId="0" applyFont="1" applyFill="1" applyBorder="1" applyAlignment="1">
      <alignment horizontal="center"/>
    </xf>
    <xf numFmtId="0" fontId="54" fillId="12" borderId="28" xfId="0" applyFont="1" applyFill="1" applyBorder="1"/>
    <xf numFmtId="167" fontId="54" fillId="12" borderId="0" xfId="0" applyNumberFormat="1" applyFont="1" applyFill="1"/>
    <xf numFmtId="167" fontId="54" fillId="12" borderId="29" xfId="0" applyNumberFormat="1" applyFont="1" applyFill="1" applyBorder="1"/>
    <xf numFmtId="0" fontId="54" fillId="12" borderId="28" xfId="0" applyFont="1" applyFill="1" applyBorder="1" applyAlignment="1">
      <alignment horizontal="center" vertical="center"/>
    </xf>
    <xf numFmtId="167" fontId="54" fillId="12" borderId="0" xfId="0" applyNumberFormat="1" applyFont="1" applyFill="1" applyAlignment="1">
      <alignment horizontal="center" vertical="center"/>
    </xf>
    <xf numFmtId="0" fontId="54" fillId="12" borderId="34" xfId="0" applyFont="1" applyFill="1" applyBorder="1" applyAlignment="1">
      <alignment horizontal="center" vertical="center" wrapText="1"/>
    </xf>
    <xf numFmtId="167" fontId="54" fillId="12" borderId="6" xfId="0" applyNumberFormat="1" applyFont="1" applyFill="1" applyBorder="1" applyAlignment="1">
      <alignment horizontal="center" vertical="center" wrapText="1"/>
    </xf>
    <xf numFmtId="167" fontId="55" fillId="12" borderId="6" xfId="0" applyNumberFormat="1" applyFont="1" applyFill="1" applyBorder="1" applyAlignment="1">
      <alignment horizontal="center" vertical="center" wrapText="1"/>
    </xf>
    <xf numFmtId="167" fontId="54" fillId="12" borderId="27" xfId="0" applyNumberFormat="1" applyFont="1" applyFill="1" applyBorder="1" applyAlignment="1">
      <alignment horizontal="center" vertical="center" wrapText="1"/>
    </xf>
    <xf numFmtId="0" fontId="48" fillId="11" borderId="28" xfId="0" applyFont="1" applyFill="1" applyBorder="1"/>
    <xf numFmtId="167" fontId="48" fillId="11" borderId="0" xfId="0" applyNumberFormat="1" applyFont="1" applyFill="1"/>
    <xf numFmtId="167" fontId="48" fillId="11" borderId="29" xfId="0" applyNumberFormat="1" applyFont="1" applyFill="1" applyBorder="1"/>
    <xf numFmtId="0" fontId="54" fillId="11" borderId="28" xfId="0" applyFont="1" applyFill="1" applyBorder="1" applyAlignment="1">
      <alignment horizontal="center" vertical="center"/>
    </xf>
    <xf numFmtId="167" fontId="54" fillId="11" borderId="0" xfId="0" applyNumberFormat="1" applyFont="1" applyFill="1" applyAlignment="1">
      <alignment horizontal="center" vertical="center"/>
    </xf>
    <xf numFmtId="0" fontId="54" fillId="11" borderId="34" xfId="0" applyFont="1" applyFill="1" applyBorder="1" applyAlignment="1">
      <alignment horizontal="center" vertical="center" wrapText="1"/>
    </xf>
    <xf numFmtId="167" fontId="54" fillId="11" borderId="6" xfId="0" applyNumberFormat="1" applyFont="1" applyFill="1" applyBorder="1" applyAlignment="1">
      <alignment horizontal="center" vertical="center" wrapText="1"/>
    </xf>
    <xf numFmtId="167" fontId="55" fillId="11" borderId="6" xfId="0" applyNumberFormat="1" applyFont="1" applyFill="1" applyBorder="1" applyAlignment="1">
      <alignment horizontal="center" vertical="center" wrapText="1"/>
    </xf>
    <xf numFmtId="167" fontId="54" fillId="11" borderId="27" xfId="0" applyNumberFormat="1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0" fontId="6" fillId="22" borderId="30" xfId="0" applyFont="1" applyFill="1" applyBorder="1" applyAlignment="1">
      <alignment horizontal="center" vertical="center" wrapText="1"/>
    </xf>
    <xf numFmtId="0" fontId="6" fillId="23" borderId="30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66" fillId="0" borderId="0" xfId="0" applyFont="1"/>
    <xf numFmtId="167" fontId="66" fillId="0" borderId="0" xfId="0" applyNumberFormat="1" applyFont="1"/>
    <xf numFmtId="0" fontId="67" fillId="0" borderId="0" xfId="0" applyFont="1"/>
    <xf numFmtId="0" fontId="68" fillId="0" borderId="0" xfId="0" applyFont="1"/>
    <xf numFmtId="0" fontId="54" fillId="26" borderId="28" xfId="0" applyFont="1" applyFill="1" applyBorder="1"/>
    <xf numFmtId="167" fontId="54" fillId="26" borderId="0" xfId="0" applyNumberFormat="1" applyFont="1" applyFill="1"/>
    <xf numFmtId="167" fontId="54" fillId="26" borderId="29" xfId="0" applyNumberFormat="1" applyFont="1" applyFill="1" applyBorder="1"/>
    <xf numFmtId="0" fontId="54" fillId="26" borderId="28" xfId="0" applyFont="1" applyFill="1" applyBorder="1" applyAlignment="1">
      <alignment horizontal="center" vertical="center"/>
    </xf>
    <xf numFmtId="167" fontId="54" fillId="26" borderId="0" xfId="0" applyNumberFormat="1" applyFont="1" applyFill="1" applyAlignment="1">
      <alignment horizontal="center" vertical="center"/>
    </xf>
    <xf numFmtId="0" fontId="54" fillId="26" borderId="34" xfId="0" applyFont="1" applyFill="1" applyBorder="1" applyAlignment="1">
      <alignment horizontal="center" vertical="center" wrapText="1"/>
    </xf>
    <xf numFmtId="167" fontId="54" fillId="26" borderId="6" xfId="0" applyNumberFormat="1" applyFont="1" applyFill="1" applyBorder="1" applyAlignment="1">
      <alignment horizontal="center" vertical="center" wrapText="1"/>
    </xf>
    <xf numFmtId="167" fontId="55" fillId="26" borderId="6" xfId="0" applyNumberFormat="1" applyFont="1" applyFill="1" applyBorder="1" applyAlignment="1">
      <alignment horizontal="center" vertical="center" wrapText="1"/>
    </xf>
    <xf numFmtId="167" fontId="54" fillId="26" borderId="27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8" fillId="8" borderId="0" xfId="0" applyFont="1" applyFill="1"/>
    <xf numFmtId="0" fontId="57" fillId="0" borderId="0" xfId="0" applyFont="1"/>
    <xf numFmtId="3" fontId="57" fillId="0" borderId="26" xfId="0" applyNumberFormat="1" applyFont="1" applyBorder="1" applyAlignment="1">
      <alignment horizontal="right" vertical="center" indent="1"/>
    </xf>
    <xf numFmtId="3" fontId="57" fillId="0" borderId="26" xfId="0" applyNumberFormat="1" applyFont="1" applyBorder="1" applyAlignment="1">
      <alignment horizontal="right" indent="1"/>
    </xf>
    <xf numFmtId="167" fontId="57" fillId="0" borderId="26" xfId="0" applyNumberFormat="1" applyFont="1" applyBorder="1" applyAlignment="1">
      <alignment horizontal="right" vertical="center" indent="1"/>
    </xf>
    <xf numFmtId="167" fontId="57" fillId="0" borderId="26" xfId="0" applyNumberFormat="1" applyFont="1" applyBorder="1" applyAlignment="1">
      <alignment horizontal="right" indent="1"/>
    </xf>
    <xf numFmtId="167" fontId="2" fillId="0" borderId="27" xfId="0" applyNumberFormat="1" applyFont="1" applyBorder="1"/>
    <xf numFmtId="0" fontId="54" fillId="27" borderId="28" xfId="0" applyFont="1" applyFill="1" applyBorder="1"/>
    <xf numFmtId="167" fontId="54" fillId="27" borderId="0" xfId="0" applyNumberFormat="1" applyFont="1" applyFill="1"/>
    <xf numFmtId="167" fontId="54" fillId="27" borderId="29" xfId="0" applyNumberFormat="1" applyFont="1" applyFill="1" applyBorder="1"/>
    <xf numFmtId="0" fontId="54" fillId="27" borderId="28" xfId="0" applyFont="1" applyFill="1" applyBorder="1" applyAlignment="1">
      <alignment horizontal="center" vertical="center"/>
    </xf>
    <xf numFmtId="167" fontId="54" fillId="27" borderId="0" xfId="0" applyNumberFormat="1" applyFont="1" applyFill="1" applyAlignment="1">
      <alignment horizontal="center" vertical="center"/>
    </xf>
    <xf numFmtId="0" fontId="54" fillId="27" borderId="34" xfId="0" applyFont="1" applyFill="1" applyBorder="1" applyAlignment="1">
      <alignment horizontal="center" vertical="center" wrapText="1"/>
    </xf>
    <xf numFmtId="167" fontId="54" fillId="27" borderId="6" xfId="0" applyNumberFormat="1" applyFont="1" applyFill="1" applyBorder="1" applyAlignment="1">
      <alignment horizontal="center" vertical="center" wrapText="1"/>
    </xf>
    <xf numFmtId="167" fontId="55" fillId="27" borderId="6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/>
    <xf numFmtId="3" fontId="2" fillId="0" borderId="6" xfId="557" applyNumberFormat="1" applyFont="1" applyFill="1" applyBorder="1" applyProtection="1"/>
    <xf numFmtId="164" fontId="2" fillId="0" borderId="2" xfId="557" applyNumberFormat="1" applyFont="1" applyFill="1" applyBorder="1" applyProtection="1"/>
    <xf numFmtId="3" fontId="2" fillId="0" borderId="2" xfId="557" applyNumberFormat="1" applyFont="1" applyFill="1" applyBorder="1" applyProtection="1"/>
    <xf numFmtId="167" fontId="2" fillId="0" borderId="2" xfId="0" applyNumberFormat="1" applyFont="1" applyBorder="1"/>
    <xf numFmtId="3" fontId="2" fillId="0" borderId="6" xfId="0" applyNumberFormat="1" applyFont="1" applyBorder="1"/>
    <xf numFmtId="3" fontId="57" fillId="0" borderId="26" xfId="0" applyNumberFormat="1" applyFont="1" applyBorder="1" applyAlignment="1" applyProtection="1">
      <alignment horizontal="right" vertical="center" indent="1"/>
      <protection locked="0"/>
    </xf>
    <xf numFmtId="167" fontId="57" fillId="0" borderId="26" xfId="0" applyNumberFormat="1" applyFont="1" applyBorder="1" applyAlignment="1" applyProtection="1">
      <alignment horizontal="right" vertical="center" indent="1"/>
      <protection locked="0"/>
    </xf>
    <xf numFmtId="0" fontId="51" fillId="9" borderId="19" xfId="0" applyFont="1" applyFill="1" applyBorder="1" applyAlignment="1">
      <alignment horizontal="center"/>
    </xf>
    <xf numFmtId="0" fontId="52" fillId="11" borderId="19" xfId="0" applyFont="1" applyFill="1" applyBorder="1" applyAlignment="1">
      <alignment horizontal="center"/>
    </xf>
    <xf numFmtId="0" fontId="51" fillId="12" borderId="19" xfId="0" applyFont="1" applyFill="1" applyBorder="1" applyAlignment="1">
      <alignment horizontal="center"/>
    </xf>
    <xf numFmtId="167" fontId="55" fillId="8" borderId="33" xfId="0" applyNumberFormat="1" applyFont="1" applyFill="1" applyBorder="1" applyAlignment="1">
      <alignment horizontal="center" vertical="center" wrapText="1"/>
    </xf>
    <xf numFmtId="167" fontId="58" fillId="8" borderId="43" xfId="0" applyNumberFormat="1" applyFont="1" applyFill="1" applyBorder="1" applyAlignment="1">
      <alignment horizontal="left" vertical="top" wrapText="1"/>
    </xf>
    <xf numFmtId="0" fontId="51" fillId="26" borderId="19" xfId="0" applyFont="1" applyFill="1" applyBorder="1" applyAlignment="1">
      <alignment horizontal="center"/>
    </xf>
    <xf numFmtId="167" fontId="2" fillId="0" borderId="27" xfId="557" applyNumberFormat="1" applyFont="1" applyFill="1" applyBorder="1" applyProtection="1"/>
    <xf numFmtId="164" fontId="69" fillId="0" borderId="0" xfId="0" applyNumberFormat="1" applyFont="1" applyAlignment="1">
      <alignment vertical="center"/>
    </xf>
    <xf numFmtId="167" fontId="69" fillId="0" borderId="29" xfId="0" applyNumberFormat="1" applyFont="1" applyBorder="1" applyAlignment="1">
      <alignment vertical="center"/>
    </xf>
    <xf numFmtId="3" fontId="69" fillId="0" borderId="28" xfId="0" applyNumberFormat="1" applyFont="1" applyBorder="1" applyAlignment="1">
      <alignment vertical="center"/>
    </xf>
    <xf numFmtId="0" fontId="3" fillId="8" borderId="0" xfId="0" applyFont="1" applyFill="1" applyAlignment="1">
      <alignment horizontal="left" vertical="center" wrapText="1"/>
    </xf>
    <xf numFmtId="0" fontId="3" fillId="8" borderId="2" xfId="0" applyFont="1" applyFill="1" applyBorder="1" applyAlignment="1">
      <alignment horizontal="left" wrapText="1" indent="1"/>
    </xf>
    <xf numFmtId="4" fontId="41" fillId="0" borderId="0" xfId="0" applyNumberFormat="1" applyFont="1" applyAlignment="1">
      <alignment horizontal="right"/>
    </xf>
    <xf numFmtId="3" fontId="3" fillId="4" borderId="2" xfId="0" applyNumberFormat="1" applyFont="1" applyFill="1" applyBorder="1"/>
    <xf numFmtId="0" fontId="48" fillId="8" borderId="0" xfId="0" applyFont="1" applyFill="1" applyAlignment="1">
      <alignment vertical="center"/>
    </xf>
    <xf numFmtId="167" fontId="70" fillId="4" borderId="26" xfId="0" applyNumberFormat="1" applyFont="1" applyFill="1" applyBorder="1" applyAlignment="1">
      <alignment horizontal="right" vertical="center" indent="1"/>
    </xf>
    <xf numFmtId="167" fontId="54" fillId="27" borderId="31" xfId="0" applyNumberFormat="1" applyFont="1" applyFill="1" applyBorder="1" applyAlignment="1">
      <alignment horizontal="center" vertical="center" wrapText="1"/>
    </xf>
    <xf numFmtId="167" fontId="54" fillId="27" borderId="8" xfId="0" applyNumberFormat="1" applyFont="1" applyFill="1" applyBorder="1" applyAlignment="1">
      <alignment horizontal="center" vertical="center" wrapText="1"/>
    </xf>
    <xf numFmtId="167" fontId="54" fillId="27" borderId="29" xfId="0" applyNumberFormat="1" applyFont="1" applyFill="1" applyBorder="1" applyAlignment="1">
      <alignment horizontal="center" vertical="center" wrapText="1"/>
    </xf>
    <xf numFmtId="167" fontId="54" fillId="27" borderId="21" xfId="0" applyNumberFormat="1" applyFont="1" applyFill="1" applyBorder="1" applyAlignment="1">
      <alignment horizontal="center" vertical="center" wrapText="1"/>
    </xf>
    <xf numFmtId="167" fontId="54" fillId="26" borderId="31" xfId="0" applyNumberFormat="1" applyFont="1" applyFill="1" applyBorder="1" applyAlignment="1">
      <alignment horizontal="center" vertical="center" wrapText="1"/>
    </xf>
    <xf numFmtId="167" fontId="54" fillId="26" borderId="8" xfId="0" applyNumberFormat="1" applyFont="1" applyFill="1" applyBorder="1" applyAlignment="1">
      <alignment horizontal="center" vertical="center" wrapText="1"/>
    </xf>
    <xf numFmtId="167" fontId="54" fillId="26" borderId="29" xfId="0" applyNumberFormat="1" applyFont="1" applyFill="1" applyBorder="1" applyAlignment="1">
      <alignment horizontal="center" vertical="center" wrapText="1"/>
    </xf>
    <xf numFmtId="167" fontId="54" fillId="12" borderId="31" xfId="0" applyNumberFormat="1" applyFont="1" applyFill="1" applyBorder="1" applyAlignment="1">
      <alignment horizontal="center" vertical="center" wrapText="1"/>
    </xf>
    <xf numFmtId="167" fontId="54" fillId="12" borderId="8" xfId="0" applyNumberFormat="1" applyFont="1" applyFill="1" applyBorder="1" applyAlignment="1">
      <alignment horizontal="center" vertical="center" wrapText="1"/>
    </xf>
    <xf numFmtId="167" fontId="54" fillId="12" borderId="29" xfId="0" applyNumberFormat="1" applyFont="1" applyFill="1" applyBorder="1" applyAlignment="1">
      <alignment horizontal="center" vertical="center" wrapText="1"/>
    </xf>
    <xf numFmtId="167" fontId="54" fillId="11" borderId="31" xfId="0" applyNumberFormat="1" applyFont="1" applyFill="1" applyBorder="1" applyAlignment="1">
      <alignment horizontal="center" vertical="center" wrapText="1"/>
    </xf>
    <xf numFmtId="167" fontId="54" fillId="11" borderId="8" xfId="0" applyNumberFormat="1" applyFont="1" applyFill="1" applyBorder="1" applyAlignment="1">
      <alignment horizontal="center" vertical="center" wrapText="1"/>
    </xf>
    <xf numFmtId="167" fontId="54" fillId="11" borderId="29" xfId="0" applyNumberFormat="1" applyFont="1" applyFill="1" applyBorder="1" applyAlignment="1">
      <alignment horizontal="center" vertical="center" wrapText="1"/>
    </xf>
    <xf numFmtId="167" fontId="54" fillId="9" borderId="31" xfId="0" applyNumberFormat="1" applyFont="1" applyFill="1" applyBorder="1" applyAlignment="1">
      <alignment horizontal="center" vertical="center" wrapText="1"/>
    </xf>
    <xf numFmtId="167" fontId="54" fillId="9" borderId="8" xfId="0" applyNumberFormat="1" applyFont="1" applyFill="1" applyBorder="1" applyAlignment="1">
      <alignment horizontal="center" vertical="center" wrapText="1"/>
    </xf>
    <xf numFmtId="167" fontId="54" fillId="9" borderId="29" xfId="0" applyNumberFormat="1" applyFont="1" applyFill="1" applyBorder="1" applyAlignment="1">
      <alignment horizontal="center" vertical="center" wrapText="1"/>
    </xf>
    <xf numFmtId="167" fontId="58" fillId="4" borderId="29" xfId="0" applyNumberFormat="1" applyFont="1" applyFill="1" applyBorder="1" applyAlignment="1" applyProtection="1">
      <alignment horizontal="right" indent="1"/>
      <protection locked="0"/>
    </xf>
    <xf numFmtId="167" fontId="49" fillId="0" borderId="0" xfId="0" applyNumberFormat="1" applyFont="1" applyAlignment="1">
      <alignment horizontal="center"/>
    </xf>
    <xf numFmtId="0" fontId="54" fillId="28" borderId="28" xfId="0" applyFont="1" applyFill="1" applyBorder="1"/>
    <xf numFmtId="167" fontId="54" fillId="28" borderId="0" xfId="0" applyNumberFormat="1" applyFont="1" applyFill="1"/>
    <xf numFmtId="167" fontId="54" fillId="28" borderId="29" xfId="0" applyNumberFormat="1" applyFont="1" applyFill="1" applyBorder="1"/>
    <xf numFmtId="0" fontId="54" fillId="28" borderId="28" xfId="0" applyFont="1" applyFill="1" applyBorder="1" applyAlignment="1">
      <alignment horizontal="center" vertical="center"/>
    </xf>
    <xf numFmtId="167" fontId="54" fillId="28" borderId="0" xfId="0" applyNumberFormat="1" applyFont="1" applyFill="1" applyAlignment="1">
      <alignment horizontal="center" vertical="center"/>
    </xf>
    <xf numFmtId="167" fontId="54" fillId="28" borderId="31" xfId="0" applyNumberFormat="1" applyFont="1" applyFill="1" applyBorder="1" applyAlignment="1">
      <alignment horizontal="center" vertical="center" wrapText="1"/>
    </xf>
    <xf numFmtId="167" fontId="54" fillId="28" borderId="29" xfId="0" applyNumberFormat="1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167" fontId="54" fillId="28" borderId="6" xfId="0" applyNumberFormat="1" applyFont="1" applyFill="1" applyBorder="1" applyAlignment="1">
      <alignment horizontal="center" vertical="center" wrapText="1"/>
    </xf>
    <xf numFmtId="167" fontId="55" fillId="28" borderId="6" xfId="0" applyNumberFormat="1" applyFont="1" applyFill="1" applyBorder="1" applyAlignment="1">
      <alignment horizontal="center" vertical="center" wrapText="1"/>
    </xf>
    <xf numFmtId="167" fontId="54" fillId="28" borderId="8" xfId="0" applyNumberFormat="1" applyFont="1" applyFill="1" applyBorder="1" applyAlignment="1">
      <alignment horizontal="center" vertical="center" wrapText="1"/>
    </xf>
    <xf numFmtId="167" fontId="54" fillId="28" borderId="21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Alignment="1">
      <alignment vertical="center"/>
    </xf>
    <xf numFmtId="167" fontId="71" fillId="0" borderId="29" xfId="0" applyNumberFormat="1" applyFont="1" applyBorder="1" applyAlignment="1">
      <alignment vertical="center"/>
    </xf>
    <xf numFmtId="3" fontId="71" fillId="0" borderId="28" xfId="0" applyNumberFormat="1" applyFont="1" applyBorder="1" applyAlignment="1">
      <alignment vertical="center"/>
    </xf>
    <xf numFmtId="167" fontId="2" fillId="0" borderId="27" xfId="557" applyNumberFormat="1" applyFont="1" applyFill="1" applyBorder="1" applyProtection="1">
      <protection locked="0"/>
    </xf>
    <xf numFmtId="169" fontId="3" fillId="0" borderId="2" xfId="0" applyNumberFormat="1" applyFont="1" applyBorder="1"/>
    <xf numFmtId="169" fontId="3" fillId="0" borderId="2" xfId="0" applyNumberFormat="1" applyFont="1" applyBorder="1" applyAlignment="1">
      <alignment horizontal="right" indent="1"/>
    </xf>
    <xf numFmtId="169" fontId="3" fillId="0" borderId="2" xfId="0" applyNumberFormat="1" applyFont="1" applyBorder="1" applyAlignment="1" applyProtection="1">
      <alignment horizontal="right" indent="1"/>
      <protection locked="0"/>
    </xf>
    <xf numFmtId="169" fontId="3" fillId="0" borderId="0" xfId="0" applyNumberFormat="1" applyFont="1" applyAlignment="1">
      <alignment horizontal="right" indent="1"/>
    </xf>
    <xf numFmtId="169" fontId="41" fillId="0" borderId="0" xfId="0" applyNumberFormat="1" applyFont="1" applyAlignment="1">
      <alignment horizontal="right" indent="1"/>
    </xf>
    <xf numFmtId="169" fontId="41" fillId="0" borderId="0" xfId="0" applyNumberFormat="1" applyFont="1" applyAlignment="1">
      <alignment horizontal="right"/>
    </xf>
    <xf numFmtId="169" fontId="38" fillId="3" borderId="0" xfId="0" applyNumberFormat="1" applyFont="1" applyFill="1" applyAlignment="1">
      <alignment horizontal="right" indent="1"/>
    </xf>
    <xf numFmtId="169" fontId="3" fillId="0" borderId="15" xfId="0" applyNumberFormat="1" applyFont="1" applyBorder="1" applyAlignment="1">
      <alignment horizontal="right" indent="1"/>
    </xf>
    <xf numFmtId="167" fontId="3" fillId="0" borderId="2" xfId="0" applyNumberFormat="1" applyFont="1" applyBorder="1" applyAlignment="1" applyProtection="1">
      <alignment horizontal="right" indent="1"/>
      <protection locked="0"/>
    </xf>
    <xf numFmtId="167" fontId="0" fillId="3" borderId="2" xfId="0" applyNumberFormat="1" applyFill="1" applyBorder="1" applyAlignment="1">
      <alignment horizontal="right" indent="1"/>
    </xf>
    <xf numFmtId="167" fontId="2" fillId="3" borderId="2" xfId="557" applyNumberFormat="1" applyFont="1" applyFill="1" applyBorder="1" applyAlignment="1" applyProtection="1">
      <alignment horizontal="right" indent="1"/>
    </xf>
    <xf numFmtId="167" fontId="2" fillId="3" borderId="2" xfId="557" applyNumberFormat="1" applyFont="1" applyFill="1" applyBorder="1" applyAlignment="1" applyProtection="1">
      <alignment horizontal="right" indent="1"/>
      <protection locked="0"/>
    </xf>
    <xf numFmtId="167" fontId="3" fillId="0" borderId="2" xfId="0" applyNumberFormat="1" applyFont="1" applyBorder="1" applyAlignment="1">
      <alignment horizontal="right" indent="1"/>
    </xf>
    <xf numFmtId="164" fontId="2" fillId="5" borderId="2" xfId="0" applyNumberFormat="1" applyFont="1" applyFill="1" applyBorder="1"/>
    <xf numFmtId="167" fontId="0" fillId="8" borderId="0" xfId="0" applyNumberFormat="1" applyFill="1"/>
    <xf numFmtId="167" fontId="54" fillId="27" borderId="2" xfId="0" applyNumberFormat="1" applyFont="1" applyFill="1" applyBorder="1" applyAlignment="1">
      <alignment horizontal="center" vertical="center" wrapText="1"/>
    </xf>
    <xf numFmtId="167" fontId="54" fillId="26" borderId="2" xfId="0" applyNumberFormat="1" applyFont="1" applyFill="1" applyBorder="1" applyAlignment="1">
      <alignment horizontal="center" vertical="center" wrapText="1"/>
    </xf>
    <xf numFmtId="167" fontId="58" fillId="8" borderId="29" xfId="0" applyNumberFormat="1" applyFont="1" applyFill="1" applyBorder="1" applyAlignment="1">
      <alignment horizontal="left" vertical="top" wrapText="1"/>
    </xf>
    <xf numFmtId="167" fontId="58" fillId="8" borderId="47" xfId="0" applyNumberFormat="1" applyFont="1" applyFill="1" applyBorder="1" applyAlignment="1">
      <alignment horizontal="left" vertical="top" wrapText="1"/>
    </xf>
    <xf numFmtId="167" fontId="61" fillId="8" borderId="33" xfId="0" applyNumberFormat="1" applyFont="1" applyFill="1" applyBorder="1" applyAlignment="1">
      <alignment horizontal="center" vertical="center" wrapText="1"/>
    </xf>
    <xf numFmtId="167" fontId="54" fillId="28" borderId="2" xfId="0" applyNumberFormat="1" applyFont="1" applyFill="1" applyBorder="1" applyAlignment="1">
      <alignment horizontal="center" vertical="center" wrapText="1"/>
    </xf>
    <xf numFmtId="167" fontId="54" fillId="9" borderId="2" xfId="0" applyNumberFormat="1" applyFont="1" applyFill="1" applyBorder="1" applyAlignment="1">
      <alignment horizontal="center" vertical="center" wrapText="1"/>
    </xf>
    <xf numFmtId="167" fontId="54" fillId="11" borderId="2" xfId="0" applyNumberFormat="1" applyFont="1" applyFill="1" applyBorder="1" applyAlignment="1">
      <alignment horizontal="center" vertical="center" wrapText="1"/>
    </xf>
    <xf numFmtId="167" fontId="54" fillId="12" borderId="2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54" fillId="29" borderId="28" xfId="0" applyFont="1" applyFill="1" applyBorder="1"/>
    <xf numFmtId="167" fontId="54" fillId="29" borderId="0" xfId="0" applyNumberFormat="1" applyFont="1" applyFill="1"/>
    <xf numFmtId="167" fontId="54" fillId="29" borderId="29" xfId="0" applyNumberFormat="1" applyFont="1" applyFill="1" applyBorder="1"/>
    <xf numFmtId="0" fontId="54" fillId="29" borderId="28" xfId="0" applyFont="1" applyFill="1" applyBorder="1" applyAlignment="1">
      <alignment horizontal="center" vertical="center"/>
    </xf>
    <xf numFmtId="167" fontId="54" fillId="29" borderId="0" xfId="0" applyNumberFormat="1" applyFont="1" applyFill="1" applyAlignment="1">
      <alignment horizontal="center" vertical="center"/>
    </xf>
    <xf numFmtId="167" fontId="54" fillId="29" borderId="31" xfId="0" applyNumberFormat="1" applyFont="1" applyFill="1" applyBorder="1" applyAlignment="1">
      <alignment horizontal="center" vertical="center" wrapText="1"/>
    </xf>
    <xf numFmtId="167" fontId="54" fillId="29" borderId="29" xfId="0" applyNumberFormat="1" applyFont="1" applyFill="1" applyBorder="1" applyAlignment="1">
      <alignment horizontal="center" vertical="center" wrapText="1"/>
    </xf>
    <xf numFmtId="0" fontId="54" fillId="29" borderId="34" xfId="0" applyFont="1" applyFill="1" applyBorder="1" applyAlignment="1">
      <alignment horizontal="center" vertical="center" wrapText="1"/>
    </xf>
    <xf numFmtId="167" fontId="54" fillId="29" borderId="2" xfId="0" applyNumberFormat="1" applyFont="1" applyFill="1" applyBorder="1" applyAlignment="1">
      <alignment horizontal="center" vertical="center" wrapText="1"/>
    </xf>
    <xf numFmtId="167" fontId="54" fillId="29" borderId="6" xfId="0" applyNumberFormat="1" applyFont="1" applyFill="1" applyBorder="1" applyAlignment="1">
      <alignment horizontal="center" vertical="center" wrapText="1"/>
    </xf>
    <xf numFmtId="167" fontId="55" fillId="29" borderId="6" xfId="0" applyNumberFormat="1" applyFont="1" applyFill="1" applyBorder="1" applyAlignment="1">
      <alignment horizontal="center" vertical="center" wrapText="1"/>
    </xf>
    <xf numFmtId="167" fontId="54" fillId="29" borderId="8" xfId="0" applyNumberFormat="1" applyFont="1" applyFill="1" applyBorder="1" applyAlignment="1">
      <alignment horizontal="center" vertical="center" wrapText="1"/>
    </xf>
    <xf numFmtId="167" fontId="54" fillId="29" borderId="2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167" fontId="6" fillId="0" borderId="21" xfId="0" applyNumberFormat="1" applyFont="1" applyBorder="1" applyAlignment="1">
      <alignment horizontal="center" vertical="center" wrapText="1"/>
    </xf>
    <xf numFmtId="167" fontId="6" fillId="0" borderId="23" xfId="0" applyNumberFormat="1" applyFont="1" applyBorder="1" applyAlignment="1">
      <alignment horizontal="center" vertical="center" wrapText="1"/>
    </xf>
    <xf numFmtId="167" fontId="6" fillId="0" borderId="25" xfId="0" applyNumberFormat="1" applyFont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center"/>
    </xf>
    <xf numFmtId="0" fontId="9" fillId="18" borderId="19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9" fillId="19" borderId="17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9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16" borderId="51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7" borderId="5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/>
    </xf>
    <xf numFmtId="0" fontId="6" fillId="19" borderId="51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4" borderId="51" xfId="0" applyFont="1" applyFill="1" applyBorder="1" applyAlignment="1">
      <alignment horizontal="center"/>
    </xf>
    <xf numFmtId="0" fontId="6" fillId="14" borderId="12" xfId="0" applyFont="1" applyFill="1" applyBorder="1" applyAlignment="1">
      <alignment horizontal="center"/>
    </xf>
    <xf numFmtId="0" fontId="0" fillId="3" borderId="8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45" fillId="3" borderId="8" xfId="0" applyFont="1" applyFill="1" applyBorder="1" applyAlignment="1">
      <alignment horizontal="center"/>
    </xf>
    <xf numFmtId="0" fontId="45" fillId="3" borderId="6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67" fontId="61" fillId="8" borderId="8" xfId="0" applyNumberFormat="1" applyFont="1" applyFill="1" applyBorder="1" applyAlignment="1">
      <alignment horizontal="center" vertical="center" wrapText="1"/>
    </xf>
    <xf numFmtId="167" fontId="61" fillId="8" borderId="7" xfId="0" applyNumberFormat="1" applyFont="1" applyFill="1" applyBorder="1" applyAlignment="1">
      <alignment horizontal="center" vertical="center" wrapText="1"/>
    </xf>
    <xf numFmtId="167" fontId="61" fillId="8" borderId="33" xfId="0" applyNumberFormat="1" applyFont="1" applyFill="1" applyBorder="1" applyAlignment="1">
      <alignment horizontal="center" vertical="center" wrapText="1"/>
    </xf>
    <xf numFmtId="167" fontId="58" fillId="8" borderId="40" xfId="0" applyNumberFormat="1" applyFont="1" applyFill="1" applyBorder="1" applyAlignment="1">
      <alignment horizontal="left" vertical="top" wrapText="1"/>
    </xf>
    <xf numFmtId="167" fontId="58" fillId="8" borderId="41" xfId="0" applyNumberFormat="1" applyFont="1" applyFill="1" applyBorder="1" applyAlignment="1">
      <alignment horizontal="left" vertical="top" wrapText="1"/>
    </xf>
    <xf numFmtId="167" fontId="58" fillId="8" borderId="39" xfId="0" applyNumberFormat="1" applyFont="1" applyFill="1" applyBorder="1" applyAlignment="1">
      <alignment horizontal="left" vertical="top" wrapText="1"/>
    </xf>
    <xf numFmtId="167" fontId="58" fillId="8" borderId="0" xfId="0" applyNumberFormat="1" applyFont="1" applyFill="1" applyAlignment="1">
      <alignment horizontal="left" vertical="top" wrapText="1"/>
    </xf>
    <xf numFmtId="167" fontId="58" fillId="8" borderId="45" xfId="0" applyNumberFormat="1" applyFont="1" applyFill="1" applyBorder="1" applyAlignment="1">
      <alignment horizontal="left" vertical="top" wrapText="1"/>
    </xf>
    <xf numFmtId="167" fontId="58" fillId="8" borderId="46" xfId="0" applyNumberFormat="1" applyFont="1" applyFill="1" applyBorder="1" applyAlignment="1">
      <alignment horizontal="left" vertical="top" wrapText="1"/>
    </xf>
    <xf numFmtId="167" fontId="58" fillId="8" borderId="29" xfId="0" applyNumberFormat="1" applyFont="1" applyFill="1" applyBorder="1" applyAlignment="1">
      <alignment horizontal="left" vertical="top" wrapText="1"/>
    </xf>
    <xf numFmtId="167" fontId="58" fillId="8" borderId="47" xfId="0" applyNumberFormat="1" applyFont="1" applyFill="1" applyBorder="1" applyAlignment="1">
      <alignment horizontal="left" vertical="top" wrapText="1"/>
    </xf>
    <xf numFmtId="167" fontId="58" fillId="8" borderId="39" xfId="0" applyNumberFormat="1" applyFont="1" applyFill="1" applyBorder="1" applyAlignment="1" applyProtection="1">
      <alignment horizontal="left" vertical="top" wrapText="1"/>
      <protection locked="0"/>
    </xf>
    <xf numFmtId="167" fontId="58" fillId="8" borderId="0" xfId="0" applyNumberFormat="1" applyFont="1" applyFill="1" applyAlignment="1" applyProtection="1">
      <alignment horizontal="left" vertical="top" wrapText="1"/>
      <protection locked="0"/>
    </xf>
    <xf numFmtId="167" fontId="58" fillId="8" borderId="29" xfId="0" applyNumberFormat="1" applyFont="1" applyFill="1" applyBorder="1" applyAlignment="1" applyProtection="1">
      <alignment horizontal="left" vertical="top" wrapText="1"/>
      <protection locked="0"/>
    </xf>
    <xf numFmtId="167" fontId="58" fillId="8" borderId="45" xfId="0" applyNumberFormat="1" applyFont="1" applyFill="1" applyBorder="1" applyAlignment="1" applyProtection="1">
      <alignment horizontal="left" vertical="top" wrapText="1"/>
      <protection locked="0"/>
    </xf>
    <xf numFmtId="167" fontId="58" fillId="8" borderId="46" xfId="0" applyNumberFormat="1" applyFont="1" applyFill="1" applyBorder="1" applyAlignment="1" applyProtection="1">
      <alignment horizontal="left" vertical="top" wrapText="1"/>
      <protection locked="0"/>
    </xf>
    <xf numFmtId="167" fontId="58" fillId="8" borderId="47" xfId="0" applyNumberFormat="1" applyFont="1" applyFill="1" applyBorder="1" applyAlignment="1" applyProtection="1">
      <alignment horizontal="left" vertical="top" wrapText="1"/>
      <protection locked="0"/>
    </xf>
    <xf numFmtId="167" fontId="55" fillId="8" borderId="8" xfId="0" applyNumberFormat="1" applyFont="1" applyFill="1" applyBorder="1" applyAlignment="1">
      <alignment horizontal="center" vertical="center" wrapText="1"/>
    </xf>
    <xf numFmtId="167" fontId="55" fillId="8" borderId="7" xfId="0" applyNumberFormat="1" applyFont="1" applyFill="1" applyBorder="1" applyAlignment="1">
      <alignment horizontal="center" vertical="center" wrapText="1"/>
    </xf>
    <xf numFmtId="0" fontId="51" fillId="28" borderId="17" xfId="0" applyFont="1" applyFill="1" applyBorder="1" applyAlignment="1">
      <alignment horizontal="center"/>
    </xf>
    <xf numFmtId="0" fontId="51" fillId="28" borderId="18" xfId="0" applyFont="1" applyFill="1" applyBorder="1" applyAlignment="1">
      <alignment horizontal="center"/>
    </xf>
    <xf numFmtId="0" fontId="51" fillId="28" borderId="19" xfId="0" applyFont="1" applyFill="1" applyBorder="1" applyAlignment="1">
      <alignment horizontal="center"/>
    </xf>
    <xf numFmtId="167" fontId="54" fillId="9" borderId="2" xfId="0" applyNumberFormat="1" applyFont="1" applyFill="1" applyBorder="1" applyAlignment="1">
      <alignment horizontal="center" vertical="center" wrapText="1"/>
    </xf>
    <xf numFmtId="167" fontId="54" fillId="11" borderId="2" xfId="0" applyNumberFormat="1" applyFont="1" applyFill="1" applyBorder="1" applyAlignment="1">
      <alignment horizontal="center" vertical="center" wrapText="1"/>
    </xf>
    <xf numFmtId="167" fontId="54" fillId="12" borderId="2" xfId="0" applyNumberFormat="1" applyFont="1" applyFill="1" applyBorder="1" applyAlignment="1">
      <alignment horizontal="center" vertical="center" wrapText="1"/>
    </xf>
    <xf numFmtId="167" fontId="54" fillId="26" borderId="2" xfId="0" applyNumberFormat="1" applyFont="1" applyFill="1" applyBorder="1" applyAlignment="1">
      <alignment horizontal="center" vertical="center" wrapText="1"/>
    </xf>
    <xf numFmtId="167" fontId="54" fillId="27" borderId="2" xfId="0" applyNumberFormat="1" applyFont="1" applyFill="1" applyBorder="1" applyAlignment="1">
      <alignment horizontal="center" vertical="center" wrapText="1"/>
    </xf>
    <xf numFmtId="167" fontId="54" fillId="29" borderId="2" xfId="0" applyNumberFormat="1" applyFont="1" applyFill="1" applyBorder="1" applyAlignment="1">
      <alignment horizontal="center" vertical="center" wrapText="1"/>
    </xf>
    <xf numFmtId="167" fontId="54" fillId="28" borderId="2" xfId="0" applyNumberFormat="1" applyFont="1" applyFill="1" applyBorder="1" applyAlignment="1">
      <alignment horizontal="center" vertical="center" wrapText="1"/>
    </xf>
    <xf numFmtId="0" fontId="51" fillId="9" borderId="17" xfId="0" applyFont="1" applyFill="1" applyBorder="1" applyAlignment="1">
      <alignment horizontal="center"/>
    </xf>
    <xf numFmtId="0" fontId="51" fillId="9" borderId="18" xfId="0" applyFont="1" applyFill="1" applyBorder="1" applyAlignment="1">
      <alignment horizontal="center"/>
    </xf>
    <xf numFmtId="0" fontId="52" fillId="11" borderId="17" xfId="0" applyFont="1" applyFill="1" applyBorder="1" applyAlignment="1">
      <alignment horizontal="center"/>
    </xf>
    <xf numFmtId="0" fontId="52" fillId="11" borderId="18" xfId="0" applyFont="1" applyFill="1" applyBorder="1" applyAlignment="1">
      <alignment horizontal="center"/>
    </xf>
    <xf numFmtId="0" fontId="51" fillId="12" borderId="17" xfId="0" applyFont="1" applyFill="1" applyBorder="1" applyAlignment="1">
      <alignment horizontal="center"/>
    </xf>
    <xf numFmtId="0" fontId="51" fillId="12" borderId="18" xfId="0" applyFont="1" applyFill="1" applyBorder="1" applyAlignment="1">
      <alignment horizontal="center"/>
    </xf>
    <xf numFmtId="0" fontId="51" fillId="26" borderId="17" xfId="0" applyFont="1" applyFill="1" applyBorder="1" applyAlignment="1">
      <alignment horizontal="center"/>
    </xf>
    <xf numFmtId="0" fontId="51" fillId="26" borderId="18" xfId="0" applyFont="1" applyFill="1" applyBorder="1" applyAlignment="1">
      <alignment horizontal="center"/>
    </xf>
    <xf numFmtId="0" fontId="51" fillId="27" borderId="17" xfId="0" applyFont="1" applyFill="1" applyBorder="1" applyAlignment="1">
      <alignment horizontal="center"/>
    </xf>
    <xf numFmtId="0" fontId="51" fillId="27" borderId="18" xfId="0" applyFont="1" applyFill="1" applyBorder="1" applyAlignment="1">
      <alignment horizontal="center"/>
    </xf>
    <xf numFmtId="0" fontId="51" fillId="27" borderId="19" xfId="0" applyFont="1" applyFill="1" applyBorder="1" applyAlignment="1">
      <alignment horizontal="center"/>
    </xf>
    <xf numFmtId="0" fontId="51" fillId="29" borderId="17" xfId="0" applyFont="1" applyFill="1" applyBorder="1" applyAlignment="1">
      <alignment horizontal="center"/>
    </xf>
    <xf numFmtId="0" fontId="51" fillId="29" borderId="18" xfId="0" applyFont="1" applyFill="1" applyBorder="1" applyAlignment="1">
      <alignment horizontal="center"/>
    </xf>
    <xf numFmtId="0" fontId="51" fillId="29" borderId="19" xfId="0" applyFont="1" applyFill="1" applyBorder="1" applyAlignment="1">
      <alignment horizontal="center"/>
    </xf>
  </cellXfs>
  <cellStyles count="559">
    <cellStyle name="Comma" xfId="557" builtinId="3"/>
    <cellStyle name="Comma 10" xfId="2" xr:uid="{00000000-0005-0000-0000-000001000000}"/>
    <cellStyle name="Comma 11" xfId="3" xr:uid="{00000000-0005-0000-0000-000002000000}"/>
    <cellStyle name="Comma 11 2" xfId="4" xr:uid="{00000000-0005-0000-0000-000003000000}"/>
    <cellStyle name="Comma 12" xfId="5" xr:uid="{00000000-0005-0000-0000-000004000000}"/>
    <cellStyle name="Comma 13" xfId="6" xr:uid="{00000000-0005-0000-0000-000005000000}"/>
    <cellStyle name="Comma 14" xfId="7" xr:uid="{00000000-0005-0000-0000-000006000000}"/>
    <cellStyle name="Comma 15" xfId="8" xr:uid="{00000000-0005-0000-0000-000007000000}"/>
    <cellStyle name="Comma 2" xfId="9" xr:uid="{00000000-0005-0000-0000-000008000000}"/>
    <cellStyle name="Comma 2 2" xfId="10" xr:uid="{00000000-0005-0000-0000-000009000000}"/>
    <cellStyle name="Comma 2 2 2" xfId="11" xr:uid="{00000000-0005-0000-0000-00000A000000}"/>
    <cellStyle name="Comma 2 3" xfId="12" xr:uid="{00000000-0005-0000-0000-00000B000000}"/>
    <cellStyle name="Comma 2 4" xfId="13" xr:uid="{00000000-0005-0000-0000-00000C000000}"/>
    <cellStyle name="Comma 2 5" xfId="14" xr:uid="{00000000-0005-0000-0000-00000D000000}"/>
    <cellStyle name="Comma 3" xfId="15" xr:uid="{00000000-0005-0000-0000-00000E000000}"/>
    <cellStyle name="Comma 3 2" xfId="16" xr:uid="{00000000-0005-0000-0000-00000F000000}"/>
    <cellStyle name="Comma 3 2 2" xfId="17" xr:uid="{00000000-0005-0000-0000-000010000000}"/>
    <cellStyle name="Comma 4" xfId="18" xr:uid="{00000000-0005-0000-0000-000011000000}"/>
    <cellStyle name="Comma 4 2" xfId="19" xr:uid="{00000000-0005-0000-0000-000012000000}"/>
    <cellStyle name="Comma 4 3" xfId="20" xr:uid="{00000000-0005-0000-0000-000013000000}"/>
    <cellStyle name="Comma 5" xfId="21" xr:uid="{00000000-0005-0000-0000-000014000000}"/>
    <cellStyle name="Comma 5 2" xfId="22" xr:uid="{00000000-0005-0000-0000-000015000000}"/>
    <cellStyle name="Comma 6" xfId="23" xr:uid="{00000000-0005-0000-0000-000016000000}"/>
    <cellStyle name="Comma 6 2" xfId="24" xr:uid="{00000000-0005-0000-0000-000017000000}"/>
    <cellStyle name="Comma 7" xfId="25" xr:uid="{00000000-0005-0000-0000-000018000000}"/>
    <cellStyle name="Comma 7 2" xfId="26" xr:uid="{00000000-0005-0000-0000-000019000000}"/>
    <cellStyle name="Comma 7 3" xfId="27" xr:uid="{00000000-0005-0000-0000-00001A000000}"/>
    <cellStyle name="Comma 8" xfId="28" xr:uid="{00000000-0005-0000-0000-00001B000000}"/>
    <cellStyle name="Comma 9" xfId="29" xr:uid="{00000000-0005-0000-0000-00001C000000}"/>
    <cellStyle name="Comma 9 2" xfId="30" xr:uid="{00000000-0005-0000-0000-00001D000000}"/>
    <cellStyle name="Currency 2" xfId="31" xr:uid="{00000000-0005-0000-0000-00001E000000}"/>
    <cellStyle name="Currency 2 2" xfId="32" xr:uid="{00000000-0005-0000-0000-00001F000000}"/>
    <cellStyle name="Currency 2 2 2" xfId="33" xr:uid="{00000000-0005-0000-0000-000020000000}"/>
    <cellStyle name="Currency 2 3" xfId="34" xr:uid="{00000000-0005-0000-0000-000021000000}"/>
    <cellStyle name="Currency 2 4" xfId="35" xr:uid="{00000000-0005-0000-0000-000022000000}"/>
    <cellStyle name="Currency 2 4 2" xfId="36" xr:uid="{00000000-0005-0000-0000-000023000000}"/>
    <cellStyle name="Currency 2 5" xfId="37" xr:uid="{00000000-0005-0000-0000-000024000000}"/>
    <cellStyle name="Currency 3" xfId="38" xr:uid="{00000000-0005-0000-0000-000025000000}"/>
    <cellStyle name="Currency 3 2" xfId="39" xr:uid="{00000000-0005-0000-0000-000026000000}"/>
    <cellStyle name="Currency 4" xfId="40" xr:uid="{00000000-0005-0000-0000-000027000000}"/>
    <cellStyle name="Currency 4 2" xfId="41" xr:uid="{00000000-0005-0000-0000-000028000000}"/>
    <cellStyle name="Currency 4 3" xfId="42" xr:uid="{00000000-0005-0000-0000-000029000000}"/>
    <cellStyle name="Currency 5" xfId="43" xr:uid="{00000000-0005-0000-0000-00002A000000}"/>
    <cellStyle name="Currency 6" xfId="44" xr:uid="{00000000-0005-0000-0000-00002B000000}"/>
    <cellStyle name="Currency 6 2" xfId="45" xr:uid="{00000000-0005-0000-0000-00002C000000}"/>
    <cellStyle name="Currency 7" xfId="46" xr:uid="{00000000-0005-0000-0000-00002D000000}"/>
    <cellStyle name="Followed Hyperlink 2" xfId="47" xr:uid="{00000000-0005-0000-0000-00002E000000}"/>
    <cellStyle name="Hyperlink 2" xfId="48" xr:uid="{00000000-0005-0000-0000-00002F000000}"/>
    <cellStyle name="Hyperlink 2 2" xfId="49" xr:uid="{00000000-0005-0000-0000-000030000000}"/>
    <cellStyle name="Hyperlink 3" xfId="50" xr:uid="{00000000-0005-0000-0000-000031000000}"/>
    <cellStyle name="Hyperlink 4" xfId="51" xr:uid="{00000000-0005-0000-0000-000032000000}"/>
    <cellStyle name="Hyperlink 5" xfId="52" xr:uid="{00000000-0005-0000-0000-000033000000}"/>
    <cellStyle name="Normal" xfId="0" builtinId="0"/>
    <cellStyle name="Normal 10" xfId="53" xr:uid="{00000000-0005-0000-0000-000035000000}"/>
    <cellStyle name="Normal 10 2" xfId="54" xr:uid="{00000000-0005-0000-0000-000036000000}"/>
    <cellStyle name="Normal 10 3" xfId="55" xr:uid="{00000000-0005-0000-0000-000037000000}"/>
    <cellStyle name="Normal 10 4" xfId="56" xr:uid="{00000000-0005-0000-0000-000038000000}"/>
    <cellStyle name="Normal 100" xfId="57" xr:uid="{00000000-0005-0000-0000-000039000000}"/>
    <cellStyle name="Normal 101" xfId="58" xr:uid="{00000000-0005-0000-0000-00003A000000}"/>
    <cellStyle name="Normal 102" xfId="59" xr:uid="{00000000-0005-0000-0000-00003B000000}"/>
    <cellStyle name="Normal 103" xfId="60" xr:uid="{00000000-0005-0000-0000-00003C000000}"/>
    <cellStyle name="Normal 104" xfId="61" xr:uid="{00000000-0005-0000-0000-00003D000000}"/>
    <cellStyle name="Normal 105" xfId="62" xr:uid="{00000000-0005-0000-0000-00003E000000}"/>
    <cellStyle name="Normal 106" xfId="63" xr:uid="{00000000-0005-0000-0000-00003F000000}"/>
    <cellStyle name="Normal 107" xfId="64" xr:uid="{00000000-0005-0000-0000-000040000000}"/>
    <cellStyle name="Normal 108" xfId="65" xr:uid="{00000000-0005-0000-0000-000041000000}"/>
    <cellStyle name="Normal 109" xfId="66" xr:uid="{00000000-0005-0000-0000-000042000000}"/>
    <cellStyle name="Normal 11" xfId="67" xr:uid="{00000000-0005-0000-0000-000043000000}"/>
    <cellStyle name="Normal 11 2" xfId="68" xr:uid="{00000000-0005-0000-0000-000044000000}"/>
    <cellStyle name="Normal 110" xfId="69" xr:uid="{00000000-0005-0000-0000-000045000000}"/>
    <cellStyle name="Normal 111" xfId="70" xr:uid="{00000000-0005-0000-0000-000046000000}"/>
    <cellStyle name="Normal 112" xfId="71" xr:uid="{00000000-0005-0000-0000-000047000000}"/>
    <cellStyle name="Normal 113" xfId="72" xr:uid="{00000000-0005-0000-0000-000048000000}"/>
    <cellStyle name="Normal 114" xfId="73" xr:uid="{00000000-0005-0000-0000-000049000000}"/>
    <cellStyle name="Normal 115" xfId="74" xr:uid="{00000000-0005-0000-0000-00004A000000}"/>
    <cellStyle name="Normal 116" xfId="75" xr:uid="{00000000-0005-0000-0000-00004B000000}"/>
    <cellStyle name="Normal 117" xfId="76" xr:uid="{00000000-0005-0000-0000-00004C000000}"/>
    <cellStyle name="Normal 118" xfId="77" xr:uid="{00000000-0005-0000-0000-00004D000000}"/>
    <cellStyle name="Normal 119" xfId="78" xr:uid="{00000000-0005-0000-0000-00004E000000}"/>
    <cellStyle name="Normal 12" xfId="79" xr:uid="{00000000-0005-0000-0000-00004F000000}"/>
    <cellStyle name="Normal 120" xfId="80" xr:uid="{00000000-0005-0000-0000-000050000000}"/>
    <cellStyle name="Normal 121" xfId="81" xr:uid="{00000000-0005-0000-0000-000051000000}"/>
    <cellStyle name="Normal 122" xfId="82" xr:uid="{00000000-0005-0000-0000-000052000000}"/>
    <cellStyle name="Normal 123" xfId="83" xr:uid="{00000000-0005-0000-0000-000053000000}"/>
    <cellStyle name="Normal 124" xfId="84" xr:uid="{00000000-0005-0000-0000-000054000000}"/>
    <cellStyle name="Normal 125" xfId="85" xr:uid="{00000000-0005-0000-0000-000055000000}"/>
    <cellStyle name="Normal 126" xfId="86" xr:uid="{00000000-0005-0000-0000-000056000000}"/>
    <cellStyle name="Normal 127" xfId="87" xr:uid="{00000000-0005-0000-0000-000057000000}"/>
    <cellStyle name="Normal 128" xfId="88" xr:uid="{00000000-0005-0000-0000-000058000000}"/>
    <cellStyle name="Normal 129" xfId="89" xr:uid="{00000000-0005-0000-0000-000059000000}"/>
    <cellStyle name="Normal 13" xfId="90" xr:uid="{00000000-0005-0000-0000-00005A000000}"/>
    <cellStyle name="Normal 13 2" xfId="91" xr:uid="{00000000-0005-0000-0000-00005B000000}"/>
    <cellStyle name="Normal 130" xfId="92" xr:uid="{00000000-0005-0000-0000-00005C000000}"/>
    <cellStyle name="Normal 131" xfId="93" xr:uid="{00000000-0005-0000-0000-00005D000000}"/>
    <cellStyle name="Normal 132" xfId="94" xr:uid="{00000000-0005-0000-0000-00005E000000}"/>
    <cellStyle name="Normal 133" xfId="95" xr:uid="{00000000-0005-0000-0000-00005F000000}"/>
    <cellStyle name="Normal 134" xfId="96" xr:uid="{00000000-0005-0000-0000-000060000000}"/>
    <cellStyle name="Normal 135" xfId="97" xr:uid="{00000000-0005-0000-0000-000061000000}"/>
    <cellStyle name="Normal 136" xfId="98" xr:uid="{00000000-0005-0000-0000-000062000000}"/>
    <cellStyle name="Normal 137" xfId="99" xr:uid="{00000000-0005-0000-0000-000063000000}"/>
    <cellStyle name="Normal 138" xfId="100" xr:uid="{00000000-0005-0000-0000-000064000000}"/>
    <cellStyle name="Normal 139" xfId="101" xr:uid="{00000000-0005-0000-0000-000065000000}"/>
    <cellStyle name="Normal 14" xfId="102" xr:uid="{00000000-0005-0000-0000-000066000000}"/>
    <cellStyle name="Normal 140" xfId="103" xr:uid="{00000000-0005-0000-0000-000067000000}"/>
    <cellStyle name="Normal 141" xfId="104" xr:uid="{00000000-0005-0000-0000-000068000000}"/>
    <cellStyle name="Normal 142" xfId="105" xr:uid="{00000000-0005-0000-0000-000069000000}"/>
    <cellStyle name="Normal 143" xfId="106" xr:uid="{00000000-0005-0000-0000-00006A000000}"/>
    <cellStyle name="Normal 144" xfId="107" xr:uid="{00000000-0005-0000-0000-00006B000000}"/>
    <cellStyle name="Normal 145" xfId="108" xr:uid="{00000000-0005-0000-0000-00006C000000}"/>
    <cellStyle name="Normal 146" xfId="109" xr:uid="{00000000-0005-0000-0000-00006D000000}"/>
    <cellStyle name="Normal 147" xfId="110" xr:uid="{00000000-0005-0000-0000-00006E000000}"/>
    <cellStyle name="Normal 148" xfId="111" xr:uid="{00000000-0005-0000-0000-00006F000000}"/>
    <cellStyle name="Normal 149" xfId="112" xr:uid="{00000000-0005-0000-0000-000070000000}"/>
    <cellStyle name="Normal 15" xfId="113" xr:uid="{00000000-0005-0000-0000-000071000000}"/>
    <cellStyle name="Normal 150" xfId="114" xr:uid="{00000000-0005-0000-0000-000072000000}"/>
    <cellStyle name="Normal 151" xfId="115" xr:uid="{00000000-0005-0000-0000-000073000000}"/>
    <cellStyle name="Normal 152" xfId="116" xr:uid="{00000000-0005-0000-0000-000074000000}"/>
    <cellStyle name="Normal 153" xfId="117" xr:uid="{00000000-0005-0000-0000-000075000000}"/>
    <cellStyle name="Normal 154" xfId="118" xr:uid="{00000000-0005-0000-0000-000076000000}"/>
    <cellStyle name="Normal 155" xfId="119" xr:uid="{00000000-0005-0000-0000-000077000000}"/>
    <cellStyle name="Normal 156" xfId="120" xr:uid="{00000000-0005-0000-0000-000078000000}"/>
    <cellStyle name="Normal 157" xfId="121" xr:uid="{00000000-0005-0000-0000-000079000000}"/>
    <cellStyle name="Normal 158" xfId="122" xr:uid="{00000000-0005-0000-0000-00007A000000}"/>
    <cellStyle name="Normal 159" xfId="123" xr:uid="{00000000-0005-0000-0000-00007B000000}"/>
    <cellStyle name="Normal 16" xfId="124" xr:uid="{00000000-0005-0000-0000-00007C000000}"/>
    <cellStyle name="Normal 160" xfId="125" xr:uid="{00000000-0005-0000-0000-00007D000000}"/>
    <cellStyle name="Normal 161" xfId="126" xr:uid="{00000000-0005-0000-0000-00007E000000}"/>
    <cellStyle name="Normal 162" xfId="127" xr:uid="{00000000-0005-0000-0000-00007F000000}"/>
    <cellStyle name="Normal 163" xfId="128" xr:uid="{00000000-0005-0000-0000-000080000000}"/>
    <cellStyle name="Normal 164" xfId="129" xr:uid="{00000000-0005-0000-0000-000081000000}"/>
    <cellStyle name="Normal 165" xfId="130" xr:uid="{00000000-0005-0000-0000-000082000000}"/>
    <cellStyle name="Normal 166" xfId="131" xr:uid="{00000000-0005-0000-0000-000083000000}"/>
    <cellStyle name="Normal 167" xfId="132" xr:uid="{00000000-0005-0000-0000-000084000000}"/>
    <cellStyle name="Normal 168" xfId="133" xr:uid="{00000000-0005-0000-0000-000085000000}"/>
    <cellStyle name="Normal 169" xfId="134" xr:uid="{00000000-0005-0000-0000-000086000000}"/>
    <cellStyle name="Normal 17" xfId="135" xr:uid="{00000000-0005-0000-0000-000087000000}"/>
    <cellStyle name="Normal 170" xfId="136" xr:uid="{00000000-0005-0000-0000-000088000000}"/>
    <cellStyle name="Normal 171" xfId="137" xr:uid="{00000000-0005-0000-0000-000089000000}"/>
    <cellStyle name="Normal 172" xfId="138" xr:uid="{00000000-0005-0000-0000-00008A000000}"/>
    <cellStyle name="Normal 173" xfId="139" xr:uid="{00000000-0005-0000-0000-00008B000000}"/>
    <cellStyle name="Normal 174" xfId="140" xr:uid="{00000000-0005-0000-0000-00008C000000}"/>
    <cellStyle name="Normal 175" xfId="141" xr:uid="{00000000-0005-0000-0000-00008D000000}"/>
    <cellStyle name="Normal 176" xfId="142" xr:uid="{00000000-0005-0000-0000-00008E000000}"/>
    <cellStyle name="Normal 177" xfId="143" xr:uid="{00000000-0005-0000-0000-00008F000000}"/>
    <cellStyle name="Normal 178" xfId="144" xr:uid="{00000000-0005-0000-0000-000090000000}"/>
    <cellStyle name="Normal 179" xfId="145" xr:uid="{00000000-0005-0000-0000-000091000000}"/>
    <cellStyle name="Normal 18" xfId="146" xr:uid="{00000000-0005-0000-0000-000092000000}"/>
    <cellStyle name="Normal 180" xfId="147" xr:uid="{00000000-0005-0000-0000-000093000000}"/>
    <cellStyle name="Normal 181" xfId="148" xr:uid="{00000000-0005-0000-0000-000094000000}"/>
    <cellStyle name="Normal 182" xfId="149" xr:uid="{00000000-0005-0000-0000-000095000000}"/>
    <cellStyle name="Normal 183" xfId="150" xr:uid="{00000000-0005-0000-0000-000096000000}"/>
    <cellStyle name="Normal 184" xfId="151" xr:uid="{00000000-0005-0000-0000-000097000000}"/>
    <cellStyle name="Normal 185" xfId="152" xr:uid="{00000000-0005-0000-0000-000098000000}"/>
    <cellStyle name="Normal 186" xfId="153" xr:uid="{00000000-0005-0000-0000-000099000000}"/>
    <cellStyle name="Normal 187" xfId="154" xr:uid="{00000000-0005-0000-0000-00009A000000}"/>
    <cellStyle name="Normal 188" xfId="155" xr:uid="{00000000-0005-0000-0000-00009B000000}"/>
    <cellStyle name="Normal 189" xfId="156" xr:uid="{00000000-0005-0000-0000-00009C000000}"/>
    <cellStyle name="Normal 19" xfId="157" xr:uid="{00000000-0005-0000-0000-00009D000000}"/>
    <cellStyle name="Normal 190" xfId="158" xr:uid="{00000000-0005-0000-0000-00009E000000}"/>
    <cellStyle name="Normal 191" xfId="159" xr:uid="{00000000-0005-0000-0000-00009F000000}"/>
    <cellStyle name="Normal 192" xfId="160" xr:uid="{00000000-0005-0000-0000-0000A0000000}"/>
    <cellStyle name="Normal 193" xfId="161" xr:uid="{00000000-0005-0000-0000-0000A1000000}"/>
    <cellStyle name="Normal 194" xfId="162" xr:uid="{00000000-0005-0000-0000-0000A2000000}"/>
    <cellStyle name="Normal 195" xfId="163" xr:uid="{00000000-0005-0000-0000-0000A3000000}"/>
    <cellStyle name="Normal 196" xfId="164" xr:uid="{00000000-0005-0000-0000-0000A4000000}"/>
    <cellStyle name="Normal 197" xfId="165" xr:uid="{00000000-0005-0000-0000-0000A5000000}"/>
    <cellStyle name="Normal 198" xfId="166" xr:uid="{00000000-0005-0000-0000-0000A6000000}"/>
    <cellStyle name="Normal 199" xfId="167" xr:uid="{00000000-0005-0000-0000-0000A7000000}"/>
    <cellStyle name="Normal 2" xfId="168" xr:uid="{00000000-0005-0000-0000-0000A8000000}"/>
    <cellStyle name="Normal 2 10" xfId="169" xr:uid="{00000000-0005-0000-0000-0000A9000000}"/>
    <cellStyle name="Normal 2 10 2" xfId="170" xr:uid="{00000000-0005-0000-0000-0000AA000000}"/>
    <cellStyle name="Normal 2 11" xfId="171" xr:uid="{00000000-0005-0000-0000-0000AB000000}"/>
    <cellStyle name="Normal 2 11 2" xfId="172" xr:uid="{00000000-0005-0000-0000-0000AC000000}"/>
    <cellStyle name="Normal 2 2" xfId="173" xr:uid="{00000000-0005-0000-0000-0000AD000000}"/>
    <cellStyle name="Normal 2 2 2" xfId="174" xr:uid="{00000000-0005-0000-0000-0000AE000000}"/>
    <cellStyle name="Normal 2 2 2 2" xfId="175" xr:uid="{00000000-0005-0000-0000-0000AF000000}"/>
    <cellStyle name="Normal 2 2 3" xfId="176" xr:uid="{00000000-0005-0000-0000-0000B0000000}"/>
    <cellStyle name="Normal 2 2 4" xfId="177" xr:uid="{00000000-0005-0000-0000-0000B1000000}"/>
    <cellStyle name="Normal 2 2 5" xfId="178" xr:uid="{00000000-0005-0000-0000-0000B2000000}"/>
    <cellStyle name="Normal 2 3" xfId="179" xr:uid="{00000000-0005-0000-0000-0000B3000000}"/>
    <cellStyle name="Normal 2 3 2" xfId="180" xr:uid="{00000000-0005-0000-0000-0000B4000000}"/>
    <cellStyle name="Normal 2 3 3" xfId="181" xr:uid="{00000000-0005-0000-0000-0000B5000000}"/>
    <cellStyle name="Normal 2 4" xfId="182" xr:uid="{00000000-0005-0000-0000-0000B6000000}"/>
    <cellStyle name="Normal 2 5" xfId="183" xr:uid="{00000000-0005-0000-0000-0000B7000000}"/>
    <cellStyle name="Normal 2 6" xfId="1" xr:uid="{00000000-0005-0000-0000-0000B8000000}"/>
    <cellStyle name="Normal 2 6 2" xfId="184" xr:uid="{00000000-0005-0000-0000-0000B9000000}"/>
    <cellStyle name="Normal 2 7" xfId="185" xr:uid="{00000000-0005-0000-0000-0000BA000000}"/>
    <cellStyle name="Normal 2 8" xfId="186" xr:uid="{00000000-0005-0000-0000-0000BB000000}"/>
    <cellStyle name="Normal 2 8 2" xfId="187" xr:uid="{00000000-0005-0000-0000-0000BC000000}"/>
    <cellStyle name="Normal 2 9" xfId="188" xr:uid="{00000000-0005-0000-0000-0000BD000000}"/>
    <cellStyle name="Normal 20" xfId="189" xr:uid="{00000000-0005-0000-0000-0000BE000000}"/>
    <cellStyle name="Normal 200" xfId="190" xr:uid="{00000000-0005-0000-0000-0000BF000000}"/>
    <cellStyle name="Normal 201" xfId="191" xr:uid="{00000000-0005-0000-0000-0000C0000000}"/>
    <cellStyle name="Normal 202" xfId="192" xr:uid="{00000000-0005-0000-0000-0000C1000000}"/>
    <cellStyle name="Normal 203" xfId="193" xr:uid="{00000000-0005-0000-0000-0000C2000000}"/>
    <cellStyle name="Normal 204" xfId="194" xr:uid="{00000000-0005-0000-0000-0000C3000000}"/>
    <cellStyle name="Normal 205" xfId="195" xr:uid="{00000000-0005-0000-0000-0000C4000000}"/>
    <cellStyle name="Normal 206" xfId="196" xr:uid="{00000000-0005-0000-0000-0000C5000000}"/>
    <cellStyle name="Normal 207" xfId="197" xr:uid="{00000000-0005-0000-0000-0000C6000000}"/>
    <cellStyle name="Normal 208" xfId="198" xr:uid="{00000000-0005-0000-0000-0000C7000000}"/>
    <cellStyle name="Normal 209" xfId="199" xr:uid="{00000000-0005-0000-0000-0000C8000000}"/>
    <cellStyle name="Normal 21" xfId="200" xr:uid="{00000000-0005-0000-0000-0000C9000000}"/>
    <cellStyle name="Normal 210" xfId="201" xr:uid="{00000000-0005-0000-0000-0000CA000000}"/>
    <cellStyle name="Normal 211" xfId="202" xr:uid="{00000000-0005-0000-0000-0000CB000000}"/>
    <cellStyle name="Normal 212" xfId="203" xr:uid="{00000000-0005-0000-0000-0000CC000000}"/>
    <cellStyle name="Normal 213" xfId="204" xr:uid="{00000000-0005-0000-0000-0000CD000000}"/>
    <cellStyle name="Normal 214" xfId="205" xr:uid="{00000000-0005-0000-0000-0000CE000000}"/>
    <cellStyle name="Normal 215" xfId="206" xr:uid="{00000000-0005-0000-0000-0000CF000000}"/>
    <cellStyle name="Normal 216" xfId="207" xr:uid="{00000000-0005-0000-0000-0000D0000000}"/>
    <cellStyle name="Normal 217" xfId="208" xr:uid="{00000000-0005-0000-0000-0000D1000000}"/>
    <cellStyle name="Normal 218" xfId="209" xr:uid="{00000000-0005-0000-0000-0000D2000000}"/>
    <cellStyle name="Normal 219" xfId="210" xr:uid="{00000000-0005-0000-0000-0000D3000000}"/>
    <cellStyle name="Normal 22" xfId="211" xr:uid="{00000000-0005-0000-0000-0000D4000000}"/>
    <cellStyle name="Normal 220" xfId="212" xr:uid="{00000000-0005-0000-0000-0000D5000000}"/>
    <cellStyle name="Normal 221" xfId="213" xr:uid="{00000000-0005-0000-0000-0000D6000000}"/>
    <cellStyle name="Normal 222" xfId="214" xr:uid="{00000000-0005-0000-0000-0000D7000000}"/>
    <cellStyle name="Normal 223" xfId="215" xr:uid="{00000000-0005-0000-0000-0000D8000000}"/>
    <cellStyle name="Normal 224" xfId="216" xr:uid="{00000000-0005-0000-0000-0000D9000000}"/>
    <cellStyle name="Normal 225" xfId="217" xr:uid="{00000000-0005-0000-0000-0000DA000000}"/>
    <cellStyle name="Normal 226" xfId="218" xr:uid="{00000000-0005-0000-0000-0000DB000000}"/>
    <cellStyle name="Normal 227" xfId="219" xr:uid="{00000000-0005-0000-0000-0000DC000000}"/>
    <cellStyle name="Normal 228" xfId="220" xr:uid="{00000000-0005-0000-0000-0000DD000000}"/>
    <cellStyle name="Normal 229" xfId="221" xr:uid="{00000000-0005-0000-0000-0000DE000000}"/>
    <cellStyle name="Normal 23" xfId="222" xr:uid="{00000000-0005-0000-0000-0000DF000000}"/>
    <cellStyle name="Normal 230" xfId="223" xr:uid="{00000000-0005-0000-0000-0000E0000000}"/>
    <cellStyle name="Normal 231" xfId="224" xr:uid="{00000000-0005-0000-0000-0000E1000000}"/>
    <cellStyle name="Normal 232" xfId="225" xr:uid="{00000000-0005-0000-0000-0000E2000000}"/>
    <cellStyle name="Normal 233" xfId="226" xr:uid="{00000000-0005-0000-0000-0000E3000000}"/>
    <cellStyle name="Normal 234" xfId="227" xr:uid="{00000000-0005-0000-0000-0000E4000000}"/>
    <cellStyle name="Normal 235" xfId="228" xr:uid="{00000000-0005-0000-0000-0000E5000000}"/>
    <cellStyle name="Normal 236" xfId="229" xr:uid="{00000000-0005-0000-0000-0000E6000000}"/>
    <cellStyle name="Normal 237" xfId="230" xr:uid="{00000000-0005-0000-0000-0000E7000000}"/>
    <cellStyle name="Normal 238" xfId="231" xr:uid="{00000000-0005-0000-0000-0000E8000000}"/>
    <cellStyle name="Normal 239" xfId="232" xr:uid="{00000000-0005-0000-0000-0000E9000000}"/>
    <cellStyle name="Normal 24" xfId="233" xr:uid="{00000000-0005-0000-0000-0000EA000000}"/>
    <cellStyle name="Normal 240" xfId="234" xr:uid="{00000000-0005-0000-0000-0000EB000000}"/>
    <cellStyle name="Normal 241" xfId="235" xr:uid="{00000000-0005-0000-0000-0000EC000000}"/>
    <cellStyle name="Normal 242" xfId="236" xr:uid="{00000000-0005-0000-0000-0000ED000000}"/>
    <cellStyle name="Normal 243" xfId="237" xr:uid="{00000000-0005-0000-0000-0000EE000000}"/>
    <cellStyle name="Normal 244" xfId="238" xr:uid="{00000000-0005-0000-0000-0000EF000000}"/>
    <cellStyle name="Normal 245" xfId="239" xr:uid="{00000000-0005-0000-0000-0000F0000000}"/>
    <cellStyle name="Normal 246" xfId="240" xr:uid="{00000000-0005-0000-0000-0000F1000000}"/>
    <cellStyle name="Normal 247" xfId="241" xr:uid="{00000000-0005-0000-0000-0000F2000000}"/>
    <cellStyle name="Normal 248" xfId="242" xr:uid="{00000000-0005-0000-0000-0000F3000000}"/>
    <cellStyle name="Normal 249" xfId="243" xr:uid="{00000000-0005-0000-0000-0000F4000000}"/>
    <cellStyle name="Normal 25" xfId="244" xr:uid="{00000000-0005-0000-0000-0000F5000000}"/>
    <cellStyle name="Normal 250" xfId="245" xr:uid="{00000000-0005-0000-0000-0000F6000000}"/>
    <cellStyle name="Normal 251" xfId="246" xr:uid="{00000000-0005-0000-0000-0000F7000000}"/>
    <cellStyle name="Normal 252" xfId="247" xr:uid="{00000000-0005-0000-0000-0000F8000000}"/>
    <cellStyle name="Normal 253" xfId="248" xr:uid="{00000000-0005-0000-0000-0000F9000000}"/>
    <cellStyle name="Normal 254" xfId="249" xr:uid="{00000000-0005-0000-0000-0000FA000000}"/>
    <cellStyle name="Normal 255" xfId="250" xr:uid="{00000000-0005-0000-0000-0000FB000000}"/>
    <cellStyle name="Normal 256" xfId="251" xr:uid="{00000000-0005-0000-0000-0000FC000000}"/>
    <cellStyle name="Normal 257" xfId="252" xr:uid="{00000000-0005-0000-0000-0000FD000000}"/>
    <cellStyle name="Normal 258" xfId="253" xr:uid="{00000000-0005-0000-0000-0000FE000000}"/>
    <cellStyle name="Normal 259" xfId="254" xr:uid="{00000000-0005-0000-0000-0000FF000000}"/>
    <cellStyle name="Normal 26" xfId="255" xr:uid="{00000000-0005-0000-0000-000000010000}"/>
    <cellStyle name="Normal 260" xfId="256" xr:uid="{00000000-0005-0000-0000-000001010000}"/>
    <cellStyle name="Normal 261" xfId="257" xr:uid="{00000000-0005-0000-0000-000002010000}"/>
    <cellStyle name="Normal 262" xfId="258" xr:uid="{00000000-0005-0000-0000-000003010000}"/>
    <cellStyle name="Normal 263" xfId="259" xr:uid="{00000000-0005-0000-0000-000004010000}"/>
    <cellStyle name="Normal 264" xfId="260" xr:uid="{00000000-0005-0000-0000-000005010000}"/>
    <cellStyle name="Normal 265" xfId="261" xr:uid="{00000000-0005-0000-0000-000006010000}"/>
    <cellStyle name="Normal 266" xfId="262" xr:uid="{00000000-0005-0000-0000-000007010000}"/>
    <cellStyle name="Normal 267" xfId="263" xr:uid="{00000000-0005-0000-0000-000008010000}"/>
    <cellStyle name="Normal 268" xfId="264" xr:uid="{00000000-0005-0000-0000-000009010000}"/>
    <cellStyle name="Normal 269" xfId="265" xr:uid="{00000000-0005-0000-0000-00000A010000}"/>
    <cellStyle name="Normal 27" xfId="266" xr:uid="{00000000-0005-0000-0000-00000B010000}"/>
    <cellStyle name="Normal 270" xfId="267" xr:uid="{00000000-0005-0000-0000-00000C010000}"/>
    <cellStyle name="Normal 271" xfId="268" xr:uid="{00000000-0005-0000-0000-00000D010000}"/>
    <cellStyle name="Normal 272" xfId="269" xr:uid="{00000000-0005-0000-0000-00000E010000}"/>
    <cellStyle name="Normal 273" xfId="270" xr:uid="{00000000-0005-0000-0000-00000F010000}"/>
    <cellStyle name="Normal 274" xfId="271" xr:uid="{00000000-0005-0000-0000-000010010000}"/>
    <cellStyle name="Normal 275" xfId="272" xr:uid="{00000000-0005-0000-0000-000011010000}"/>
    <cellStyle name="Normal 276" xfId="273" xr:uid="{00000000-0005-0000-0000-000012010000}"/>
    <cellStyle name="Normal 277" xfId="274" xr:uid="{00000000-0005-0000-0000-000013010000}"/>
    <cellStyle name="Normal 278" xfId="275" xr:uid="{00000000-0005-0000-0000-000014010000}"/>
    <cellStyle name="Normal 279" xfId="276" xr:uid="{00000000-0005-0000-0000-000015010000}"/>
    <cellStyle name="Normal 28" xfId="277" xr:uid="{00000000-0005-0000-0000-000016010000}"/>
    <cellStyle name="Normal 280" xfId="278" xr:uid="{00000000-0005-0000-0000-000017010000}"/>
    <cellStyle name="Normal 281" xfId="279" xr:uid="{00000000-0005-0000-0000-000018010000}"/>
    <cellStyle name="Normal 282" xfId="280" xr:uid="{00000000-0005-0000-0000-000019010000}"/>
    <cellStyle name="Normal 283" xfId="281" xr:uid="{00000000-0005-0000-0000-00001A010000}"/>
    <cellStyle name="Normal 284" xfId="282" xr:uid="{00000000-0005-0000-0000-00001B010000}"/>
    <cellStyle name="Normal 285" xfId="283" xr:uid="{00000000-0005-0000-0000-00001C010000}"/>
    <cellStyle name="Normal 286" xfId="284" xr:uid="{00000000-0005-0000-0000-00001D010000}"/>
    <cellStyle name="Normal 287" xfId="285" xr:uid="{00000000-0005-0000-0000-00001E010000}"/>
    <cellStyle name="Normal 288" xfId="286" xr:uid="{00000000-0005-0000-0000-00001F010000}"/>
    <cellStyle name="Normal 289" xfId="287" xr:uid="{00000000-0005-0000-0000-000020010000}"/>
    <cellStyle name="Normal 29" xfId="288" xr:uid="{00000000-0005-0000-0000-000021010000}"/>
    <cellStyle name="Normal 290" xfId="289" xr:uid="{00000000-0005-0000-0000-000022010000}"/>
    <cellStyle name="Normal 291" xfId="290" xr:uid="{00000000-0005-0000-0000-000023010000}"/>
    <cellStyle name="Normal 292" xfId="291" xr:uid="{00000000-0005-0000-0000-000024010000}"/>
    <cellStyle name="Normal 293" xfId="292" xr:uid="{00000000-0005-0000-0000-000025010000}"/>
    <cellStyle name="Normal 294" xfId="293" xr:uid="{00000000-0005-0000-0000-000026010000}"/>
    <cellStyle name="Normal 295" xfId="294" xr:uid="{00000000-0005-0000-0000-000027010000}"/>
    <cellStyle name="Normal 296" xfId="295" xr:uid="{00000000-0005-0000-0000-000028010000}"/>
    <cellStyle name="Normal 297" xfId="296" xr:uid="{00000000-0005-0000-0000-000029010000}"/>
    <cellStyle name="Normal 298" xfId="297" xr:uid="{00000000-0005-0000-0000-00002A010000}"/>
    <cellStyle name="Normal 299" xfId="298" xr:uid="{00000000-0005-0000-0000-00002B010000}"/>
    <cellStyle name="Normal 3" xfId="299" xr:uid="{00000000-0005-0000-0000-00002C010000}"/>
    <cellStyle name="Normal 3 10" xfId="300" xr:uid="{00000000-0005-0000-0000-00002D010000}"/>
    <cellStyle name="Normal 3 100" xfId="301" xr:uid="{00000000-0005-0000-0000-00002E010000}"/>
    <cellStyle name="Normal 3 101" xfId="302" xr:uid="{00000000-0005-0000-0000-00002F010000}"/>
    <cellStyle name="Normal 3 102" xfId="303" xr:uid="{00000000-0005-0000-0000-000030010000}"/>
    <cellStyle name="Normal 3 103" xfId="304" xr:uid="{00000000-0005-0000-0000-000031010000}"/>
    <cellStyle name="Normal 3 104" xfId="305" xr:uid="{00000000-0005-0000-0000-000032010000}"/>
    <cellStyle name="Normal 3 105" xfId="306" xr:uid="{00000000-0005-0000-0000-000033010000}"/>
    <cellStyle name="Normal 3 106" xfId="307" xr:uid="{00000000-0005-0000-0000-000034010000}"/>
    <cellStyle name="Normal 3 107" xfId="308" xr:uid="{00000000-0005-0000-0000-000035010000}"/>
    <cellStyle name="Normal 3 108" xfId="309" xr:uid="{00000000-0005-0000-0000-000036010000}"/>
    <cellStyle name="Normal 3 109" xfId="310" xr:uid="{00000000-0005-0000-0000-000037010000}"/>
    <cellStyle name="Normal 3 11" xfId="311" xr:uid="{00000000-0005-0000-0000-000038010000}"/>
    <cellStyle name="Normal 3 110" xfId="312" xr:uid="{00000000-0005-0000-0000-000039010000}"/>
    <cellStyle name="Normal 3 111" xfId="313" xr:uid="{00000000-0005-0000-0000-00003A010000}"/>
    <cellStyle name="Normal 3 112" xfId="314" xr:uid="{00000000-0005-0000-0000-00003B010000}"/>
    <cellStyle name="Normal 3 113" xfId="315" xr:uid="{00000000-0005-0000-0000-00003C010000}"/>
    <cellStyle name="Normal 3 114" xfId="316" xr:uid="{00000000-0005-0000-0000-00003D010000}"/>
    <cellStyle name="Normal 3 115" xfId="317" xr:uid="{00000000-0005-0000-0000-00003E010000}"/>
    <cellStyle name="Normal 3 116" xfId="318" xr:uid="{00000000-0005-0000-0000-00003F010000}"/>
    <cellStyle name="Normal 3 117" xfId="319" xr:uid="{00000000-0005-0000-0000-000040010000}"/>
    <cellStyle name="Normal 3 118" xfId="320" xr:uid="{00000000-0005-0000-0000-000041010000}"/>
    <cellStyle name="Normal 3 119" xfId="321" xr:uid="{00000000-0005-0000-0000-000042010000}"/>
    <cellStyle name="Normal 3 12" xfId="322" xr:uid="{00000000-0005-0000-0000-000043010000}"/>
    <cellStyle name="Normal 3 120" xfId="323" xr:uid="{00000000-0005-0000-0000-000044010000}"/>
    <cellStyle name="Normal 3 121" xfId="324" xr:uid="{00000000-0005-0000-0000-000045010000}"/>
    <cellStyle name="Normal 3 122" xfId="325" xr:uid="{00000000-0005-0000-0000-000046010000}"/>
    <cellStyle name="Normal 3 123" xfId="326" xr:uid="{00000000-0005-0000-0000-000047010000}"/>
    <cellStyle name="Normal 3 124" xfId="327" xr:uid="{00000000-0005-0000-0000-000048010000}"/>
    <cellStyle name="Normal 3 125" xfId="328" xr:uid="{00000000-0005-0000-0000-000049010000}"/>
    <cellStyle name="Normal 3 126" xfId="329" xr:uid="{00000000-0005-0000-0000-00004A010000}"/>
    <cellStyle name="Normal 3 127" xfId="330" xr:uid="{00000000-0005-0000-0000-00004B010000}"/>
    <cellStyle name="Normal 3 128" xfId="331" xr:uid="{00000000-0005-0000-0000-00004C010000}"/>
    <cellStyle name="Normal 3 128 2" xfId="332" xr:uid="{00000000-0005-0000-0000-00004D010000}"/>
    <cellStyle name="Normal 3 129" xfId="333" xr:uid="{00000000-0005-0000-0000-00004E010000}"/>
    <cellStyle name="Normal 3 13" xfId="334" xr:uid="{00000000-0005-0000-0000-00004F010000}"/>
    <cellStyle name="Normal 3 14" xfId="335" xr:uid="{00000000-0005-0000-0000-000050010000}"/>
    <cellStyle name="Normal 3 15" xfId="336" xr:uid="{00000000-0005-0000-0000-000051010000}"/>
    <cellStyle name="Normal 3 16" xfId="337" xr:uid="{00000000-0005-0000-0000-000052010000}"/>
    <cellStyle name="Normal 3 17" xfId="338" xr:uid="{00000000-0005-0000-0000-000053010000}"/>
    <cellStyle name="Normal 3 18" xfId="339" xr:uid="{00000000-0005-0000-0000-000054010000}"/>
    <cellStyle name="Normal 3 19" xfId="340" xr:uid="{00000000-0005-0000-0000-000055010000}"/>
    <cellStyle name="Normal 3 2" xfId="341" xr:uid="{00000000-0005-0000-0000-000056010000}"/>
    <cellStyle name="Normal 3 20" xfId="342" xr:uid="{00000000-0005-0000-0000-000057010000}"/>
    <cellStyle name="Normal 3 21" xfId="343" xr:uid="{00000000-0005-0000-0000-000058010000}"/>
    <cellStyle name="Normal 3 22" xfId="344" xr:uid="{00000000-0005-0000-0000-000059010000}"/>
    <cellStyle name="Normal 3 23" xfId="345" xr:uid="{00000000-0005-0000-0000-00005A010000}"/>
    <cellStyle name="Normal 3 24" xfId="346" xr:uid="{00000000-0005-0000-0000-00005B010000}"/>
    <cellStyle name="Normal 3 25" xfId="347" xr:uid="{00000000-0005-0000-0000-00005C010000}"/>
    <cellStyle name="Normal 3 26" xfId="348" xr:uid="{00000000-0005-0000-0000-00005D010000}"/>
    <cellStyle name="Normal 3 27" xfId="349" xr:uid="{00000000-0005-0000-0000-00005E010000}"/>
    <cellStyle name="Normal 3 28" xfId="350" xr:uid="{00000000-0005-0000-0000-00005F010000}"/>
    <cellStyle name="Normal 3 29" xfId="351" xr:uid="{00000000-0005-0000-0000-000060010000}"/>
    <cellStyle name="Normal 3 3" xfId="352" xr:uid="{00000000-0005-0000-0000-000061010000}"/>
    <cellStyle name="Normal 3 30" xfId="353" xr:uid="{00000000-0005-0000-0000-000062010000}"/>
    <cellStyle name="Normal 3 31" xfId="354" xr:uid="{00000000-0005-0000-0000-000063010000}"/>
    <cellStyle name="Normal 3 32" xfId="355" xr:uid="{00000000-0005-0000-0000-000064010000}"/>
    <cellStyle name="Normal 3 33" xfId="356" xr:uid="{00000000-0005-0000-0000-000065010000}"/>
    <cellStyle name="Normal 3 34" xfId="357" xr:uid="{00000000-0005-0000-0000-000066010000}"/>
    <cellStyle name="Normal 3 35" xfId="358" xr:uid="{00000000-0005-0000-0000-000067010000}"/>
    <cellStyle name="Normal 3 36" xfId="359" xr:uid="{00000000-0005-0000-0000-000068010000}"/>
    <cellStyle name="Normal 3 37" xfId="360" xr:uid="{00000000-0005-0000-0000-000069010000}"/>
    <cellStyle name="Normal 3 38" xfId="361" xr:uid="{00000000-0005-0000-0000-00006A010000}"/>
    <cellStyle name="Normal 3 39" xfId="362" xr:uid="{00000000-0005-0000-0000-00006B010000}"/>
    <cellStyle name="Normal 3 4" xfId="363" xr:uid="{00000000-0005-0000-0000-00006C010000}"/>
    <cellStyle name="Normal 3 40" xfId="364" xr:uid="{00000000-0005-0000-0000-00006D010000}"/>
    <cellStyle name="Normal 3 41" xfId="365" xr:uid="{00000000-0005-0000-0000-00006E010000}"/>
    <cellStyle name="Normal 3 42" xfId="366" xr:uid="{00000000-0005-0000-0000-00006F010000}"/>
    <cellStyle name="Normal 3 43" xfId="367" xr:uid="{00000000-0005-0000-0000-000070010000}"/>
    <cellStyle name="Normal 3 44" xfId="368" xr:uid="{00000000-0005-0000-0000-000071010000}"/>
    <cellStyle name="Normal 3 45" xfId="369" xr:uid="{00000000-0005-0000-0000-000072010000}"/>
    <cellStyle name="Normal 3 46" xfId="370" xr:uid="{00000000-0005-0000-0000-000073010000}"/>
    <cellStyle name="Normal 3 47" xfId="371" xr:uid="{00000000-0005-0000-0000-000074010000}"/>
    <cellStyle name="Normal 3 48" xfId="372" xr:uid="{00000000-0005-0000-0000-000075010000}"/>
    <cellStyle name="Normal 3 49" xfId="373" xr:uid="{00000000-0005-0000-0000-000076010000}"/>
    <cellStyle name="Normal 3 5" xfId="374" xr:uid="{00000000-0005-0000-0000-000077010000}"/>
    <cellStyle name="Normal 3 50" xfId="375" xr:uid="{00000000-0005-0000-0000-000078010000}"/>
    <cellStyle name="Normal 3 51" xfId="376" xr:uid="{00000000-0005-0000-0000-000079010000}"/>
    <cellStyle name="Normal 3 52" xfId="377" xr:uid="{00000000-0005-0000-0000-00007A010000}"/>
    <cellStyle name="Normal 3 53" xfId="378" xr:uid="{00000000-0005-0000-0000-00007B010000}"/>
    <cellStyle name="Normal 3 54" xfId="379" xr:uid="{00000000-0005-0000-0000-00007C010000}"/>
    <cellStyle name="Normal 3 55" xfId="380" xr:uid="{00000000-0005-0000-0000-00007D010000}"/>
    <cellStyle name="Normal 3 56" xfId="381" xr:uid="{00000000-0005-0000-0000-00007E010000}"/>
    <cellStyle name="Normal 3 57" xfId="382" xr:uid="{00000000-0005-0000-0000-00007F010000}"/>
    <cellStyle name="Normal 3 58" xfId="383" xr:uid="{00000000-0005-0000-0000-000080010000}"/>
    <cellStyle name="Normal 3 59" xfId="384" xr:uid="{00000000-0005-0000-0000-000081010000}"/>
    <cellStyle name="Normal 3 6" xfId="385" xr:uid="{00000000-0005-0000-0000-000082010000}"/>
    <cellStyle name="Normal 3 60" xfId="386" xr:uid="{00000000-0005-0000-0000-000083010000}"/>
    <cellStyle name="Normal 3 61" xfId="387" xr:uid="{00000000-0005-0000-0000-000084010000}"/>
    <cellStyle name="Normal 3 62" xfId="388" xr:uid="{00000000-0005-0000-0000-000085010000}"/>
    <cellStyle name="Normal 3 63" xfId="389" xr:uid="{00000000-0005-0000-0000-000086010000}"/>
    <cellStyle name="Normal 3 64" xfId="390" xr:uid="{00000000-0005-0000-0000-000087010000}"/>
    <cellStyle name="Normal 3 65" xfId="391" xr:uid="{00000000-0005-0000-0000-000088010000}"/>
    <cellStyle name="Normal 3 66" xfId="392" xr:uid="{00000000-0005-0000-0000-000089010000}"/>
    <cellStyle name="Normal 3 67" xfId="393" xr:uid="{00000000-0005-0000-0000-00008A010000}"/>
    <cellStyle name="Normal 3 68" xfId="394" xr:uid="{00000000-0005-0000-0000-00008B010000}"/>
    <cellStyle name="Normal 3 69" xfId="395" xr:uid="{00000000-0005-0000-0000-00008C010000}"/>
    <cellStyle name="Normal 3 7" xfId="396" xr:uid="{00000000-0005-0000-0000-00008D010000}"/>
    <cellStyle name="Normal 3 70" xfId="397" xr:uid="{00000000-0005-0000-0000-00008E010000}"/>
    <cellStyle name="Normal 3 71" xfId="398" xr:uid="{00000000-0005-0000-0000-00008F010000}"/>
    <cellStyle name="Normal 3 72" xfId="399" xr:uid="{00000000-0005-0000-0000-000090010000}"/>
    <cellStyle name="Normal 3 73" xfId="400" xr:uid="{00000000-0005-0000-0000-000091010000}"/>
    <cellStyle name="Normal 3 74" xfId="401" xr:uid="{00000000-0005-0000-0000-000092010000}"/>
    <cellStyle name="Normal 3 75" xfId="402" xr:uid="{00000000-0005-0000-0000-000093010000}"/>
    <cellStyle name="Normal 3 76" xfId="403" xr:uid="{00000000-0005-0000-0000-000094010000}"/>
    <cellStyle name="Normal 3 77" xfId="404" xr:uid="{00000000-0005-0000-0000-000095010000}"/>
    <cellStyle name="Normal 3 78" xfId="405" xr:uid="{00000000-0005-0000-0000-000096010000}"/>
    <cellStyle name="Normal 3 79" xfId="406" xr:uid="{00000000-0005-0000-0000-000097010000}"/>
    <cellStyle name="Normal 3 8" xfId="407" xr:uid="{00000000-0005-0000-0000-000098010000}"/>
    <cellStyle name="Normal 3 80" xfId="408" xr:uid="{00000000-0005-0000-0000-000099010000}"/>
    <cellStyle name="Normal 3 81" xfId="409" xr:uid="{00000000-0005-0000-0000-00009A010000}"/>
    <cellStyle name="Normal 3 82" xfId="410" xr:uid="{00000000-0005-0000-0000-00009B010000}"/>
    <cellStyle name="Normal 3 83" xfId="411" xr:uid="{00000000-0005-0000-0000-00009C010000}"/>
    <cellStyle name="Normal 3 84" xfId="412" xr:uid="{00000000-0005-0000-0000-00009D010000}"/>
    <cellStyle name="Normal 3 85" xfId="413" xr:uid="{00000000-0005-0000-0000-00009E010000}"/>
    <cellStyle name="Normal 3 86" xfId="414" xr:uid="{00000000-0005-0000-0000-00009F010000}"/>
    <cellStyle name="Normal 3 87" xfId="415" xr:uid="{00000000-0005-0000-0000-0000A0010000}"/>
    <cellStyle name="Normal 3 88" xfId="416" xr:uid="{00000000-0005-0000-0000-0000A1010000}"/>
    <cellStyle name="Normal 3 89" xfId="417" xr:uid="{00000000-0005-0000-0000-0000A2010000}"/>
    <cellStyle name="Normal 3 9" xfId="418" xr:uid="{00000000-0005-0000-0000-0000A3010000}"/>
    <cellStyle name="Normal 3 90" xfId="419" xr:uid="{00000000-0005-0000-0000-0000A4010000}"/>
    <cellStyle name="Normal 3 91" xfId="420" xr:uid="{00000000-0005-0000-0000-0000A5010000}"/>
    <cellStyle name="Normal 3 92" xfId="421" xr:uid="{00000000-0005-0000-0000-0000A6010000}"/>
    <cellStyle name="Normal 3 93" xfId="422" xr:uid="{00000000-0005-0000-0000-0000A7010000}"/>
    <cellStyle name="Normal 3 94" xfId="423" xr:uid="{00000000-0005-0000-0000-0000A8010000}"/>
    <cellStyle name="Normal 3 95" xfId="424" xr:uid="{00000000-0005-0000-0000-0000A9010000}"/>
    <cellStyle name="Normal 3 96" xfId="425" xr:uid="{00000000-0005-0000-0000-0000AA010000}"/>
    <cellStyle name="Normal 3 97" xfId="426" xr:uid="{00000000-0005-0000-0000-0000AB010000}"/>
    <cellStyle name="Normal 3 98" xfId="427" xr:uid="{00000000-0005-0000-0000-0000AC010000}"/>
    <cellStyle name="Normal 3 99" xfId="428" xr:uid="{00000000-0005-0000-0000-0000AD010000}"/>
    <cellStyle name="Normal 30" xfId="429" xr:uid="{00000000-0005-0000-0000-0000AE010000}"/>
    <cellStyle name="Normal 300" xfId="430" xr:uid="{00000000-0005-0000-0000-0000AF010000}"/>
    <cellStyle name="Normal 301" xfId="431" xr:uid="{00000000-0005-0000-0000-0000B0010000}"/>
    <cellStyle name="Normal 302" xfId="432" xr:uid="{00000000-0005-0000-0000-0000B1010000}"/>
    <cellStyle name="Normal 303" xfId="433" xr:uid="{00000000-0005-0000-0000-0000B2010000}"/>
    <cellStyle name="Normal 304" xfId="434" xr:uid="{00000000-0005-0000-0000-0000B3010000}"/>
    <cellStyle name="Normal 305" xfId="435" xr:uid="{00000000-0005-0000-0000-0000B4010000}"/>
    <cellStyle name="Normal 306" xfId="436" xr:uid="{00000000-0005-0000-0000-0000B5010000}"/>
    <cellStyle name="Normal 307" xfId="437" xr:uid="{00000000-0005-0000-0000-0000B6010000}"/>
    <cellStyle name="Normal 308" xfId="438" xr:uid="{00000000-0005-0000-0000-0000B7010000}"/>
    <cellStyle name="Normal 309" xfId="439" xr:uid="{00000000-0005-0000-0000-0000B8010000}"/>
    <cellStyle name="Normal 31" xfId="440" xr:uid="{00000000-0005-0000-0000-0000B9010000}"/>
    <cellStyle name="Normal 310" xfId="441" xr:uid="{00000000-0005-0000-0000-0000BA010000}"/>
    <cellStyle name="Normal 311" xfId="442" xr:uid="{00000000-0005-0000-0000-0000BB010000}"/>
    <cellStyle name="Normal 312" xfId="443" xr:uid="{00000000-0005-0000-0000-0000BC010000}"/>
    <cellStyle name="Normal 313" xfId="444" xr:uid="{00000000-0005-0000-0000-0000BD010000}"/>
    <cellStyle name="Normal 314" xfId="445" xr:uid="{00000000-0005-0000-0000-0000BE010000}"/>
    <cellStyle name="Normal 315" xfId="446" xr:uid="{00000000-0005-0000-0000-0000BF010000}"/>
    <cellStyle name="Normal 316" xfId="447" xr:uid="{00000000-0005-0000-0000-0000C0010000}"/>
    <cellStyle name="Normal 317" xfId="448" xr:uid="{00000000-0005-0000-0000-0000C1010000}"/>
    <cellStyle name="Normal 318" xfId="449" xr:uid="{00000000-0005-0000-0000-0000C2010000}"/>
    <cellStyle name="Normal 319" xfId="450" xr:uid="{00000000-0005-0000-0000-0000C3010000}"/>
    <cellStyle name="Normal 319 2" xfId="451" xr:uid="{00000000-0005-0000-0000-0000C4010000}"/>
    <cellStyle name="Normal 32" xfId="452" xr:uid="{00000000-0005-0000-0000-0000C5010000}"/>
    <cellStyle name="Normal 320" xfId="453" xr:uid="{00000000-0005-0000-0000-0000C6010000}"/>
    <cellStyle name="Normal 321" xfId="454" xr:uid="{00000000-0005-0000-0000-0000C7010000}"/>
    <cellStyle name="Normal 322" xfId="455" xr:uid="{00000000-0005-0000-0000-0000C8010000}"/>
    <cellStyle name="Normal 323" xfId="456" xr:uid="{00000000-0005-0000-0000-0000C9010000}"/>
    <cellStyle name="Normal 324" xfId="457" xr:uid="{00000000-0005-0000-0000-0000CA010000}"/>
    <cellStyle name="Normal 33" xfId="458" xr:uid="{00000000-0005-0000-0000-0000CB010000}"/>
    <cellStyle name="Normal 34" xfId="459" xr:uid="{00000000-0005-0000-0000-0000CC010000}"/>
    <cellStyle name="Normal 35" xfId="460" xr:uid="{00000000-0005-0000-0000-0000CD010000}"/>
    <cellStyle name="Normal 36" xfId="461" xr:uid="{00000000-0005-0000-0000-0000CE010000}"/>
    <cellStyle name="Normal 37" xfId="462" xr:uid="{00000000-0005-0000-0000-0000CF010000}"/>
    <cellStyle name="Normal 38" xfId="463" xr:uid="{00000000-0005-0000-0000-0000D0010000}"/>
    <cellStyle name="Normal 39" xfId="464" xr:uid="{00000000-0005-0000-0000-0000D1010000}"/>
    <cellStyle name="Normal 4" xfId="465" xr:uid="{00000000-0005-0000-0000-0000D2010000}"/>
    <cellStyle name="Normal 4 2" xfId="466" xr:uid="{00000000-0005-0000-0000-0000D3010000}"/>
    <cellStyle name="Normal 4 3" xfId="467" xr:uid="{00000000-0005-0000-0000-0000D4010000}"/>
    <cellStyle name="Normal 40" xfId="468" xr:uid="{00000000-0005-0000-0000-0000D5010000}"/>
    <cellStyle name="Normal 41" xfId="469" xr:uid="{00000000-0005-0000-0000-0000D6010000}"/>
    <cellStyle name="Normal 42" xfId="470" xr:uid="{00000000-0005-0000-0000-0000D7010000}"/>
    <cellStyle name="Normal 43" xfId="471" xr:uid="{00000000-0005-0000-0000-0000D8010000}"/>
    <cellStyle name="Normal 44" xfId="472" xr:uid="{00000000-0005-0000-0000-0000D9010000}"/>
    <cellStyle name="Normal 45" xfId="473" xr:uid="{00000000-0005-0000-0000-0000DA010000}"/>
    <cellStyle name="Normal 46" xfId="474" xr:uid="{00000000-0005-0000-0000-0000DB010000}"/>
    <cellStyle name="Normal 47" xfId="475" xr:uid="{00000000-0005-0000-0000-0000DC010000}"/>
    <cellStyle name="Normal 48" xfId="476" xr:uid="{00000000-0005-0000-0000-0000DD010000}"/>
    <cellStyle name="Normal 49" xfId="477" xr:uid="{00000000-0005-0000-0000-0000DE010000}"/>
    <cellStyle name="Normal 5" xfId="478" xr:uid="{00000000-0005-0000-0000-0000DF010000}"/>
    <cellStyle name="Normal 5 2" xfId="479" xr:uid="{00000000-0005-0000-0000-0000E0010000}"/>
    <cellStyle name="Normal 50" xfId="480" xr:uid="{00000000-0005-0000-0000-0000E1010000}"/>
    <cellStyle name="Normal 51" xfId="481" xr:uid="{00000000-0005-0000-0000-0000E2010000}"/>
    <cellStyle name="Normal 52" xfId="482" xr:uid="{00000000-0005-0000-0000-0000E3010000}"/>
    <cellStyle name="Normal 53" xfId="483" xr:uid="{00000000-0005-0000-0000-0000E4010000}"/>
    <cellStyle name="Normal 54" xfId="484" xr:uid="{00000000-0005-0000-0000-0000E5010000}"/>
    <cellStyle name="Normal 55" xfId="485" xr:uid="{00000000-0005-0000-0000-0000E6010000}"/>
    <cellStyle name="Normal 56" xfId="486" xr:uid="{00000000-0005-0000-0000-0000E7010000}"/>
    <cellStyle name="Normal 57" xfId="487" xr:uid="{00000000-0005-0000-0000-0000E8010000}"/>
    <cellStyle name="Normal 58" xfId="488" xr:uid="{00000000-0005-0000-0000-0000E9010000}"/>
    <cellStyle name="Normal 59" xfId="489" xr:uid="{00000000-0005-0000-0000-0000EA010000}"/>
    <cellStyle name="Normal 6" xfId="490" xr:uid="{00000000-0005-0000-0000-0000EB010000}"/>
    <cellStyle name="Normal 6 2" xfId="491" xr:uid="{00000000-0005-0000-0000-0000EC010000}"/>
    <cellStyle name="Normal 6 3" xfId="492" xr:uid="{00000000-0005-0000-0000-0000ED010000}"/>
    <cellStyle name="Normal 6 4" xfId="493" xr:uid="{00000000-0005-0000-0000-0000EE010000}"/>
    <cellStyle name="Normal 6 4 2" xfId="494" xr:uid="{00000000-0005-0000-0000-0000EF010000}"/>
    <cellStyle name="Normal 6 5" xfId="495" xr:uid="{00000000-0005-0000-0000-0000F0010000}"/>
    <cellStyle name="Normal 60" xfId="496" xr:uid="{00000000-0005-0000-0000-0000F1010000}"/>
    <cellStyle name="Normal 61" xfId="497" xr:uid="{00000000-0005-0000-0000-0000F2010000}"/>
    <cellStyle name="Normal 62" xfId="498" xr:uid="{00000000-0005-0000-0000-0000F3010000}"/>
    <cellStyle name="Normal 63" xfId="499" xr:uid="{00000000-0005-0000-0000-0000F4010000}"/>
    <cellStyle name="Normal 64" xfId="500" xr:uid="{00000000-0005-0000-0000-0000F5010000}"/>
    <cellStyle name="Normal 65" xfId="501" xr:uid="{00000000-0005-0000-0000-0000F6010000}"/>
    <cellStyle name="Normal 66" xfId="502" xr:uid="{00000000-0005-0000-0000-0000F7010000}"/>
    <cellStyle name="Normal 67" xfId="503" xr:uid="{00000000-0005-0000-0000-0000F8010000}"/>
    <cellStyle name="Normal 68" xfId="504" xr:uid="{00000000-0005-0000-0000-0000F9010000}"/>
    <cellStyle name="Normal 69" xfId="505" xr:uid="{00000000-0005-0000-0000-0000FA010000}"/>
    <cellStyle name="Normal 7" xfId="506" xr:uid="{00000000-0005-0000-0000-0000FB010000}"/>
    <cellStyle name="Normal 7 2" xfId="507" xr:uid="{00000000-0005-0000-0000-0000FC010000}"/>
    <cellStyle name="Normal 70" xfId="508" xr:uid="{00000000-0005-0000-0000-0000FD010000}"/>
    <cellStyle name="Normal 71" xfId="509" xr:uid="{00000000-0005-0000-0000-0000FE010000}"/>
    <cellStyle name="Normal 72" xfId="510" xr:uid="{00000000-0005-0000-0000-0000FF010000}"/>
    <cellStyle name="Normal 73" xfId="511" xr:uid="{00000000-0005-0000-0000-000000020000}"/>
    <cellStyle name="Normal 74" xfId="512" xr:uid="{00000000-0005-0000-0000-000001020000}"/>
    <cellStyle name="Normal 75" xfId="513" xr:uid="{00000000-0005-0000-0000-000002020000}"/>
    <cellStyle name="Normal 76" xfId="514" xr:uid="{00000000-0005-0000-0000-000003020000}"/>
    <cellStyle name="Normal 77" xfId="515" xr:uid="{00000000-0005-0000-0000-000004020000}"/>
    <cellStyle name="Normal 78" xfId="516" xr:uid="{00000000-0005-0000-0000-000005020000}"/>
    <cellStyle name="Normal 79" xfId="517" xr:uid="{00000000-0005-0000-0000-000006020000}"/>
    <cellStyle name="Normal 8" xfId="518" xr:uid="{00000000-0005-0000-0000-000007020000}"/>
    <cellStyle name="Normal 8 2" xfId="519" xr:uid="{00000000-0005-0000-0000-000008020000}"/>
    <cellStyle name="Normal 80" xfId="520" xr:uid="{00000000-0005-0000-0000-000009020000}"/>
    <cellStyle name="Normal 81" xfId="521" xr:uid="{00000000-0005-0000-0000-00000A020000}"/>
    <cellStyle name="Normal 82" xfId="522" xr:uid="{00000000-0005-0000-0000-00000B020000}"/>
    <cellStyle name="Normal 83" xfId="523" xr:uid="{00000000-0005-0000-0000-00000C020000}"/>
    <cellStyle name="Normal 84" xfId="524" xr:uid="{00000000-0005-0000-0000-00000D020000}"/>
    <cellStyle name="Normal 85" xfId="525" xr:uid="{00000000-0005-0000-0000-00000E020000}"/>
    <cellStyle name="Normal 86" xfId="526" xr:uid="{00000000-0005-0000-0000-00000F020000}"/>
    <cellStyle name="Normal 87" xfId="527" xr:uid="{00000000-0005-0000-0000-000010020000}"/>
    <cellStyle name="Normal 88" xfId="528" xr:uid="{00000000-0005-0000-0000-000011020000}"/>
    <cellStyle name="Normal 89" xfId="529" xr:uid="{00000000-0005-0000-0000-000012020000}"/>
    <cellStyle name="Normal 9" xfId="530" xr:uid="{00000000-0005-0000-0000-000013020000}"/>
    <cellStyle name="Normal 9 2" xfId="531" xr:uid="{00000000-0005-0000-0000-000014020000}"/>
    <cellStyle name="Normal 9 3" xfId="532" xr:uid="{00000000-0005-0000-0000-000015020000}"/>
    <cellStyle name="Normal 90" xfId="533" xr:uid="{00000000-0005-0000-0000-000016020000}"/>
    <cellStyle name="Normal 91" xfId="534" xr:uid="{00000000-0005-0000-0000-000017020000}"/>
    <cellStyle name="Normal 92" xfId="535" xr:uid="{00000000-0005-0000-0000-000018020000}"/>
    <cellStyle name="Normal 93" xfId="536" xr:uid="{00000000-0005-0000-0000-000019020000}"/>
    <cellStyle name="Normal 94" xfId="537" xr:uid="{00000000-0005-0000-0000-00001A020000}"/>
    <cellStyle name="Normal 95" xfId="538" xr:uid="{00000000-0005-0000-0000-00001B020000}"/>
    <cellStyle name="Normal 96" xfId="539" xr:uid="{00000000-0005-0000-0000-00001C020000}"/>
    <cellStyle name="Normal 97" xfId="540" xr:uid="{00000000-0005-0000-0000-00001D020000}"/>
    <cellStyle name="Normal 98" xfId="541" xr:uid="{00000000-0005-0000-0000-00001E020000}"/>
    <cellStyle name="Normal 99" xfId="542" xr:uid="{00000000-0005-0000-0000-00001F020000}"/>
    <cellStyle name="Note 2" xfId="543" xr:uid="{00000000-0005-0000-0000-000020020000}"/>
    <cellStyle name="Note 3" xfId="544" xr:uid="{00000000-0005-0000-0000-000021020000}"/>
    <cellStyle name="Percent" xfId="558" builtinId="5"/>
    <cellStyle name="Percent 2" xfId="545" xr:uid="{00000000-0005-0000-0000-000023020000}"/>
    <cellStyle name="Percent 2 2" xfId="546" xr:uid="{00000000-0005-0000-0000-000024020000}"/>
    <cellStyle name="Percent 2 3" xfId="547" xr:uid="{00000000-0005-0000-0000-000025020000}"/>
    <cellStyle name="Percent 2 4" xfId="548" xr:uid="{00000000-0005-0000-0000-000026020000}"/>
    <cellStyle name="Percent 2 5" xfId="549" xr:uid="{00000000-0005-0000-0000-000027020000}"/>
    <cellStyle name="Percent 2 5 2" xfId="550" xr:uid="{00000000-0005-0000-0000-000028020000}"/>
    <cellStyle name="Percent 3" xfId="551" xr:uid="{00000000-0005-0000-0000-000029020000}"/>
    <cellStyle name="Percent 3 2" xfId="552" xr:uid="{00000000-0005-0000-0000-00002A020000}"/>
    <cellStyle name="Percent 3 2 2" xfId="553" xr:uid="{00000000-0005-0000-0000-00002B020000}"/>
    <cellStyle name="Percent 4" xfId="554" xr:uid="{00000000-0005-0000-0000-00002C020000}"/>
    <cellStyle name="Percent 4 2" xfId="555" xr:uid="{00000000-0005-0000-0000-00002D020000}"/>
    <cellStyle name="Title 2" xfId="556" xr:uid="{00000000-0005-0000-0000-00002E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BF36"/>
  <sheetViews>
    <sheetView showGridLines="0" tabSelected="1" zoomScale="80" zoomScaleNormal="80" workbookViewId="0">
      <pane xSplit="3" ySplit="5" topLeftCell="AM6" activePane="bottomRight" state="frozen"/>
      <selection pane="topRight" activeCell="D1" sqref="D1"/>
      <selection pane="bottomLeft" activeCell="A6" sqref="A6"/>
      <selection pane="bottomRight" activeCell="AM1" sqref="AM1"/>
    </sheetView>
  </sheetViews>
  <sheetFormatPr defaultColWidth="9.140625" defaultRowHeight="14.25"/>
  <cols>
    <col min="1" max="1" width="2.140625" style="32" customWidth="1"/>
    <col min="2" max="2" width="21" style="32" customWidth="1"/>
    <col min="3" max="3" width="21.28515625" style="32" customWidth="1"/>
    <col min="4" max="4" width="14.140625" style="32" hidden="1" customWidth="1"/>
    <col min="5" max="7" width="13.140625" style="32" hidden="1" customWidth="1"/>
    <col min="8" max="8" width="16.42578125" style="40" hidden="1" customWidth="1"/>
    <col min="9" max="9" width="14.140625" style="32" hidden="1" customWidth="1"/>
    <col min="10" max="12" width="13.140625" style="32" hidden="1" customWidth="1"/>
    <col min="13" max="13" width="14.42578125" style="40" hidden="1" customWidth="1"/>
    <col min="14" max="14" width="14.140625" style="32" hidden="1" customWidth="1"/>
    <col min="15" max="17" width="13.140625" style="32" hidden="1" customWidth="1"/>
    <col min="18" max="18" width="14.42578125" style="40" hidden="1" customWidth="1"/>
    <col min="19" max="19" width="14.28515625" style="32" hidden="1" customWidth="1"/>
    <col min="20" max="22" width="13.140625" style="32" hidden="1" customWidth="1"/>
    <col min="23" max="23" width="14.42578125" style="40" hidden="1" customWidth="1"/>
    <col min="24" max="24" width="14.140625" style="32" hidden="1" customWidth="1"/>
    <col min="25" max="27" width="13.140625" style="32" hidden="1" customWidth="1"/>
    <col min="28" max="28" width="14.42578125" style="40" hidden="1" customWidth="1"/>
    <col min="29" max="29" width="14.140625" style="32" hidden="1" customWidth="1"/>
    <col min="30" max="32" width="13.140625" style="32" hidden="1" customWidth="1"/>
    <col min="33" max="33" width="14.42578125" style="40" hidden="1" customWidth="1"/>
    <col min="34" max="34" width="14.140625" style="32" hidden="1" customWidth="1"/>
    <col min="35" max="37" width="13.140625" style="32" hidden="1" customWidth="1"/>
    <col min="38" max="38" width="14.42578125" style="40" hidden="1" customWidth="1"/>
    <col min="39" max="39" width="14.140625" style="32" customWidth="1"/>
    <col min="40" max="42" width="13.140625" style="32" customWidth="1"/>
    <col min="43" max="43" width="14.42578125" style="40" customWidth="1"/>
    <col min="44" max="44" width="14.140625" style="32" customWidth="1"/>
    <col min="45" max="47" width="13.140625" style="32" customWidth="1"/>
    <col min="48" max="48" width="14.42578125" style="40" customWidth="1"/>
    <col min="49" max="49" width="14.140625" style="32" customWidth="1"/>
    <col min="50" max="52" width="13.140625" style="32" customWidth="1"/>
    <col min="53" max="53" width="14.42578125" style="40" customWidth="1"/>
    <col min="54" max="54" width="14.140625" style="32" hidden="1" customWidth="1"/>
    <col min="55" max="57" width="13.140625" style="32" hidden="1" customWidth="1"/>
    <col min="58" max="58" width="14.42578125" style="40" hidden="1" customWidth="1"/>
    <col min="59" max="701" width="9.140625" style="32"/>
    <col min="702" max="702" width="0" style="32" hidden="1" customWidth="1"/>
    <col min="703" max="16384" width="9.140625" style="32"/>
  </cols>
  <sheetData>
    <row r="1" spans="2:58" s="270" customFormat="1" ht="15.75" thickBot="1">
      <c r="H1" s="271"/>
      <c r="M1" s="271"/>
      <c r="R1" s="271"/>
      <c r="W1" s="271"/>
      <c r="AB1" s="271"/>
      <c r="AG1" s="271"/>
      <c r="AL1" s="271"/>
      <c r="AQ1" s="271"/>
      <c r="AV1" s="271"/>
      <c r="BA1" s="271"/>
      <c r="BF1" s="271"/>
    </row>
    <row r="2" spans="2:58" s="270" customFormat="1" ht="23.25" customHeight="1">
      <c r="B2" s="272"/>
      <c r="C2" s="273"/>
      <c r="D2" s="419" t="s">
        <v>79</v>
      </c>
      <c r="E2" s="420"/>
      <c r="F2" s="420"/>
      <c r="G2" s="420"/>
      <c r="H2" s="421"/>
      <c r="I2" s="416" t="s">
        <v>82</v>
      </c>
      <c r="J2" s="417"/>
      <c r="K2" s="417"/>
      <c r="L2" s="417"/>
      <c r="M2" s="418"/>
      <c r="N2" s="413" t="s">
        <v>83</v>
      </c>
      <c r="O2" s="414"/>
      <c r="P2" s="414"/>
      <c r="Q2" s="414"/>
      <c r="R2" s="415"/>
      <c r="S2" s="425" t="s">
        <v>84</v>
      </c>
      <c r="T2" s="426"/>
      <c r="U2" s="426"/>
      <c r="V2" s="426"/>
      <c r="W2" s="427"/>
      <c r="X2" s="428" t="s">
        <v>81</v>
      </c>
      <c r="Y2" s="429"/>
      <c r="Z2" s="429"/>
      <c r="AA2" s="429"/>
      <c r="AB2" s="430"/>
      <c r="AC2" s="443" t="s">
        <v>80</v>
      </c>
      <c r="AD2" s="444"/>
      <c r="AE2" s="444"/>
      <c r="AF2" s="444"/>
      <c r="AG2" s="445"/>
      <c r="AH2" s="419" t="s">
        <v>85</v>
      </c>
      <c r="AI2" s="420"/>
      <c r="AJ2" s="420"/>
      <c r="AK2" s="420"/>
      <c r="AL2" s="421"/>
      <c r="AM2" s="416" t="s">
        <v>86</v>
      </c>
      <c r="AN2" s="417"/>
      <c r="AO2" s="417"/>
      <c r="AP2" s="417"/>
      <c r="AQ2" s="418"/>
      <c r="AR2" s="413" t="s">
        <v>88</v>
      </c>
      <c r="AS2" s="414"/>
      <c r="AT2" s="414"/>
      <c r="AU2" s="414"/>
      <c r="AV2" s="415"/>
      <c r="AW2" s="425" t="s">
        <v>89</v>
      </c>
      <c r="AX2" s="426"/>
      <c r="AY2" s="426"/>
      <c r="AZ2" s="426"/>
      <c r="BA2" s="427"/>
      <c r="BB2" s="428" t="s">
        <v>90</v>
      </c>
      <c r="BC2" s="429"/>
      <c r="BD2" s="429"/>
      <c r="BE2" s="429"/>
      <c r="BF2" s="430"/>
    </row>
    <row r="3" spans="2:58" ht="24" customHeight="1" thickBot="1">
      <c r="B3" s="223" t="s">
        <v>75</v>
      </c>
      <c r="C3" s="222"/>
      <c r="D3" s="410" t="s">
        <v>1</v>
      </c>
      <c r="E3" s="397" t="s">
        <v>2</v>
      </c>
      <c r="F3" s="397" t="s">
        <v>12</v>
      </c>
      <c r="G3" s="407" t="s">
        <v>3</v>
      </c>
      <c r="H3" s="422" t="s">
        <v>9</v>
      </c>
      <c r="I3" s="410" t="s">
        <v>1</v>
      </c>
      <c r="J3" s="397" t="s">
        <v>2</v>
      </c>
      <c r="K3" s="397" t="s">
        <v>12</v>
      </c>
      <c r="L3" s="407" t="s">
        <v>3</v>
      </c>
      <c r="M3" s="422" t="s">
        <v>9</v>
      </c>
      <c r="N3" s="410" t="s">
        <v>1</v>
      </c>
      <c r="O3" s="397" t="s">
        <v>2</v>
      </c>
      <c r="P3" s="397" t="s">
        <v>12</v>
      </c>
      <c r="Q3" s="407" t="s">
        <v>3</v>
      </c>
      <c r="R3" s="422" t="s">
        <v>9</v>
      </c>
      <c r="S3" s="410" t="s">
        <v>1</v>
      </c>
      <c r="T3" s="397" t="s">
        <v>2</v>
      </c>
      <c r="U3" s="397" t="s">
        <v>12</v>
      </c>
      <c r="V3" s="407" t="s">
        <v>3</v>
      </c>
      <c r="W3" s="422" t="s">
        <v>9</v>
      </c>
      <c r="X3" s="410" t="s">
        <v>1</v>
      </c>
      <c r="Y3" s="397" t="s">
        <v>2</v>
      </c>
      <c r="Z3" s="397" t="s">
        <v>12</v>
      </c>
      <c r="AA3" s="407" t="s">
        <v>3</v>
      </c>
      <c r="AB3" s="422" t="s">
        <v>9</v>
      </c>
      <c r="AC3" s="410" t="s">
        <v>1</v>
      </c>
      <c r="AD3" s="397" t="s">
        <v>2</v>
      </c>
      <c r="AE3" s="397" t="s">
        <v>12</v>
      </c>
      <c r="AF3" s="407" t="s">
        <v>3</v>
      </c>
      <c r="AG3" s="422" t="s">
        <v>9</v>
      </c>
      <c r="AH3" s="410" t="s">
        <v>1</v>
      </c>
      <c r="AI3" s="397" t="s">
        <v>2</v>
      </c>
      <c r="AJ3" s="397" t="s">
        <v>12</v>
      </c>
      <c r="AK3" s="407" t="s">
        <v>3</v>
      </c>
      <c r="AL3" s="422" t="s">
        <v>9</v>
      </c>
      <c r="AM3" s="410" t="s">
        <v>1</v>
      </c>
      <c r="AN3" s="397" t="s">
        <v>2</v>
      </c>
      <c r="AO3" s="397" t="s">
        <v>12</v>
      </c>
      <c r="AP3" s="407" t="s">
        <v>3</v>
      </c>
      <c r="AQ3" s="422" t="s">
        <v>9</v>
      </c>
      <c r="AR3" s="410" t="s">
        <v>1</v>
      </c>
      <c r="AS3" s="397" t="s">
        <v>2</v>
      </c>
      <c r="AT3" s="397" t="s">
        <v>12</v>
      </c>
      <c r="AU3" s="407" t="s">
        <v>3</v>
      </c>
      <c r="AV3" s="422" t="s">
        <v>9</v>
      </c>
      <c r="AW3" s="410" t="s">
        <v>1</v>
      </c>
      <c r="AX3" s="397" t="s">
        <v>2</v>
      </c>
      <c r="AY3" s="397" t="s">
        <v>12</v>
      </c>
      <c r="AZ3" s="407" t="s">
        <v>3</v>
      </c>
      <c r="BA3" s="422" t="s">
        <v>9</v>
      </c>
      <c r="BB3" s="410" t="s">
        <v>1</v>
      </c>
      <c r="BC3" s="397" t="s">
        <v>2</v>
      </c>
      <c r="BD3" s="397" t="s">
        <v>12</v>
      </c>
      <c r="BE3" s="407" t="s">
        <v>3</v>
      </c>
      <c r="BF3" s="422" t="s">
        <v>9</v>
      </c>
    </row>
    <row r="4" spans="2:58" ht="21" customHeight="1" thickBot="1">
      <c r="B4" s="299" t="s">
        <v>165</v>
      </c>
      <c r="C4" s="224"/>
      <c r="D4" s="411"/>
      <c r="E4" s="398"/>
      <c r="F4" s="398"/>
      <c r="G4" s="408"/>
      <c r="H4" s="423"/>
      <c r="I4" s="411"/>
      <c r="J4" s="398"/>
      <c r="K4" s="398"/>
      <c r="L4" s="408"/>
      <c r="M4" s="423"/>
      <c r="N4" s="411"/>
      <c r="O4" s="398"/>
      <c r="P4" s="398"/>
      <c r="Q4" s="408"/>
      <c r="R4" s="423"/>
      <c r="S4" s="411"/>
      <c r="T4" s="398"/>
      <c r="U4" s="398"/>
      <c r="V4" s="408"/>
      <c r="W4" s="423"/>
      <c r="X4" s="411"/>
      <c r="Y4" s="398"/>
      <c r="Z4" s="398"/>
      <c r="AA4" s="408"/>
      <c r="AB4" s="423"/>
      <c r="AC4" s="411"/>
      <c r="AD4" s="398"/>
      <c r="AE4" s="398"/>
      <c r="AF4" s="408"/>
      <c r="AG4" s="423"/>
      <c r="AH4" s="411"/>
      <c r="AI4" s="398"/>
      <c r="AJ4" s="398"/>
      <c r="AK4" s="408"/>
      <c r="AL4" s="423"/>
      <c r="AM4" s="411"/>
      <c r="AN4" s="398"/>
      <c r="AO4" s="398"/>
      <c r="AP4" s="408"/>
      <c r="AQ4" s="423"/>
      <c r="AR4" s="411"/>
      <c r="AS4" s="398"/>
      <c r="AT4" s="398"/>
      <c r="AU4" s="408"/>
      <c r="AV4" s="423"/>
      <c r="AW4" s="411"/>
      <c r="AX4" s="398"/>
      <c r="AY4" s="398"/>
      <c r="AZ4" s="408"/>
      <c r="BA4" s="423"/>
      <c r="BB4" s="411"/>
      <c r="BC4" s="398"/>
      <c r="BD4" s="398"/>
      <c r="BE4" s="408"/>
      <c r="BF4" s="423"/>
    </row>
    <row r="5" spans="2:58" ht="18" customHeight="1">
      <c r="B5" s="7"/>
      <c r="C5" s="225"/>
      <c r="D5" s="412"/>
      <c r="E5" s="399"/>
      <c r="F5" s="399"/>
      <c r="G5" s="409"/>
      <c r="H5" s="424"/>
      <c r="I5" s="412"/>
      <c r="J5" s="399"/>
      <c r="K5" s="399"/>
      <c r="L5" s="409"/>
      <c r="M5" s="424"/>
      <c r="N5" s="412"/>
      <c r="O5" s="399"/>
      <c r="P5" s="399"/>
      <c r="Q5" s="409"/>
      <c r="R5" s="424"/>
      <c r="S5" s="412"/>
      <c r="T5" s="399"/>
      <c r="U5" s="399"/>
      <c r="V5" s="409"/>
      <c r="W5" s="424"/>
      <c r="X5" s="412"/>
      <c r="Y5" s="399"/>
      <c r="Z5" s="399"/>
      <c r="AA5" s="409"/>
      <c r="AB5" s="424"/>
      <c r="AC5" s="412"/>
      <c r="AD5" s="399"/>
      <c r="AE5" s="399"/>
      <c r="AF5" s="409"/>
      <c r="AG5" s="424"/>
      <c r="AH5" s="412"/>
      <c r="AI5" s="399"/>
      <c r="AJ5" s="399"/>
      <c r="AK5" s="409"/>
      <c r="AL5" s="424"/>
      <c r="AM5" s="412"/>
      <c r="AN5" s="399"/>
      <c r="AO5" s="399"/>
      <c r="AP5" s="409"/>
      <c r="AQ5" s="424"/>
      <c r="AR5" s="412"/>
      <c r="AS5" s="399"/>
      <c r="AT5" s="399"/>
      <c r="AU5" s="409"/>
      <c r="AV5" s="424"/>
      <c r="AW5" s="412"/>
      <c r="AX5" s="399"/>
      <c r="AY5" s="399"/>
      <c r="AZ5" s="409"/>
      <c r="BA5" s="424"/>
      <c r="BB5" s="412"/>
      <c r="BC5" s="399"/>
      <c r="BD5" s="399"/>
      <c r="BE5" s="409"/>
      <c r="BF5" s="424"/>
    </row>
    <row r="6" spans="2:58" ht="36.75" customHeight="1">
      <c r="B6" s="69" t="s">
        <v>76</v>
      </c>
      <c r="C6" s="226"/>
      <c r="D6" s="33"/>
      <c r="E6" s="4"/>
      <c r="F6" s="4"/>
      <c r="G6" s="4"/>
      <c r="H6" s="35"/>
      <c r="I6" s="33"/>
      <c r="J6" s="4"/>
      <c r="K6" s="4"/>
      <c r="L6" s="4"/>
      <c r="M6" s="35"/>
      <c r="N6" s="33"/>
      <c r="O6" s="4"/>
      <c r="P6" s="4"/>
      <c r="Q6" s="4"/>
      <c r="R6" s="35"/>
      <c r="S6" s="33"/>
      <c r="T6" s="4"/>
      <c r="U6" s="4"/>
      <c r="V6" s="4"/>
      <c r="W6" s="35"/>
      <c r="X6" s="33"/>
      <c r="Y6" s="4"/>
      <c r="Z6" s="4"/>
      <c r="AA6" s="4"/>
      <c r="AB6" s="35"/>
      <c r="AC6" s="33"/>
      <c r="AD6" s="4"/>
      <c r="AE6" s="4"/>
      <c r="AF6" s="4"/>
      <c r="AG6" s="35"/>
      <c r="AH6" s="33"/>
      <c r="AI6" s="4"/>
      <c r="AJ6" s="4"/>
      <c r="AK6" s="4"/>
      <c r="AL6" s="35"/>
      <c r="AM6" s="33"/>
      <c r="AN6" s="4"/>
      <c r="AO6" s="4"/>
      <c r="AP6" s="4"/>
      <c r="AQ6" s="35"/>
      <c r="AR6" s="33"/>
      <c r="AS6" s="4"/>
      <c r="AT6" s="4"/>
      <c r="AU6" s="4"/>
      <c r="AV6" s="35"/>
      <c r="AW6" s="33"/>
      <c r="AX6" s="4"/>
      <c r="AY6" s="4"/>
      <c r="AZ6" s="4"/>
      <c r="BA6" s="35"/>
      <c r="BB6" s="33"/>
      <c r="BC6" s="4"/>
      <c r="BD6" s="4"/>
      <c r="BE6" s="4"/>
      <c r="BF6" s="35"/>
    </row>
    <row r="7" spans="2:58" ht="18" customHeight="1">
      <c r="B7" s="400" t="s">
        <v>4</v>
      </c>
      <c r="C7" s="172" t="s">
        <v>5</v>
      </c>
      <c r="D7" s="300">
        <v>13422</v>
      </c>
      <c r="E7" s="301">
        <v>42988.5</v>
      </c>
      <c r="F7" s="301">
        <v>51566</v>
      </c>
      <c r="G7" s="2">
        <f>IF($B$4="quarter",SUM((E7/45),(F7/900)),IF($B$4="semester",SUM((E7/30),F7/900)))</f>
        <v>1490.2455555555557</v>
      </c>
      <c r="H7" s="313">
        <v>3487176</v>
      </c>
      <c r="I7" s="302">
        <v>12976.8</v>
      </c>
      <c r="J7" s="301">
        <v>42185.5</v>
      </c>
      <c r="K7" s="301">
        <v>53241.1</v>
      </c>
      <c r="L7" s="2">
        <f>IF($B$4="quarter",SUM((J7/45),(K7/900)),IF($B$4="semester",SUM((J7/30),K7/900)))</f>
        <v>1465.3401111111111</v>
      </c>
      <c r="M7" s="313">
        <v>3485713</v>
      </c>
      <c r="N7" s="302">
        <v>10754</v>
      </c>
      <c r="O7" s="301">
        <v>38597.5</v>
      </c>
      <c r="P7" s="301">
        <v>38447.910000000003</v>
      </c>
      <c r="Q7" s="2">
        <f>IF($B$4="quarter",SUM((O7/45),(P7/900)),IF($B$4="semester",SUM((O7/30),P7/900)))</f>
        <v>1329.3032333333333</v>
      </c>
      <c r="R7" s="313">
        <v>3482534</v>
      </c>
      <c r="S7" s="302">
        <v>8703</v>
      </c>
      <c r="T7" s="301">
        <v>36851.5</v>
      </c>
      <c r="U7" s="301">
        <v>32652.75</v>
      </c>
      <c r="V7" s="2">
        <f>IF($B$4="quarter",SUM((T7/45),(U7/900)),IF($B$4="semester",SUM((T7/30),U7/900)))</f>
        <v>1264.6641666666667</v>
      </c>
      <c r="W7" s="313">
        <v>3478174</v>
      </c>
      <c r="X7" s="302">
        <v>7933</v>
      </c>
      <c r="Y7" s="301">
        <v>36873.5</v>
      </c>
      <c r="Z7" s="301">
        <v>30983.5</v>
      </c>
      <c r="AA7" s="2">
        <f>IF($B$4="quarter",SUM((Y7/45),(Z7/900)),IF($B$4="semester",SUM((Y7/30),Z7/900)))</f>
        <v>1263.5427777777777</v>
      </c>
      <c r="AB7" s="313">
        <v>3647762</v>
      </c>
      <c r="AC7" s="68">
        <v>7213</v>
      </c>
      <c r="AD7" s="1">
        <v>35484</v>
      </c>
      <c r="AE7" s="1">
        <v>29308</v>
      </c>
      <c r="AF7" s="2">
        <f>IF($B$4="quarter",SUM((AD7/45),(AE7/900)),IF($B$4="semester",SUM((AD7/30),AE7/900)))</f>
        <v>1215.3644444444444</v>
      </c>
      <c r="AG7" s="313">
        <f>4250877-714059</f>
        <v>3536818</v>
      </c>
      <c r="AH7" s="68">
        <v>7874</v>
      </c>
      <c r="AI7" s="1">
        <v>34253</v>
      </c>
      <c r="AJ7" s="1">
        <v>39129.5</v>
      </c>
      <c r="AK7" s="2">
        <f>IF($B$4="quarter",SUM((AI7/45),(AJ7/900)),IF($B$4="semester",SUM((AI7/30),AJ7/900)))</f>
        <v>1185.2438888888889</v>
      </c>
      <c r="AL7" s="313">
        <f>4594776-720443</f>
        <v>3874333</v>
      </c>
      <c r="AM7" s="68">
        <v>6814</v>
      </c>
      <c r="AN7" s="1">
        <v>32151.5</v>
      </c>
      <c r="AO7" s="1">
        <v>28594.5</v>
      </c>
      <c r="AP7" s="2">
        <f>IF($B$4="quarter",SUM((AN7/45),(AO7/900)),IF($B$4="semester",SUM((AN7/30),AO7/900)))</f>
        <v>1103.4883333333335</v>
      </c>
      <c r="AQ7" s="313">
        <f>4379829-695593</f>
        <v>3684236</v>
      </c>
      <c r="AR7" s="68">
        <v>6248</v>
      </c>
      <c r="AS7" s="1">
        <v>33971</v>
      </c>
      <c r="AT7" s="1">
        <v>35911.5</v>
      </c>
      <c r="AU7" s="2">
        <f>IF($B$4="quarter",SUM((AS7/45),(AT7/900)),IF($B$4="semester",SUM((AS7/30),AT7/900)))</f>
        <v>1172.2683333333332</v>
      </c>
      <c r="AV7" s="313">
        <f>4540974-748203</f>
        <v>3792771</v>
      </c>
      <c r="AW7" s="381">
        <v>7088</v>
      </c>
      <c r="AX7" s="382">
        <v>32701</v>
      </c>
      <c r="AY7" s="382">
        <v>34240.6</v>
      </c>
      <c r="AZ7" s="2">
        <f>IF($B$4="quarter",SUM((AX7/45),(AY7/900)),IF($B$4="semester",SUM((AX7/30),AY7/900)))</f>
        <v>1128.0784444444444</v>
      </c>
      <c r="BA7" s="356">
        <f>'Cash Fund Revenue Summary'!K7-684943</f>
        <v>3645647</v>
      </c>
      <c r="BB7" s="68">
        <v>0</v>
      </c>
      <c r="BC7" s="1">
        <v>0</v>
      </c>
      <c r="BD7" s="1">
        <v>0</v>
      </c>
      <c r="BE7" s="2">
        <f>IF($B$4="quarter",SUM((BC7/45),(BD7/900)),IF($B$4="semester",SUM((BC7/30),BD7/900)))</f>
        <v>0</v>
      </c>
      <c r="BF7" s="313">
        <v>0</v>
      </c>
    </row>
    <row r="8" spans="2:58" ht="18" customHeight="1">
      <c r="B8" s="401"/>
      <c r="C8" s="172" t="s">
        <v>6</v>
      </c>
      <c r="D8" s="300">
        <v>3153</v>
      </c>
      <c r="E8" s="301">
        <v>11248.5</v>
      </c>
      <c r="F8" s="301">
        <v>3483</v>
      </c>
      <c r="G8" s="2">
        <f>IF($B$4="quarter",SUM((E8/45),(F8/900)),IF($B$4="semester",SUM((E8/30),F8/900)))</f>
        <v>378.82</v>
      </c>
      <c r="H8" s="313">
        <v>897650</v>
      </c>
      <c r="I8" s="302">
        <v>3465.2</v>
      </c>
      <c r="J8" s="301">
        <v>12927.5</v>
      </c>
      <c r="K8" s="301">
        <v>2646.9</v>
      </c>
      <c r="L8" s="2">
        <f>IF($B$4="quarter",SUM((J8/45),(K8/900)),IF($B$4="semester",SUM((J8/30),K8/900)))</f>
        <v>433.85766666666666</v>
      </c>
      <c r="M8" s="313">
        <v>984400</v>
      </c>
      <c r="N8" s="302">
        <v>7528</v>
      </c>
      <c r="O8" s="301">
        <v>16966</v>
      </c>
      <c r="P8" s="301">
        <v>12510.34</v>
      </c>
      <c r="Q8" s="2">
        <f>IF($B$4="quarter",SUM((O8/45),(P8/900)),IF($B$4="semester",SUM((O8/30),P8/900)))</f>
        <v>579.43371111111105</v>
      </c>
      <c r="R8" s="313">
        <v>1848922</v>
      </c>
      <c r="S8" s="302">
        <v>1976</v>
      </c>
      <c r="T8" s="301">
        <v>8326</v>
      </c>
      <c r="U8" s="301">
        <v>1699.5</v>
      </c>
      <c r="V8" s="2">
        <f>IF($B$4="quarter",SUM((T8/45),(U8/900)),IF($B$4="semester",SUM((T8/30),U8/900)))</f>
        <v>279.42166666666668</v>
      </c>
      <c r="W8" s="313">
        <v>831099</v>
      </c>
      <c r="X8" s="302">
        <v>352</v>
      </c>
      <c r="Y8" s="301">
        <v>6470.5</v>
      </c>
      <c r="Z8" s="301">
        <v>324</v>
      </c>
      <c r="AA8" s="2">
        <f>IF($B$4="quarter",SUM((Y8/45),(Z8/900)),IF($B$4="semester",SUM((Y8/30),Z8/900)))</f>
        <v>216.04333333333335</v>
      </c>
      <c r="AB8" s="313">
        <v>662549</v>
      </c>
      <c r="AC8" s="68">
        <v>370</v>
      </c>
      <c r="AD8" s="1">
        <v>6725</v>
      </c>
      <c r="AE8" s="1">
        <v>1648.5</v>
      </c>
      <c r="AF8" s="2">
        <f>IF($B$4="quarter",SUM((AD8/45),(AE8/900)),IF($B$4="semester",SUM((AD8/30),AE8/900)))</f>
        <v>225.99833333333333</v>
      </c>
      <c r="AG8" s="313">
        <f>228255+485804</f>
        <v>714059</v>
      </c>
      <c r="AH8" s="68">
        <v>525</v>
      </c>
      <c r="AI8" s="1">
        <v>6643.5</v>
      </c>
      <c r="AJ8" s="1">
        <v>2502.5</v>
      </c>
      <c r="AK8" s="2">
        <f>IF($B$4="quarter",SUM((AI8/45),(AJ8/900)),IF($B$4="semester",SUM((AI8/30),AJ8/900)))</f>
        <v>224.23055555555555</v>
      </c>
      <c r="AL8" s="313">
        <f>241687+478756</f>
        <v>720443</v>
      </c>
      <c r="AM8" s="68">
        <v>294</v>
      </c>
      <c r="AN8" s="1">
        <v>6250</v>
      </c>
      <c r="AO8" s="1">
        <v>1893</v>
      </c>
      <c r="AP8" s="2">
        <f>IF($B$4="quarter",SUM((AN8/45),(AO8/900)),IF($B$4="semester",SUM((AN8/30),AO8/900)))</f>
        <v>210.43666666666667</v>
      </c>
      <c r="AQ8" s="313">
        <f>199194+496399</f>
        <v>695593</v>
      </c>
      <c r="AR8" s="68">
        <v>192</v>
      </c>
      <c r="AS8" s="1">
        <v>4350</v>
      </c>
      <c r="AT8" s="1">
        <v>489</v>
      </c>
      <c r="AU8" s="2">
        <f>IF($B$4="quarter",SUM((AS8/45),(AT8/900)),IF($B$4="semester",SUM((AS8/30),AT8/900)))</f>
        <v>145.54333333333332</v>
      </c>
      <c r="AV8" s="313">
        <f>196079+552124</f>
        <v>748203</v>
      </c>
      <c r="AW8" s="381">
        <v>189</v>
      </c>
      <c r="AX8" s="382">
        <v>4072.5</v>
      </c>
      <c r="AY8" s="382">
        <v>360</v>
      </c>
      <c r="AZ8" s="2">
        <f>IF($B$4="quarter",SUM((AX8/45),(AY8/900)),IF($B$4="semester",SUM((AX8/30),AY8/900)))</f>
        <v>136.15</v>
      </c>
      <c r="BA8" s="356">
        <f>505825+179118</f>
        <v>684943</v>
      </c>
      <c r="BB8" s="68">
        <v>0</v>
      </c>
      <c r="BC8" s="1">
        <v>0</v>
      </c>
      <c r="BD8" s="1">
        <v>0</v>
      </c>
      <c r="BE8" s="2">
        <f>IF($B$4="quarter",SUM((BC8/45),(BD8/900)),IF($B$4="semester",SUM((BC8/30),BD8/900)))</f>
        <v>0</v>
      </c>
      <c r="BF8" s="313">
        <v>0</v>
      </c>
    </row>
    <row r="9" spans="2:58" ht="18" customHeight="1">
      <c r="B9" s="402"/>
      <c r="C9" s="173" t="s">
        <v>87</v>
      </c>
      <c r="D9" s="34">
        <f t="shared" ref="D9:AF9" si="0">SUM(D7:D8)</f>
        <v>16575</v>
      </c>
      <c r="E9" s="2">
        <f t="shared" si="0"/>
        <v>54237</v>
      </c>
      <c r="F9" s="2">
        <f t="shared" si="0"/>
        <v>55049</v>
      </c>
      <c r="G9" s="83">
        <f t="shared" si="0"/>
        <v>1869.0655555555556</v>
      </c>
      <c r="H9" s="38">
        <f>SUM(H7:H8)</f>
        <v>4384826</v>
      </c>
      <c r="I9" s="34">
        <f t="shared" si="0"/>
        <v>16442</v>
      </c>
      <c r="J9" s="2">
        <f t="shared" si="0"/>
        <v>55113</v>
      </c>
      <c r="K9" s="2">
        <f t="shared" si="0"/>
        <v>55888</v>
      </c>
      <c r="L9" s="2">
        <f t="shared" si="0"/>
        <v>1899.1977777777779</v>
      </c>
      <c r="M9" s="38">
        <f>SUM(M7:M8)</f>
        <v>4470113</v>
      </c>
      <c r="N9" s="34">
        <f t="shared" si="0"/>
        <v>18282</v>
      </c>
      <c r="O9" s="2">
        <f t="shared" si="0"/>
        <v>55563.5</v>
      </c>
      <c r="P9" s="2">
        <f t="shared" si="0"/>
        <v>50958.25</v>
      </c>
      <c r="Q9" s="2">
        <f t="shared" si="0"/>
        <v>1908.7369444444444</v>
      </c>
      <c r="R9" s="38">
        <f>SUM(R7:R8)</f>
        <v>5331456</v>
      </c>
      <c r="S9" s="34">
        <f t="shared" si="0"/>
        <v>10679</v>
      </c>
      <c r="T9" s="2">
        <f t="shared" si="0"/>
        <v>45177.5</v>
      </c>
      <c r="U9" s="2">
        <f t="shared" si="0"/>
        <v>34352.25</v>
      </c>
      <c r="V9" s="2">
        <f t="shared" si="0"/>
        <v>1544.0858333333333</v>
      </c>
      <c r="W9" s="38">
        <f>SUM(W7:W8)</f>
        <v>4309273</v>
      </c>
      <c r="X9" s="34">
        <f t="shared" si="0"/>
        <v>8285</v>
      </c>
      <c r="Y9" s="2">
        <f t="shared" si="0"/>
        <v>43344</v>
      </c>
      <c r="Z9" s="2">
        <f t="shared" si="0"/>
        <v>31307.5</v>
      </c>
      <c r="AA9" s="2">
        <f t="shared" si="0"/>
        <v>1479.586111111111</v>
      </c>
      <c r="AB9" s="38">
        <f>SUM(AB7:AB8)</f>
        <v>4310311</v>
      </c>
      <c r="AC9" s="34">
        <f t="shared" si="0"/>
        <v>7583</v>
      </c>
      <c r="AD9" s="2">
        <f t="shared" si="0"/>
        <v>42209</v>
      </c>
      <c r="AE9" s="2">
        <f t="shared" si="0"/>
        <v>30956.5</v>
      </c>
      <c r="AF9" s="2">
        <f t="shared" si="0"/>
        <v>1441.3627777777779</v>
      </c>
      <c r="AG9" s="38">
        <f>SUM(AG7:AG8)</f>
        <v>4250877</v>
      </c>
      <c r="AH9" s="34">
        <f t="shared" ref="AH9:AP9" si="1">SUM(AH7:AH8)</f>
        <v>8399</v>
      </c>
      <c r="AI9" s="2">
        <f t="shared" si="1"/>
        <v>40896.5</v>
      </c>
      <c r="AJ9" s="2">
        <f t="shared" si="1"/>
        <v>41632</v>
      </c>
      <c r="AK9" s="2">
        <f t="shared" si="1"/>
        <v>1409.4744444444445</v>
      </c>
      <c r="AL9" s="38">
        <f>SUM(AL7:AL8)</f>
        <v>4594776</v>
      </c>
      <c r="AM9" s="34">
        <f t="shared" si="1"/>
        <v>7108</v>
      </c>
      <c r="AN9" s="2">
        <f t="shared" si="1"/>
        <v>38401.5</v>
      </c>
      <c r="AO9" s="2">
        <f t="shared" si="1"/>
        <v>30487.5</v>
      </c>
      <c r="AP9" s="2">
        <f t="shared" si="1"/>
        <v>1313.9250000000002</v>
      </c>
      <c r="AQ9" s="38">
        <f>SUM(AQ7:AQ8)</f>
        <v>4379829</v>
      </c>
      <c r="AR9" s="34">
        <f t="shared" ref="AR9:BE9" si="2">SUM(AR7:AR8)</f>
        <v>6440</v>
      </c>
      <c r="AS9" s="2">
        <f t="shared" si="2"/>
        <v>38321</v>
      </c>
      <c r="AT9" s="2">
        <f t="shared" si="2"/>
        <v>36400.5</v>
      </c>
      <c r="AU9" s="2">
        <f t="shared" si="2"/>
        <v>1317.8116666666665</v>
      </c>
      <c r="AV9" s="38">
        <f>SUM(AV7:AV8)</f>
        <v>4540974</v>
      </c>
      <c r="AW9" s="34">
        <f t="shared" si="2"/>
        <v>7277</v>
      </c>
      <c r="AX9" s="2">
        <f t="shared" si="2"/>
        <v>36773.5</v>
      </c>
      <c r="AY9" s="2">
        <f t="shared" si="2"/>
        <v>34600.6</v>
      </c>
      <c r="AZ9" s="2">
        <f t="shared" si="2"/>
        <v>1264.2284444444444</v>
      </c>
      <c r="BA9" s="38">
        <f>SUM(BA7:BA8)</f>
        <v>4330590</v>
      </c>
      <c r="BB9" s="34">
        <f t="shared" si="2"/>
        <v>0</v>
      </c>
      <c r="BC9" s="2">
        <f t="shared" si="2"/>
        <v>0</v>
      </c>
      <c r="BD9" s="2">
        <f t="shared" si="2"/>
        <v>0</v>
      </c>
      <c r="BE9" s="2">
        <f t="shared" si="2"/>
        <v>0</v>
      </c>
      <c r="BF9" s="38">
        <f>SUM(BF7:BF8)</f>
        <v>0</v>
      </c>
    </row>
    <row r="10" spans="2:58" ht="24.75" customHeight="1">
      <c r="B10" s="17" t="s">
        <v>10</v>
      </c>
      <c r="C10" s="174"/>
      <c r="D10" s="33"/>
      <c r="E10" s="4"/>
      <c r="F10" s="4"/>
      <c r="G10" s="4"/>
      <c r="I10" s="3"/>
      <c r="J10" s="4"/>
      <c r="K10" s="4"/>
      <c r="L10" s="4"/>
      <c r="M10" s="36"/>
      <c r="N10" s="33"/>
      <c r="O10" s="4"/>
      <c r="P10" s="4"/>
      <c r="Q10" s="4"/>
      <c r="R10" s="36"/>
      <c r="S10" s="33"/>
      <c r="T10" s="4"/>
      <c r="U10" s="4"/>
      <c r="V10" s="4"/>
      <c r="W10" s="36"/>
      <c r="X10" s="33"/>
      <c r="Y10" s="4"/>
      <c r="Z10" s="4"/>
      <c r="AA10" s="314"/>
      <c r="AB10" s="315"/>
      <c r="AC10" s="316"/>
      <c r="AD10" s="314"/>
      <c r="AE10" s="314"/>
      <c r="AF10" s="353"/>
      <c r="AG10" s="354"/>
      <c r="AH10" s="355"/>
      <c r="AI10" s="353"/>
      <c r="AJ10" s="353"/>
      <c r="AK10" s="353"/>
      <c r="AL10" s="354"/>
      <c r="AM10" s="355"/>
      <c r="AN10" s="353"/>
      <c r="AO10" s="353"/>
      <c r="AP10" s="353"/>
      <c r="AQ10" s="354"/>
      <c r="AR10" s="33"/>
      <c r="AS10" s="4"/>
      <c r="AT10" s="4"/>
      <c r="AU10" s="4"/>
      <c r="AV10" s="36"/>
      <c r="AW10" s="33"/>
      <c r="AX10" s="4"/>
      <c r="AY10" s="4"/>
      <c r="AZ10" s="4"/>
      <c r="BA10" s="36"/>
      <c r="BB10" s="33"/>
      <c r="BC10" s="4"/>
      <c r="BD10" s="4"/>
      <c r="BE10" s="4"/>
      <c r="BF10" s="36"/>
    </row>
    <row r="11" spans="2:58" ht="18" customHeight="1">
      <c r="B11" s="42" t="s">
        <v>166</v>
      </c>
      <c r="C11" s="174"/>
      <c r="D11" s="33"/>
      <c r="E11" s="4"/>
      <c r="F11" s="4"/>
      <c r="G11" s="4"/>
      <c r="H11" s="303">
        <v>43606</v>
      </c>
      <c r="I11" s="3"/>
      <c r="J11" s="4"/>
      <c r="K11" s="4"/>
      <c r="L11" s="4"/>
      <c r="M11" s="290">
        <v>33388</v>
      </c>
      <c r="N11" s="33"/>
      <c r="O11" s="4"/>
      <c r="P11" s="4"/>
      <c r="Q11" s="4"/>
      <c r="R11" s="290">
        <v>317990</v>
      </c>
      <c r="S11" s="33"/>
      <c r="T11" s="4"/>
      <c r="U11" s="4"/>
      <c r="V11" s="4"/>
      <c r="W11" s="290">
        <v>357298</v>
      </c>
      <c r="X11" s="33"/>
      <c r="Y11" s="4"/>
      <c r="Z11" s="4"/>
      <c r="AA11" s="4"/>
      <c r="AB11" s="290">
        <v>367886</v>
      </c>
      <c r="AC11" s="33"/>
      <c r="AD11" s="4"/>
      <c r="AE11" s="4"/>
      <c r="AF11" s="4"/>
      <c r="AG11" s="290">
        <v>449549</v>
      </c>
      <c r="AH11" s="33"/>
      <c r="AI11" s="4"/>
      <c r="AJ11" s="4"/>
      <c r="AK11" s="4"/>
      <c r="AL11" s="290">
        <v>391077</v>
      </c>
      <c r="AM11" s="33"/>
      <c r="AN11" s="4"/>
      <c r="AO11" s="4"/>
      <c r="AP11" s="4"/>
      <c r="AQ11" s="290">
        <v>398430</v>
      </c>
      <c r="AR11" s="33"/>
      <c r="AS11" s="4"/>
      <c r="AT11" s="4"/>
      <c r="AU11" s="4"/>
      <c r="AV11" s="290">
        <f>-'Cash Fund Revenue Summary'!J11</f>
        <v>384524</v>
      </c>
      <c r="AW11" s="33"/>
      <c r="AX11" s="4"/>
      <c r="AY11" s="4"/>
      <c r="AZ11" s="4"/>
      <c r="BA11" s="37">
        <v>357055</v>
      </c>
      <c r="BB11" s="33"/>
      <c r="BC11" s="4"/>
      <c r="BD11" s="4"/>
      <c r="BE11" s="4"/>
      <c r="BF11" s="290"/>
    </row>
    <row r="12" spans="2:58" ht="18" customHeight="1">
      <c r="B12" s="42" t="s">
        <v>167</v>
      </c>
      <c r="C12" s="174"/>
      <c r="D12" s="33"/>
      <c r="E12" s="4"/>
      <c r="F12" s="4"/>
      <c r="G12" s="4"/>
      <c r="H12" s="303">
        <v>839235</v>
      </c>
      <c r="I12" s="3"/>
      <c r="J12" s="4"/>
      <c r="K12" s="4"/>
      <c r="L12" s="4"/>
      <c r="M12" s="290">
        <v>905966</v>
      </c>
      <c r="N12" s="33"/>
      <c r="O12" s="4"/>
      <c r="P12" s="4"/>
      <c r="Q12" s="4"/>
      <c r="R12" s="290">
        <v>1005763</v>
      </c>
      <c r="S12" s="33"/>
      <c r="T12" s="3"/>
      <c r="U12" s="3"/>
      <c r="V12" s="3"/>
      <c r="W12" s="290">
        <v>938681</v>
      </c>
      <c r="X12" s="33"/>
      <c r="Y12" s="3"/>
      <c r="Z12" s="3"/>
      <c r="AA12" s="3"/>
      <c r="AB12" s="290">
        <v>977428</v>
      </c>
      <c r="AC12" s="33"/>
      <c r="AD12" s="3"/>
      <c r="AE12" s="3"/>
      <c r="AF12" s="3"/>
      <c r="AG12" s="290">
        <v>1115774</v>
      </c>
      <c r="AH12" s="33"/>
      <c r="AI12" s="3"/>
      <c r="AJ12" s="3"/>
      <c r="AK12" s="3"/>
      <c r="AL12" s="290">
        <v>1170810</v>
      </c>
      <c r="AM12" s="33"/>
      <c r="AN12" s="3"/>
      <c r="AO12" s="3"/>
      <c r="AP12" s="3"/>
      <c r="AQ12" s="290">
        <v>1193357</v>
      </c>
      <c r="AR12" s="33"/>
      <c r="AS12" s="3"/>
      <c r="AT12" s="3"/>
      <c r="AU12" s="3"/>
      <c r="AV12" s="290">
        <f>-'Cash Fund Revenue Summary'!J9</f>
        <v>1248427</v>
      </c>
      <c r="AW12" s="33"/>
      <c r="AX12" s="3"/>
      <c r="AY12" s="3"/>
      <c r="AZ12" s="3"/>
      <c r="BA12" s="37">
        <v>1142913</v>
      </c>
      <c r="BB12" s="33"/>
      <c r="BC12" s="3"/>
      <c r="BD12" s="3"/>
      <c r="BE12" s="3"/>
      <c r="BF12" s="290"/>
    </row>
    <row r="13" spans="2:58" ht="18" customHeight="1">
      <c r="B13" s="42" t="s">
        <v>11</v>
      </c>
      <c r="C13" s="174"/>
      <c r="D13" s="33"/>
      <c r="E13" s="4"/>
      <c r="F13" s="4"/>
      <c r="G13" s="4"/>
      <c r="H13" s="38">
        <f>H9-H11-H12</f>
        <v>3501985</v>
      </c>
      <c r="I13" s="3"/>
      <c r="J13" s="4"/>
      <c r="K13" s="4"/>
      <c r="L13" s="4"/>
      <c r="M13" s="38">
        <f>M9-M11-M12</f>
        <v>3530759</v>
      </c>
      <c r="N13" s="33"/>
      <c r="O13" s="4"/>
      <c r="P13" s="4"/>
      <c r="Q13" s="4"/>
      <c r="R13" s="38">
        <f>R9-R11-R12</f>
        <v>4007703</v>
      </c>
      <c r="S13" s="33"/>
      <c r="T13" s="4"/>
      <c r="U13" s="4"/>
      <c r="V13" s="4"/>
      <c r="W13" s="38">
        <f>W9-W11-W12</f>
        <v>3013294</v>
      </c>
      <c r="X13" s="33"/>
      <c r="Y13" s="4"/>
      <c r="Z13" s="4"/>
      <c r="AA13" s="4"/>
      <c r="AB13" s="38">
        <f>AB9-AB11-AB12</f>
        <v>2964997</v>
      </c>
      <c r="AC13" s="33"/>
      <c r="AD13" s="4"/>
      <c r="AE13" s="4"/>
      <c r="AF13" s="4"/>
      <c r="AG13" s="38">
        <f>AG9-AG11-AG12</f>
        <v>2685554</v>
      </c>
      <c r="AH13" s="33"/>
      <c r="AI13" s="4"/>
      <c r="AJ13" s="4"/>
      <c r="AK13" s="4"/>
      <c r="AL13" s="38">
        <f>AL9-AL11-AL12</f>
        <v>3032889</v>
      </c>
      <c r="AM13" s="33"/>
      <c r="AN13" s="4"/>
      <c r="AO13" s="4"/>
      <c r="AP13" s="4"/>
      <c r="AQ13" s="38">
        <f>AQ9-AQ11-AQ12</f>
        <v>2788042</v>
      </c>
      <c r="AR13" s="33"/>
      <c r="AS13" s="4"/>
      <c r="AT13" s="4"/>
      <c r="AU13" s="4"/>
      <c r="AV13" s="38">
        <f>AV9-AV11-AV12</f>
        <v>2908023</v>
      </c>
      <c r="AW13" s="33"/>
      <c r="AX13" s="4"/>
      <c r="AY13" s="4"/>
      <c r="AZ13" s="4"/>
      <c r="BA13" s="38">
        <f>BA9-BA11-BA12</f>
        <v>2830622</v>
      </c>
      <c r="BB13" s="33"/>
      <c r="BC13" s="4"/>
      <c r="BD13" s="4"/>
      <c r="BE13" s="4"/>
      <c r="BF13" s="38">
        <f>BF9-BF11-BF12</f>
        <v>0</v>
      </c>
    </row>
    <row r="14" spans="2:58" ht="15">
      <c r="B14" s="42"/>
      <c r="C14" s="174"/>
      <c r="D14" s="33"/>
      <c r="E14" s="4"/>
      <c r="F14" s="4"/>
      <c r="G14" s="4"/>
      <c r="I14" s="3"/>
      <c r="J14" s="4"/>
      <c r="K14" s="4"/>
      <c r="L14" s="4"/>
      <c r="M14" s="36"/>
      <c r="N14" s="33"/>
      <c r="O14" s="4"/>
      <c r="P14" s="4"/>
      <c r="Q14" s="4"/>
      <c r="R14" s="36"/>
      <c r="S14" s="33"/>
      <c r="T14" s="4"/>
      <c r="U14" s="4"/>
      <c r="V14" s="4"/>
      <c r="W14" s="36"/>
      <c r="X14" s="33"/>
      <c r="Y14" s="4"/>
      <c r="Z14" s="4"/>
      <c r="AA14" s="4"/>
      <c r="AB14" s="36"/>
      <c r="AC14" s="33"/>
      <c r="AD14" s="4"/>
      <c r="AE14" s="4"/>
      <c r="AF14" s="4"/>
      <c r="AG14" s="36"/>
      <c r="AH14" s="33"/>
      <c r="AI14" s="4"/>
      <c r="AJ14" s="4"/>
      <c r="AK14" s="4"/>
      <c r="AL14" s="36"/>
      <c r="AM14" s="33"/>
      <c r="AN14" s="4"/>
      <c r="AO14" s="4"/>
      <c r="AP14" s="4"/>
      <c r="AQ14" s="36"/>
      <c r="AR14" s="33"/>
      <c r="AS14" s="4"/>
      <c r="AT14" s="4"/>
      <c r="AU14" s="4"/>
      <c r="AV14" s="36"/>
      <c r="AW14" s="33"/>
      <c r="AX14" s="4"/>
      <c r="AY14" s="4"/>
      <c r="AZ14" s="4"/>
      <c r="BA14" s="36"/>
      <c r="BB14" s="33"/>
      <c r="BC14" s="4"/>
      <c r="BD14" s="4"/>
      <c r="BE14" s="4"/>
      <c r="BF14" s="36"/>
    </row>
    <row r="15" spans="2:58" ht="51" customHeight="1">
      <c r="B15" s="405" t="s">
        <v>78</v>
      </c>
      <c r="C15" s="406"/>
      <c r="D15" s="33"/>
      <c r="I15" s="3"/>
      <c r="M15" s="36"/>
      <c r="N15" s="33"/>
      <c r="R15" s="36"/>
      <c r="S15" s="33"/>
      <c r="W15" s="36"/>
      <c r="X15" s="33"/>
      <c r="AB15" s="36"/>
      <c r="AC15" s="33"/>
      <c r="AG15" s="36"/>
      <c r="AH15" s="33"/>
      <c r="AL15" s="36"/>
      <c r="AM15" s="33"/>
      <c r="AQ15" s="36"/>
      <c r="AR15" s="33"/>
      <c r="AV15" s="36"/>
      <c r="AW15" s="33"/>
      <c r="BA15" s="36"/>
      <c r="BB15" s="33"/>
      <c r="BF15" s="36"/>
    </row>
    <row r="16" spans="2:58" ht="18" customHeight="1">
      <c r="B16" s="403" t="s">
        <v>7</v>
      </c>
      <c r="C16" s="172" t="s">
        <v>5</v>
      </c>
      <c r="D16" s="300">
        <v>320</v>
      </c>
      <c r="E16" s="301">
        <v>1448</v>
      </c>
      <c r="F16" s="301">
        <v>0</v>
      </c>
      <c r="G16" s="2">
        <f>IF($B$4="quarter",SUM((E16/45),(F16/900)),IF($B$4="semester",SUM((E16/30),F16/900)))</f>
        <v>48.266666666666666</v>
      </c>
      <c r="H16" s="41"/>
      <c r="I16" s="302">
        <v>448</v>
      </c>
      <c r="J16" s="301">
        <v>1998</v>
      </c>
      <c r="K16" s="301">
        <v>0</v>
      </c>
      <c r="L16" s="2">
        <f>IF($B$4="quarter",SUM((J16/45),(K16/900)),IF($B$4="semester",SUM((J16/30),K16/900)))</f>
        <v>66.599999999999994</v>
      </c>
      <c r="M16" s="39"/>
      <c r="N16" s="302">
        <v>362</v>
      </c>
      <c r="O16" s="301">
        <v>1633</v>
      </c>
      <c r="P16" s="301">
        <v>0</v>
      </c>
      <c r="Q16" s="2">
        <f>IF($B$4="quarter",SUM((O16/45),(P16/900)),IF($B$4="semester",SUM((O16/30),P16/900)))</f>
        <v>54.43333333333333</v>
      </c>
      <c r="R16" s="39"/>
      <c r="S16" s="302">
        <v>326</v>
      </c>
      <c r="T16" s="301">
        <v>1329</v>
      </c>
      <c r="U16" s="301">
        <v>0</v>
      </c>
      <c r="V16" s="2">
        <f>IF($B$4="quarter",SUM((T16/45),(U16/900)),IF($B$4="semester",SUM((T16/30),U16/900)))</f>
        <v>44.3</v>
      </c>
      <c r="W16" s="39"/>
      <c r="X16" s="302">
        <v>337</v>
      </c>
      <c r="Y16" s="301">
        <v>1325</v>
      </c>
      <c r="Z16" s="301">
        <v>0</v>
      </c>
      <c r="AA16" s="2">
        <f>IF($B$4="quarter",SUM((Y16/45),(Z16/900)),IF($B$4="semester",SUM((Y16/30),Z16/900)))</f>
        <v>44.166666666666664</v>
      </c>
      <c r="AB16" s="39"/>
      <c r="AC16" s="68">
        <v>385</v>
      </c>
      <c r="AD16" s="1">
        <v>1605</v>
      </c>
      <c r="AE16" s="370">
        <v>0</v>
      </c>
      <c r="AF16" s="2">
        <f>IF($B$4="quarter",SUM((AD16/45),(AE16/900)),IF($B$4="semester",SUM((AD16/30),AE16/900)))</f>
        <v>53.5</v>
      </c>
      <c r="AG16" s="39"/>
      <c r="AH16" s="68">
        <v>469</v>
      </c>
      <c r="AI16" s="1">
        <v>1637</v>
      </c>
      <c r="AJ16" s="370">
        <v>0</v>
      </c>
      <c r="AK16" s="2">
        <f>IF($B$4="quarter",SUM((AI16/45),(AJ16/900)),IF($B$4="semester",SUM((AI16/30),AJ16/900)))</f>
        <v>54.56666666666667</v>
      </c>
      <c r="AL16" s="39"/>
      <c r="AM16" s="68">
        <v>244</v>
      </c>
      <c r="AN16" s="1">
        <v>1108</v>
      </c>
      <c r="AO16" s="370">
        <v>0</v>
      </c>
      <c r="AP16" s="2">
        <f>IF($B$4="quarter",SUM((AN16/45),(AO16/900)),IF($B$4="semester",SUM((AN16/30),AO16/900)))</f>
        <v>36.93333333333333</v>
      </c>
      <c r="AQ16" s="39"/>
      <c r="AR16" s="68">
        <v>245</v>
      </c>
      <c r="AS16" s="1">
        <v>1119</v>
      </c>
      <c r="AT16" s="370">
        <v>0</v>
      </c>
      <c r="AU16" s="2">
        <f>IF($B$4="quarter",SUM((AS16/45),(AT16/900)),IF($B$4="semester",SUM((AS16/30),AT16/900)))</f>
        <v>37.299999999999997</v>
      </c>
      <c r="AV16" s="39"/>
      <c r="AW16" s="381">
        <v>181</v>
      </c>
      <c r="AX16" s="382">
        <v>693</v>
      </c>
      <c r="AY16" s="382">
        <v>0</v>
      </c>
      <c r="AZ16" s="2">
        <f>IF($B$4="quarter",SUM((AX16/45),(AY16/900)),IF($B$4="semester",SUM((AX16/30),AY16/900)))</f>
        <v>23.1</v>
      </c>
      <c r="BA16" s="39"/>
      <c r="BB16" s="68">
        <v>0</v>
      </c>
      <c r="BC16" s="1">
        <v>0</v>
      </c>
      <c r="BD16" s="1">
        <v>0</v>
      </c>
      <c r="BE16" s="2">
        <f>IF($B$4="quarter",SUM((BC16/45),(BD16/900)),IF($B$4="semester",SUM((BC16/30),BD16/900)))</f>
        <v>0</v>
      </c>
      <c r="BF16" s="39"/>
    </row>
    <row r="17" spans="2:58" ht="18" customHeight="1">
      <c r="B17" s="404"/>
      <c r="C17" s="172" t="s">
        <v>6</v>
      </c>
      <c r="D17" s="304">
        <v>58</v>
      </c>
      <c r="E17" s="1">
        <v>339</v>
      </c>
      <c r="F17" s="1">
        <v>0</v>
      </c>
      <c r="G17" s="2">
        <f>IF($B$4="quarter",SUM((E17/45),(F17/900)),IF($B$4="semester",SUM((E17/30),F17/900)))</f>
        <v>11.3</v>
      </c>
      <c r="H17" s="41"/>
      <c r="I17" s="302">
        <v>73</v>
      </c>
      <c r="J17" s="301">
        <v>443</v>
      </c>
      <c r="K17" s="301">
        <v>0</v>
      </c>
      <c r="L17" s="2">
        <f>IF($B$4="quarter",SUM((J17/45),(K17/900)),IF($B$4="semester",SUM((J17/30),K17/900)))</f>
        <v>14.766666666666667</v>
      </c>
      <c r="M17" s="39"/>
      <c r="N17" s="302">
        <v>71</v>
      </c>
      <c r="O17" s="301">
        <v>378</v>
      </c>
      <c r="P17" s="301">
        <v>0</v>
      </c>
      <c r="Q17" s="2">
        <f>IF($B$4="quarter",SUM((O17/45),(P17/900)),IF($B$4="semester",SUM((O17/30),P17/900)))</f>
        <v>12.6</v>
      </c>
      <c r="R17" s="39"/>
      <c r="S17" s="302">
        <v>54</v>
      </c>
      <c r="T17" s="301">
        <v>304</v>
      </c>
      <c r="U17" s="301">
        <v>0</v>
      </c>
      <c r="V17" s="2">
        <f>IF($B$4="quarter",SUM((T17/45),(U17/900)),IF($B$4="semester",SUM((T17/30),U17/900)))</f>
        <v>10.133333333333333</v>
      </c>
      <c r="W17" s="39"/>
      <c r="X17" s="302">
        <v>62</v>
      </c>
      <c r="Y17" s="301">
        <v>364</v>
      </c>
      <c r="Z17" s="301">
        <v>0</v>
      </c>
      <c r="AA17" s="2">
        <f>IF($B$4="quarter",SUM((Y17/45),(Z17/900)),IF($B$4="semester",SUM((Y17/30),Z17/900)))</f>
        <v>12.133333333333333</v>
      </c>
      <c r="AB17" s="39"/>
      <c r="AC17" s="68">
        <v>127</v>
      </c>
      <c r="AD17" s="1">
        <v>450.5</v>
      </c>
      <c r="AE17" s="370">
        <v>0</v>
      </c>
      <c r="AF17" s="2">
        <f>IF($B$4="quarter",SUM((AD17/45),(AE17/900)),IF($B$4="semester",SUM((AD17/30),AE17/900)))</f>
        <v>15.016666666666667</v>
      </c>
      <c r="AG17" s="39"/>
      <c r="AH17" s="68">
        <v>61</v>
      </c>
      <c r="AI17" s="1">
        <v>261</v>
      </c>
      <c r="AJ17" s="370">
        <v>0</v>
      </c>
      <c r="AK17" s="2">
        <f>IF($B$4="quarter",SUM((AI17/45),(AJ17/900)),IF($B$4="semester",SUM((AI17/30),AJ17/900)))</f>
        <v>8.6999999999999993</v>
      </c>
      <c r="AL17" s="39"/>
      <c r="AM17" s="68">
        <v>60</v>
      </c>
      <c r="AN17" s="1">
        <v>402</v>
      </c>
      <c r="AO17" s="370">
        <v>0</v>
      </c>
      <c r="AP17" s="2">
        <f>IF($B$4="quarter",SUM((AN17/45),(AO17/900)),IF($B$4="semester",SUM((AN17/30),AO17/900)))</f>
        <v>13.4</v>
      </c>
      <c r="AQ17" s="39"/>
      <c r="AR17" s="68">
        <v>35</v>
      </c>
      <c r="AS17" s="1">
        <v>145</v>
      </c>
      <c r="AT17" s="370">
        <v>0</v>
      </c>
      <c r="AU17" s="2">
        <f>IF($B$4="quarter",SUM((AS17/45),(AT17/900)),IF($B$4="semester",SUM((AS17/30),AT17/900)))</f>
        <v>4.833333333333333</v>
      </c>
      <c r="AV17" s="39"/>
      <c r="AW17" s="381">
        <v>30</v>
      </c>
      <c r="AX17" s="382">
        <v>195</v>
      </c>
      <c r="AY17" s="382">
        <v>0</v>
      </c>
      <c r="AZ17" s="2">
        <f>IF($B$4="quarter",SUM((AX17/45),(AY17/900)),IF($B$4="semester",SUM((AX17/30),AY17/900)))</f>
        <v>6.5</v>
      </c>
      <c r="BA17" s="39"/>
      <c r="BB17" s="68">
        <v>0</v>
      </c>
      <c r="BC17" s="1">
        <v>0</v>
      </c>
      <c r="BD17" s="1">
        <v>0</v>
      </c>
      <c r="BE17" s="2">
        <f>IF($B$4="quarter",SUM((BC17/45),(BD17/900)),IF($B$4="semester",SUM((BC17/30),BD17/900)))</f>
        <v>0</v>
      </c>
      <c r="BF17" s="39"/>
    </row>
    <row r="18" spans="2:58" ht="18" customHeight="1">
      <c r="B18" s="404"/>
      <c r="C18" s="173" t="s">
        <v>87</v>
      </c>
      <c r="D18" s="74">
        <f>SUM(D16:D17)</f>
        <v>378</v>
      </c>
      <c r="E18" s="2">
        <f>SUM(E16:E17)</f>
        <v>1787</v>
      </c>
      <c r="F18" s="2">
        <f>SUM(F16:F17)</f>
        <v>0</v>
      </c>
      <c r="G18" s="2">
        <f>SUM(G16:G17)</f>
        <v>59.566666666666663</v>
      </c>
      <c r="H18" s="41"/>
      <c r="I18" s="34">
        <f>SUM(I16:I17)</f>
        <v>521</v>
      </c>
      <c r="J18" s="2">
        <f>SUM(J16:J17)</f>
        <v>2441</v>
      </c>
      <c r="K18" s="2">
        <f>SUM(K16:K17)</f>
        <v>0</v>
      </c>
      <c r="L18" s="2">
        <f>SUM(L16:L17)</f>
        <v>81.36666666666666</v>
      </c>
      <c r="M18" s="39"/>
      <c r="N18" s="34">
        <f>SUM(N16:N17)</f>
        <v>433</v>
      </c>
      <c r="O18" s="2">
        <f>SUM(O16:O17)</f>
        <v>2011</v>
      </c>
      <c r="P18" s="2">
        <f>SUM(P16:P17)</f>
        <v>0</v>
      </c>
      <c r="Q18" s="2">
        <f>SUM(Q16:Q17)</f>
        <v>67.033333333333331</v>
      </c>
      <c r="R18" s="39"/>
      <c r="S18" s="34">
        <f>SUM(S16:S17)</f>
        <v>380</v>
      </c>
      <c r="T18" s="2">
        <f>SUM(T16:T17)</f>
        <v>1633</v>
      </c>
      <c r="U18" s="2">
        <f>SUM(U16:U17)</f>
        <v>0</v>
      </c>
      <c r="V18" s="2">
        <f>SUM(V16:V17)</f>
        <v>54.43333333333333</v>
      </c>
      <c r="W18" s="39"/>
      <c r="X18" s="34">
        <f>SUM(X16:X17)</f>
        <v>399</v>
      </c>
      <c r="Y18" s="2">
        <f>SUM(Y16:Y17)</f>
        <v>1689</v>
      </c>
      <c r="Z18" s="2">
        <f>SUM(Z16:Z17)</f>
        <v>0</v>
      </c>
      <c r="AA18" s="2">
        <f>SUM(AA16:AA17)</f>
        <v>56.3</v>
      </c>
      <c r="AB18" s="39"/>
      <c r="AC18" s="34">
        <f>SUM(AC16:AC17)</f>
        <v>512</v>
      </c>
      <c r="AD18" s="2">
        <f>SUM(AD16:AD17)</f>
        <v>2055.5</v>
      </c>
      <c r="AE18" s="370">
        <f>SUM(AE16:AE17)</f>
        <v>0</v>
      </c>
      <c r="AF18" s="2">
        <f>SUM(AF16:AF17)</f>
        <v>68.516666666666666</v>
      </c>
      <c r="AG18" s="39"/>
      <c r="AH18" s="34">
        <f>SUM(AH16:AH17)</f>
        <v>530</v>
      </c>
      <c r="AI18" s="2">
        <f>SUM(AI16:AI17)</f>
        <v>1898</v>
      </c>
      <c r="AJ18" s="370">
        <f>SUM(AJ16:AJ17)</f>
        <v>0</v>
      </c>
      <c r="AK18" s="2">
        <f>SUM(AK16:AK17)</f>
        <v>63.266666666666666</v>
      </c>
      <c r="AL18" s="39"/>
      <c r="AM18" s="34">
        <f>SUM(AM16:AM17)</f>
        <v>304</v>
      </c>
      <c r="AN18" s="2">
        <f>SUM(AN16:AN17)</f>
        <v>1510</v>
      </c>
      <c r="AO18" s="370">
        <f>SUM(AO16:AO17)</f>
        <v>0</v>
      </c>
      <c r="AP18" s="2">
        <f>SUM(AP16:AP17)</f>
        <v>50.333333333333329</v>
      </c>
      <c r="AQ18" s="39"/>
      <c r="AR18" s="34">
        <f>SUM(AR16:AR17)</f>
        <v>280</v>
      </c>
      <c r="AS18" s="2">
        <f>SUM(AS16:AS17)</f>
        <v>1264</v>
      </c>
      <c r="AT18" s="370">
        <f>SUM(AT16:AT17)</f>
        <v>0</v>
      </c>
      <c r="AU18" s="2">
        <f>SUM(AU16:AU17)</f>
        <v>42.133333333333333</v>
      </c>
      <c r="AV18" s="39"/>
      <c r="AW18" s="34">
        <f>SUM(AW16:AW17)</f>
        <v>211</v>
      </c>
      <c r="AX18" s="2">
        <f>SUM(AX16:AX17)</f>
        <v>888</v>
      </c>
      <c r="AY18" s="2">
        <f>SUM(AY16:AY17)</f>
        <v>0</v>
      </c>
      <c r="AZ18" s="2">
        <f>SUM(AZ16:AZ17)</f>
        <v>29.6</v>
      </c>
      <c r="BA18" s="39"/>
      <c r="BB18" s="34">
        <f>SUM(BB16:BB17)</f>
        <v>0</v>
      </c>
      <c r="BC18" s="2">
        <f>SUM(BC16:BC17)</f>
        <v>0</v>
      </c>
      <c r="BD18" s="2">
        <f>SUM(BD16:BD17)</f>
        <v>0</v>
      </c>
      <c r="BE18" s="2">
        <f>SUM(BE16:BE17)</f>
        <v>0</v>
      </c>
      <c r="BF18" s="39"/>
    </row>
    <row r="19" spans="2:58">
      <c r="B19" s="75"/>
      <c r="C19" s="174"/>
      <c r="D19" s="171"/>
      <c r="E19" s="75"/>
      <c r="F19" s="75"/>
      <c r="G19" s="75"/>
      <c r="H19" s="76"/>
      <c r="I19" s="70"/>
      <c r="J19" s="75"/>
      <c r="K19" s="75"/>
      <c r="L19" s="75"/>
      <c r="M19" s="77"/>
      <c r="N19" s="70"/>
      <c r="O19" s="75"/>
      <c r="P19" s="75"/>
      <c r="Q19" s="75"/>
      <c r="R19" s="77"/>
      <c r="S19" s="70"/>
      <c r="T19" s="75"/>
      <c r="U19" s="75"/>
      <c r="V19" s="75"/>
      <c r="W19" s="77"/>
      <c r="X19" s="70"/>
      <c r="Y19" s="75"/>
      <c r="Z19" s="75"/>
      <c r="AA19" s="75"/>
      <c r="AB19" s="77"/>
      <c r="AC19" s="70"/>
      <c r="AD19" s="75"/>
      <c r="AE19" s="75"/>
      <c r="AF19" s="75"/>
      <c r="AG19" s="77"/>
      <c r="AH19" s="70"/>
      <c r="AI19" s="75"/>
      <c r="AJ19" s="75"/>
      <c r="AK19" s="75"/>
      <c r="AL19" s="77"/>
      <c r="AM19" s="70"/>
      <c r="AN19" s="75"/>
      <c r="AO19" s="75"/>
      <c r="AP19" s="75"/>
      <c r="AQ19" s="77"/>
      <c r="AR19" s="70"/>
      <c r="AS19" s="75"/>
      <c r="AT19" s="75"/>
      <c r="AU19" s="75"/>
      <c r="AV19" s="77"/>
      <c r="AW19" s="70"/>
      <c r="AX19" s="75"/>
      <c r="AY19" s="75"/>
      <c r="AZ19" s="75"/>
      <c r="BA19" s="77"/>
      <c r="BB19" s="70"/>
      <c r="BC19" s="75"/>
      <c r="BD19" s="75"/>
      <c r="BE19" s="75"/>
      <c r="BF19" s="77"/>
    </row>
    <row r="20" spans="2:58" ht="18" customHeight="1">
      <c r="B20" s="396" t="s">
        <v>8</v>
      </c>
      <c r="C20" s="172" t="s">
        <v>5</v>
      </c>
      <c r="D20" s="304">
        <v>630</v>
      </c>
      <c r="E20" s="1">
        <v>3975</v>
      </c>
      <c r="F20" s="1">
        <v>0</v>
      </c>
      <c r="G20" s="2">
        <f>IF($B$4="quarter",SUM((E20/45),(F20/900)),IF($B$4="semester",SUM((E20/30),F20/900)))</f>
        <v>132.5</v>
      </c>
      <c r="H20" s="41"/>
      <c r="I20" s="302">
        <v>706</v>
      </c>
      <c r="J20" s="301">
        <v>4466</v>
      </c>
      <c r="K20" s="301">
        <v>0</v>
      </c>
      <c r="L20" s="2">
        <f>IF($B$4="quarter",SUM((J20/45),(K20/900)),IF($B$4="semester",SUM((J20/30),K20/900)))</f>
        <v>148.86666666666667</v>
      </c>
      <c r="M20" s="39"/>
      <c r="N20" s="302">
        <v>656</v>
      </c>
      <c r="O20" s="301">
        <v>4462</v>
      </c>
      <c r="P20" s="301">
        <v>0</v>
      </c>
      <c r="Q20" s="2">
        <f>IF($B$4="quarter",SUM((O20/45),(P20/900)),IF($B$4="semester",SUM((O20/30),P20/900)))</f>
        <v>148.73333333333332</v>
      </c>
      <c r="R20" s="39"/>
      <c r="S20" s="302">
        <v>775</v>
      </c>
      <c r="T20" s="301">
        <v>4768</v>
      </c>
      <c r="U20" s="301">
        <v>0</v>
      </c>
      <c r="V20" s="2">
        <f>IF($B$4="quarter",SUM((T20/45),(U20/900)),IF($B$4="semester",SUM((T20/30),U20/900)))</f>
        <v>158.93333333333334</v>
      </c>
      <c r="W20" s="39"/>
      <c r="X20" s="302">
        <v>885</v>
      </c>
      <c r="Y20" s="301">
        <v>5923</v>
      </c>
      <c r="Z20" s="301">
        <v>0</v>
      </c>
      <c r="AA20" s="2">
        <f>IF($B$4="quarter",SUM((Y20/45),(Z20/900)),IF($B$4="semester",SUM((Y20/30),Z20/900)))</f>
        <v>197.43333333333334</v>
      </c>
      <c r="AB20" s="39"/>
      <c r="AC20" s="68">
        <v>851</v>
      </c>
      <c r="AD20" s="1">
        <v>5995</v>
      </c>
      <c r="AE20" s="370">
        <v>0</v>
      </c>
      <c r="AF20" s="2">
        <f>IF($B$4="quarter",SUM((AD20/45),(AE20/900)),IF($B$4="semester",SUM((AD20/30),AE20/900)))</f>
        <v>199.83333333333334</v>
      </c>
      <c r="AG20" s="39"/>
      <c r="AH20" s="68">
        <v>896</v>
      </c>
      <c r="AI20" s="1">
        <v>6698</v>
      </c>
      <c r="AJ20" s="370">
        <v>0</v>
      </c>
      <c r="AK20" s="2">
        <f>IF($B$4="quarter",SUM((AI20/45),(AJ20/900)),IF($B$4="semester",SUM((AI20/30),AJ20/900)))</f>
        <v>223.26666666666668</v>
      </c>
      <c r="AL20" s="39"/>
      <c r="AM20" s="68">
        <v>936</v>
      </c>
      <c r="AN20" s="1">
        <v>6317</v>
      </c>
      <c r="AO20" s="370">
        <v>0</v>
      </c>
      <c r="AP20" s="2">
        <f>IF($B$4="quarter",SUM((AN20/45),(AO20/900)),IF($B$4="semester",SUM((AN20/30),AO20/900)))</f>
        <v>210.56666666666666</v>
      </c>
      <c r="AQ20" s="39"/>
      <c r="AR20" s="68">
        <v>887</v>
      </c>
      <c r="AS20" s="1">
        <v>6466</v>
      </c>
      <c r="AT20" s="370">
        <v>0</v>
      </c>
      <c r="AU20" s="2">
        <f>IF($B$4="quarter",SUM((AS20/45),(AT20/900)),IF($B$4="semester",SUM((AS20/30),AT20/900)))</f>
        <v>215.53333333333333</v>
      </c>
      <c r="AV20" s="39"/>
      <c r="AW20" s="381">
        <v>1003</v>
      </c>
      <c r="AX20" s="382">
        <v>7095</v>
      </c>
      <c r="AY20" s="382">
        <v>0</v>
      </c>
      <c r="AZ20" s="2">
        <f>IF($B$4="quarter",SUM((AX20/45),(AY20/900)),IF($B$4="semester",SUM((AX20/30),AY20/900)))</f>
        <v>236.5</v>
      </c>
      <c r="BA20" s="39"/>
      <c r="BB20" s="68">
        <v>0</v>
      </c>
      <c r="BC20" s="1">
        <v>0</v>
      </c>
      <c r="BD20" s="1">
        <v>0</v>
      </c>
      <c r="BE20" s="2">
        <f>IF($B$4="quarter",SUM((BC20/45),(BD20/900)),IF($B$4="semester",SUM((BC20/30),BD20/900)))</f>
        <v>0</v>
      </c>
      <c r="BF20" s="39"/>
    </row>
    <row r="21" spans="2:58" ht="18" customHeight="1">
      <c r="B21" s="396"/>
      <c r="C21" s="172" t="s">
        <v>6</v>
      </c>
      <c r="D21" s="304">
        <v>2</v>
      </c>
      <c r="E21" s="1">
        <v>10</v>
      </c>
      <c r="F21" s="1">
        <v>0</v>
      </c>
      <c r="G21" s="2">
        <f>IF($B$4="quarter",SUM((E21/45),(F21/900)),IF($B$4="semester",SUM((E21/30),F21/900)))</f>
        <v>0.33333333333333331</v>
      </c>
      <c r="H21" s="41"/>
      <c r="I21" s="302">
        <v>1</v>
      </c>
      <c r="J21" s="301">
        <v>6</v>
      </c>
      <c r="K21" s="301">
        <v>0</v>
      </c>
      <c r="L21" s="2">
        <f>IF($B$4="quarter",SUM((J21/45),(K21/900)),IF($B$4="semester",SUM((J21/30),K21/900)))</f>
        <v>0.2</v>
      </c>
      <c r="M21" s="39"/>
      <c r="N21" s="302">
        <v>7</v>
      </c>
      <c r="O21" s="301">
        <v>21</v>
      </c>
      <c r="P21" s="301">
        <v>0</v>
      </c>
      <c r="Q21" s="2">
        <f>IF($B$4="quarter",SUM((O21/45),(P21/900)),IF($B$4="semester",SUM((O21/30),P21/900)))</f>
        <v>0.7</v>
      </c>
      <c r="R21" s="39"/>
      <c r="S21" s="302">
        <v>21</v>
      </c>
      <c r="T21" s="301">
        <v>83</v>
      </c>
      <c r="U21" s="301">
        <v>0</v>
      </c>
      <c r="V21" s="2">
        <f>IF($B$4="quarter",SUM((T21/45),(U21/900)),IF($B$4="semester",SUM((T21/30),U21/900)))</f>
        <v>2.7666666666666666</v>
      </c>
      <c r="W21" s="39"/>
      <c r="X21" s="302">
        <v>16</v>
      </c>
      <c r="Y21" s="301">
        <v>58</v>
      </c>
      <c r="Z21" s="301">
        <v>0</v>
      </c>
      <c r="AA21" s="2">
        <f>IF($B$4="quarter",SUM((Y21/45),(Z21/900)),IF($B$4="semester",SUM((Y21/30),Z21/900)))</f>
        <v>1.9333333333333333</v>
      </c>
      <c r="AB21" s="39"/>
      <c r="AC21" s="68">
        <v>9</v>
      </c>
      <c r="AD21" s="1">
        <v>26</v>
      </c>
      <c r="AE21" s="370">
        <v>0</v>
      </c>
      <c r="AF21" s="2">
        <f>IF($B$4="quarter",SUM((AD21/45),(AE21/900)),IF($B$4="semester",SUM((AD21/30),AE21/900)))</f>
        <v>0.8666666666666667</v>
      </c>
      <c r="AG21" s="39"/>
      <c r="AH21" s="68">
        <v>8</v>
      </c>
      <c r="AI21" s="1">
        <v>34</v>
      </c>
      <c r="AJ21" s="370">
        <v>0</v>
      </c>
      <c r="AK21" s="2">
        <f>IF($B$4="quarter",SUM((AI21/45),(AJ21/900)),IF($B$4="semester",SUM((AI21/30),AJ21/900)))</f>
        <v>1.1333333333333333</v>
      </c>
      <c r="AL21" s="39"/>
      <c r="AM21" s="68">
        <v>14</v>
      </c>
      <c r="AN21" s="1">
        <v>65</v>
      </c>
      <c r="AO21" s="370">
        <v>0</v>
      </c>
      <c r="AP21" s="2">
        <f>IF($B$4="quarter",SUM((AN21/45),(AO21/900)),IF($B$4="semester",SUM((AN21/30),AO21/900)))</f>
        <v>2.1666666666666665</v>
      </c>
      <c r="AQ21" s="39"/>
      <c r="AR21" s="68">
        <v>5</v>
      </c>
      <c r="AS21" s="1">
        <v>16</v>
      </c>
      <c r="AT21" s="370">
        <v>0</v>
      </c>
      <c r="AU21" s="2">
        <f>IF($B$4="quarter",SUM((AS21/45),(AT21/900)),IF($B$4="semester",SUM((AS21/30),AT21/900)))</f>
        <v>0.53333333333333333</v>
      </c>
      <c r="AV21" s="39"/>
      <c r="AW21" s="381">
        <v>7</v>
      </c>
      <c r="AX21" s="382">
        <v>30</v>
      </c>
      <c r="AY21" s="382">
        <v>0</v>
      </c>
      <c r="AZ21" s="2">
        <f>IF($B$4="quarter",SUM((AX21/45),(AY21/900)),IF($B$4="semester",SUM((AX21/30),AY21/900)))</f>
        <v>1</v>
      </c>
      <c r="BA21" s="39"/>
      <c r="BB21" s="68">
        <v>0</v>
      </c>
      <c r="BC21" s="1">
        <v>0</v>
      </c>
      <c r="BD21" s="1">
        <v>0</v>
      </c>
      <c r="BE21" s="2">
        <f>IF($B$4="quarter",SUM((BC21/45),(BD21/900)),IF($B$4="semester",SUM((BC21/30),BD21/900)))</f>
        <v>0</v>
      </c>
      <c r="BF21" s="39"/>
    </row>
    <row r="22" spans="2:58" ht="18" customHeight="1">
      <c r="B22" s="396"/>
      <c r="C22" s="173" t="s">
        <v>87</v>
      </c>
      <c r="D22" s="74">
        <f>SUM(D20:D21)</f>
        <v>632</v>
      </c>
      <c r="E22" s="2">
        <f>SUM(E20:E21)</f>
        <v>3985</v>
      </c>
      <c r="F22" s="2">
        <f>SUM(F20:F21)</f>
        <v>0</v>
      </c>
      <c r="G22" s="2">
        <f>SUM(G20:G21)</f>
        <v>132.83333333333334</v>
      </c>
      <c r="H22" s="41"/>
      <c r="I22" s="34">
        <f>SUM(I20:I21)</f>
        <v>707</v>
      </c>
      <c r="J22" s="2">
        <f>SUM(J20:J21)</f>
        <v>4472</v>
      </c>
      <c r="K22" s="2">
        <f>SUM(K20:K21)</f>
        <v>0</v>
      </c>
      <c r="L22" s="2">
        <f>SUM(L20:L21)</f>
        <v>149.06666666666666</v>
      </c>
      <c r="M22" s="39"/>
      <c r="N22" s="34">
        <f>SUM(N20:N21)</f>
        <v>663</v>
      </c>
      <c r="O22" s="2">
        <f>SUM(O20:O21)</f>
        <v>4483</v>
      </c>
      <c r="P22" s="2">
        <f>SUM(P20:P21)</f>
        <v>0</v>
      </c>
      <c r="Q22" s="2">
        <f>SUM(Q20:Q21)</f>
        <v>149.43333333333331</v>
      </c>
      <c r="R22" s="39"/>
      <c r="S22" s="34">
        <f>SUM(S20:S21)</f>
        <v>796</v>
      </c>
      <c r="T22" s="2">
        <f>SUM(T20:T21)</f>
        <v>4851</v>
      </c>
      <c r="U22" s="2">
        <f>SUM(U20:U21)</f>
        <v>0</v>
      </c>
      <c r="V22" s="2">
        <f>SUM(V20:V21)</f>
        <v>161.70000000000002</v>
      </c>
      <c r="W22" s="39"/>
      <c r="X22" s="34">
        <f>SUM(X20:X21)</f>
        <v>901</v>
      </c>
      <c r="Y22" s="2">
        <f>SUM(Y20:Y21)</f>
        <v>5981</v>
      </c>
      <c r="Z22" s="2">
        <f>SUM(Z20:Z21)</f>
        <v>0</v>
      </c>
      <c r="AA22" s="2">
        <f>SUM(AA20:AA21)</f>
        <v>199.36666666666667</v>
      </c>
      <c r="AB22" s="39"/>
      <c r="AC22" s="34">
        <f>SUM(AC20:AC21)</f>
        <v>860</v>
      </c>
      <c r="AD22" s="2">
        <f>SUM(AD20:AD21)</f>
        <v>6021</v>
      </c>
      <c r="AE22" s="370">
        <f>SUM(AE20:AE21)</f>
        <v>0</v>
      </c>
      <c r="AF22" s="2">
        <f>SUM(AF20:AF21)</f>
        <v>200.70000000000002</v>
      </c>
      <c r="AG22" s="39"/>
      <c r="AH22" s="34">
        <f>SUM(AH20:AH21)</f>
        <v>904</v>
      </c>
      <c r="AI22" s="2">
        <f>SUM(AI20:AI21)</f>
        <v>6732</v>
      </c>
      <c r="AJ22" s="370">
        <f>SUM(AJ20:AJ21)</f>
        <v>0</v>
      </c>
      <c r="AK22" s="2">
        <f>SUM(AK20:AK21)</f>
        <v>224.4</v>
      </c>
      <c r="AL22" s="39"/>
      <c r="AM22" s="34">
        <f>SUM(AM20:AM21)</f>
        <v>950</v>
      </c>
      <c r="AN22" s="2">
        <f>SUM(AN20:AN21)</f>
        <v>6382</v>
      </c>
      <c r="AO22" s="370">
        <f>SUM(AO20:AO21)</f>
        <v>0</v>
      </c>
      <c r="AP22" s="2">
        <f>SUM(AP20:AP21)</f>
        <v>212.73333333333332</v>
      </c>
      <c r="AQ22" s="39"/>
      <c r="AR22" s="34">
        <f>SUM(AR20:AR21)</f>
        <v>892</v>
      </c>
      <c r="AS22" s="2">
        <f>SUM(AS20:AS21)</f>
        <v>6482</v>
      </c>
      <c r="AT22" s="370">
        <f>SUM(AT20:AT21)</f>
        <v>0</v>
      </c>
      <c r="AU22" s="2">
        <f>SUM(AU20:AU21)</f>
        <v>216.06666666666666</v>
      </c>
      <c r="AV22" s="39"/>
      <c r="AW22" s="34">
        <f>SUM(AW20:AW21)</f>
        <v>1010</v>
      </c>
      <c r="AX22" s="2">
        <f>SUM(AX20:AX21)</f>
        <v>7125</v>
      </c>
      <c r="AY22" s="2">
        <f>SUM(AY20:AY21)</f>
        <v>0</v>
      </c>
      <c r="AZ22" s="2">
        <f>SUM(AZ20:AZ21)</f>
        <v>237.5</v>
      </c>
      <c r="BA22" s="39"/>
      <c r="BB22" s="34">
        <f>SUM(BB20:BB21)</f>
        <v>0</v>
      </c>
      <c r="BC22" s="2">
        <f>SUM(BC20:BC21)</f>
        <v>0</v>
      </c>
      <c r="BD22" s="2">
        <f>SUM(BD20:BD21)</f>
        <v>0</v>
      </c>
      <c r="BE22" s="2">
        <f>SUM(BE20:BE21)</f>
        <v>0</v>
      </c>
      <c r="BF22" s="39"/>
    </row>
    <row r="23" spans="2:58">
      <c r="B23" s="8"/>
      <c r="C23" s="175"/>
      <c r="D23" s="3"/>
      <c r="E23" s="4"/>
      <c r="F23" s="4"/>
      <c r="G23" s="4"/>
      <c r="I23" s="33"/>
      <c r="J23" s="4"/>
      <c r="K23" s="4"/>
      <c r="L23" s="4"/>
      <c r="M23" s="36"/>
      <c r="N23" s="33"/>
      <c r="O23" s="4"/>
      <c r="P23" s="4"/>
      <c r="Q23" s="4"/>
      <c r="R23" s="36"/>
      <c r="S23" s="33"/>
      <c r="T23" s="4"/>
      <c r="U23" s="4"/>
      <c r="V23" s="4"/>
      <c r="W23" s="36"/>
      <c r="X23" s="33"/>
      <c r="Y23" s="4"/>
      <c r="Z23" s="4"/>
      <c r="AA23" s="4"/>
      <c r="AB23" s="36"/>
      <c r="AC23" s="33"/>
      <c r="AD23" s="4"/>
      <c r="AE23" s="4"/>
      <c r="AF23" s="4"/>
      <c r="AG23" s="36"/>
      <c r="AH23" s="33"/>
      <c r="AI23" s="4"/>
      <c r="AJ23" s="4"/>
      <c r="AK23" s="4"/>
      <c r="AL23" s="36"/>
      <c r="AM23" s="33"/>
      <c r="AN23" s="4"/>
      <c r="AO23" s="4"/>
      <c r="AP23" s="4"/>
      <c r="AQ23" s="36"/>
      <c r="AR23" s="33"/>
      <c r="AS23" s="4"/>
      <c r="AT23" s="4"/>
      <c r="AU23" s="4"/>
      <c r="AV23" s="36"/>
      <c r="AW23" s="33"/>
      <c r="AX23" s="4"/>
      <c r="AY23" s="4"/>
      <c r="AZ23" s="4"/>
      <c r="BA23" s="36"/>
      <c r="BB23" s="33"/>
      <c r="BC23" s="4"/>
      <c r="BD23" s="4"/>
      <c r="BE23" s="4"/>
      <c r="BF23" s="36"/>
    </row>
    <row r="24" spans="2:58" ht="11.25" customHeight="1">
      <c r="B24" s="78"/>
      <c r="C24" s="78"/>
      <c r="D24" s="79"/>
      <c r="E24" s="78"/>
      <c r="F24" s="78"/>
      <c r="G24" s="78"/>
      <c r="H24" s="80"/>
      <c r="I24" s="79"/>
      <c r="J24" s="78"/>
      <c r="K24" s="78"/>
      <c r="L24" s="78"/>
      <c r="M24" s="80"/>
      <c r="N24" s="79"/>
      <c r="O24" s="78"/>
      <c r="P24" s="78"/>
      <c r="Q24" s="78"/>
      <c r="R24" s="80"/>
      <c r="S24" s="79"/>
      <c r="T24" s="78"/>
      <c r="U24" s="78"/>
      <c r="V24" s="78"/>
      <c r="W24" s="80"/>
      <c r="X24" s="79"/>
      <c r="Y24" s="78"/>
      <c r="Z24" s="78"/>
      <c r="AA24" s="78"/>
      <c r="AB24" s="80"/>
      <c r="AC24" s="79"/>
      <c r="AD24" s="78"/>
      <c r="AE24" s="78"/>
      <c r="AF24" s="78"/>
      <c r="AG24" s="80"/>
      <c r="AH24" s="79"/>
      <c r="AI24" s="78"/>
      <c r="AJ24" s="78"/>
      <c r="AK24" s="78"/>
      <c r="AL24" s="80"/>
      <c r="AM24" s="79"/>
      <c r="AN24" s="78"/>
      <c r="AO24" s="78"/>
      <c r="AP24" s="78"/>
      <c r="AQ24" s="80"/>
      <c r="AR24" s="79"/>
      <c r="AS24" s="78"/>
      <c r="AT24" s="78"/>
      <c r="AU24" s="78"/>
      <c r="AV24" s="80"/>
      <c r="AW24" s="79"/>
      <c r="AX24" s="78"/>
      <c r="AY24" s="78"/>
      <c r="AZ24" s="78"/>
      <c r="BA24" s="80"/>
      <c r="BB24" s="79"/>
      <c r="BC24" s="78"/>
      <c r="BD24" s="78"/>
      <c r="BE24" s="78"/>
      <c r="BF24" s="80"/>
    </row>
    <row r="25" spans="2:58">
      <c r="B25" s="6"/>
      <c r="C25" s="7"/>
      <c r="D25" s="4"/>
      <c r="E25" s="4"/>
      <c r="F25" s="4"/>
      <c r="G25" s="4"/>
      <c r="I25" s="4"/>
      <c r="J25" s="4"/>
      <c r="K25" s="4"/>
      <c r="L25" s="4"/>
      <c r="N25" s="4"/>
      <c r="O25" s="4"/>
      <c r="P25" s="4"/>
      <c r="Q25" s="4"/>
      <c r="S25" s="5"/>
      <c r="T25" s="5"/>
      <c r="U25" s="5"/>
      <c r="V25" s="4"/>
      <c r="X25" s="5"/>
      <c r="Y25" s="5"/>
      <c r="Z25" s="5"/>
      <c r="AA25" s="4"/>
      <c r="AC25" s="5"/>
      <c r="AD25" s="5"/>
      <c r="AE25" s="5"/>
      <c r="AF25" s="4"/>
      <c r="AH25" s="5"/>
      <c r="AI25" s="5"/>
      <c r="AJ25" s="5"/>
      <c r="AK25" s="4"/>
      <c r="AM25" s="5"/>
      <c r="AN25" s="5"/>
      <c r="AO25" s="5"/>
      <c r="AP25" s="4"/>
      <c r="AR25" s="5"/>
      <c r="AS25" s="5"/>
      <c r="AT25" s="5"/>
      <c r="AU25" s="4"/>
      <c r="AW25" s="5"/>
      <c r="AX25" s="5"/>
      <c r="AY25" s="5"/>
      <c r="AZ25" s="4"/>
      <c r="BB25" s="5"/>
      <c r="BC25" s="5"/>
      <c r="BD25" s="5"/>
      <c r="BE25" s="4"/>
    </row>
    <row r="26" spans="2:58" ht="36.75" customHeight="1">
      <c r="B26" s="69" t="s">
        <v>77</v>
      </c>
      <c r="C26" s="227"/>
      <c r="D26" s="70"/>
      <c r="E26" s="71"/>
      <c r="F26" s="71"/>
      <c r="G26" s="71"/>
      <c r="H26" s="72"/>
      <c r="I26" s="70"/>
      <c r="J26" s="71"/>
      <c r="K26" s="71"/>
      <c r="L26" s="71"/>
      <c r="M26" s="72"/>
      <c r="N26" s="70"/>
      <c r="O26" s="71"/>
      <c r="P26" s="71"/>
      <c r="Q26" s="71"/>
      <c r="R26" s="72"/>
      <c r="S26" s="70"/>
      <c r="T26" s="71"/>
      <c r="U26" s="71"/>
      <c r="V26" s="71"/>
      <c r="W26" s="72"/>
      <c r="X26" s="70"/>
      <c r="Y26" s="71"/>
      <c r="Z26" s="71"/>
      <c r="AA26" s="71"/>
      <c r="AB26" s="72"/>
      <c r="AC26" s="70"/>
      <c r="AD26" s="71"/>
      <c r="AE26" s="71"/>
      <c r="AF26" s="71"/>
      <c r="AG26" s="72"/>
      <c r="AH26" s="70"/>
      <c r="AI26" s="71"/>
      <c r="AJ26" s="71"/>
      <c r="AK26" s="71"/>
      <c r="AL26" s="73"/>
      <c r="AM26" s="70"/>
      <c r="AN26" s="71"/>
      <c r="AO26" s="71"/>
      <c r="AP26" s="71"/>
      <c r="AQ26" s="73"/>
      <c r="AR26" s="70"/>
      <c r="AS26" s="71"/>
      <c r="AT26" s="71"/>
      <c r="AU26" s="71"/>
      <c r="AV26" s="73"/>
      <c r="AW26" s="70"/>
      <c r="AX26" s="71"/>
      <c r="AY26" s="71"/>
      <c r="AZ26" s="71"/>
      <c r="BA26" s="73"/>
      <c r="BB26" s="70"/>
      <c r="BC26" s="71"/>
      <c r="BD26" s="71"/>
      <c r="BE26" s="71"/>
      <c r="BF26" s="73"/>
    </row>
    <row r="27" spans="2:58" ht="18" customHeight="1">
      <c r="B27" s="400" t="s">
        <v>4</v>
      </c>
      <c r="C27" s="172" t="s">
        <v>5</v>
      </c>
      <c r="D27" s="68">
        <v>3042</v>
      </c>
      <c r="E27" s="1">
        <v>0</v>
      </c>
      <c r="F27" s="301">
        <v>25868</v>
      </c>
      <c r="G27" s="2">
        <f>IF($B$4="quarter",SUM((E27/45),(F27/900)),IF($B$4="semester",SUM((E27/30),F27/900)))</f>
        <v>28.742222222222221</v>
      </c>
      <c r="H27" s="39"/>
      <c r="I27" s="302">
        <v>4261.7</v>
      </c>
      <c r="J27" s="301">
        <v>0</v>
      </c>
      <c r="K27" s="301">
        <v>44830.6</v>
      </c>
      <c r="L27" s="2">
        <f>IF($B$4="quarter",SUM((J27/45),(K27/900)),IF($B$4="semester",SUM((J27/30),K27/900)))</f>
        <v>49.811777777777777</v>
      </c>
      <c r="M27" s="39"/>
      <c r="N27" s="302">
        <v>7134</v>
      </c>
      <c r="O27" s="301">
        <v>0</v>
      </c>
      <c r="P27" s="301">
        <v>52514.39</v>
      </c>
      <c r="Q27" s="2">
        <f>IF($B$4="quarter",SUM((O27/45),(P27/900)),IF($B$4="semester",SUM((O27/30),P27/900)))</f>
        <v>58.34932222222222</v>
      </c>
      <c r="R27" s="39"/>
      <c r="S27" s="302">
        <v>5027</v>
      </c>
      <c r="T27" s="301">
        <v>0</v>
      </c>
      <c r="U27" s="301">
        <v>47700.75</v>
      </c>
      <c r="V27" s="2">
        <f>IF($B$4="quarter",SUM((T27/45),(U27/900)),IF($B$4="semester",SUM((T27/30),U27/900)))</f>
        <v>53.000833333333333</v>
      </c>
      <c r="W27" s="39"/>
      <c r="X27" s="302">
        <v>5316</v>
      </c>
      <c r="Y27" s="301">
        <v>0</v>
      </c>
      <c r="Z27" s="301">
        <v>51242.5</v>
      </c>
      <c r="AA27" s="2">
        <f>IF($B$4="quarter",SUM((Y27/45),(Z27/900)),IF($B$4="semester",SUM((Y27/30),Z27/900)))</f>
        <v>56.93611111111111</v>
      </c>
      <c r="AB27" s="39"/>
      <c r="AC27" s="68">
        <v>8346</v>
      </c>
      <c r="AD27" s="1">
        <v>0</v>
      </c>
      <c r="AE27" s="1">
        <v>64374.5</v>
      </c>
      <c r="AF27" s="2">
        <f>IF($B$4="quarter",SUM((AD27/45),(AE27/900)),IF($B$4="semester",SUM((AD27/30),AE27/900)))</f>
        <v>71.527222222222221</v>
      </c>
      <c r="AG27" s="39"/>
      <c r="AH27" s="68">
        <v>5683</v>
      </c>
      <c r="AI27" s="1">
        <v>0</v>
      </c>
      <c r="AJ27" s="1">
        <v>57474</v>
      </c>
      <c r="AK27" s="2">
        <f>IF($B$4="quarter",SUM((AI27/45),(AJ27/900)),IF($B$4="semester",SUM((AI27/30),AJ27/900)))</f>
        <v>63.86</v>
      </c>
      <c r="AL27" s="39"/>
      <c r="AM27" s="68">
        <v>6213</v>
      </c>
      <c r="AN27" s="1">
        <v>0</v>
      </c>
      <c r="AO27" s="1">
        <v>56288.08</v>
      </c>
      <c r="AP27" s="2">
        <f>IF($B$4="quarter",SUM((AN27/45),(AO27/900)),IF($B$4="semester",SUM((AN27/30),AO27/900)))</f>
        <v>62.542311111111111</v>
      </c>
      <c r="AQ27" s="39"/>
      <c r="AR27" s="68">
        <v>3555</v>
      </c>
      <c r="AS27" s="1">
        <v>0</v>
      </c>
      <c r="AT27" s="1">
        <v>20195.3</v>
      </c>
      <c r="AU27" s="2">
        <f>IF($B$4="quarter",SUM((AS27/45),(AT27/900)),IF($B$4="semester",SUM((AS27/30),AT27/900)))</f>
        <v>22.43922222222222</v>
      </c>
      <c r="AV27" s="39"/>
      <c r="AW27" s="381">
        <v>6306</v>
      </c>
      <c r="AX27" s="382">
        <v>0</v>
      </c>
      <c r="AY27" s="382">
        <v>57655.5</v>
      </c>
      <c r="AZ27" s="2">
        <f>IF($B$4="quarter",SUM((AX27/45),(AY27/900)),IF($B$4="semester",SUM((AX27/30),AY27/900)))</f>
        <v>64.061666666666667</v>
      </c>
      <c r="BA27" s="39"/>
      <c r="BB27" s="68">
        <v>0</v>
      </c>
      <c r="BC27" s="1">
        <v>0</v>
      </c>
      <c r="BD27" s="1">
        <v>0</v>
      </c>
      <c r="BE27" s="2">
        <f>IF($B$4="quarter",SUM((BC27/45),(BD27/900)),IF($B$4="semester",SUM((BC27/30),BD27/900)))</f>
        <v>0</v>
      </c>
      <c r="BF27" s="39"/>
    </row>
    <row r="28" spans="2:58" ht="18" customHeight="1">
      <c r="B28" s="401"/>
      <c r="C28" s="172" t="s">
        <v>6</v>
      </c>
      <c r="D28" s="68">
        <v>94</v>
      </c>
      <c r="E28" s="1">
        <v>0</v>
      </c>
      <c r="F28" s="1">
        <v>445</v>
      </c>
      <c r="G28" s="2">
        <f>IF($B$4="quarter",SUM((E28/45),(F28/900)),IF($B$4="semester",SUM((E28/30),F28/900)))</f>
        <v>0.49444444444444446</v>
      </c>
      <c r="H28" s="39"/>
      <c r="I28" s="302">
        <v>127.3</v>
      </c>
      <c r="J28" s="301">
        <v>0</v>
      </c>
      <c r="K28" s="301">
        <v>1295.2</v>
      </c>
      <c r="L28" s="2">
        <f>IF($B$4="quarter",SUM((J28/45),(K28/900)),IF($B$4="semester",SUM((J28/30),K28/900)))</f>
        <v>1.4391111111111112</v>
      </c>
      <c r="M28" s="39"/>
      <c r="N28" s="302">
        <v>137</v>
      </c>
      <c r="O28" s="301">
        <v>0</v>
      </c>
      <c r="P28" s="301">
        <v>801.11</v>
      </c>
      <c r="Q28" s="2">
        <f>IF($B$4="quarter",SUM((O28/45),(P28/900)),IF($B$4="semester",SUM((O28/30),P28/900)))</f>
        <v>0.89012222222222226</v>
      </c>
      <c r="R28" s="39"/>
      <c r="S28" s="302">
        <v>110</v>
      </c>
      <c r="T28" s="301">
        <v>0</v>
      </c>
      <c r="U28" s="301">
        <v>1229</v>
      </c>
      <c r="V28" s="2">
        <f>IF($B$4="quarter",SUM((T28/45),(U28/900)),IF($B$4="semester",SUM((T28/30),U28/900)))</f>
        <v>1.3655555555555556</v>
      </c>
      <c r="W28" s="39"/>
      <c r="X28" s="302">
        <v>126</v>
      </c>
      <c r="Y28" s="301">
        <v>0</v>
      </c>
      <c r="Z28" s="301">
        <v>1021.5</v>
      </c>
      <c r="AA28" s="2">
        <f>IF($B$4="quarter",SUM((Y28/45),(Z28/900)),IF($B$4="semester",SUM((Y28/30),Z28/900)))</f>
        <v>1.135</v>
      </c>
      <c r="AB28" s="39"/>
      <c r="AC28" s="68">
        <v>133</v>
      </c>
      <c r="AD28" s="1">
        <v>0</v>
      </c>
      <c r="AE28" s="1">
        <v>1445.5</v>
      </c>
      <c r="AF28" s="2">
        <f>IF($B$4="quarter",SUM((AD28/45),(AE28/900)),IF($B$4="semester",SUM((AD28/30),AE28/900)))</f>
        <v>1.606111111111111</v>
      </c>
      <c r="AG28" s="39"/>
      <c r="AH28" s="68">
        <v>103</v>
      </c>
      <c r="AI28" s="1">
        <v>0</v>
      </c>
      <c r="AJ28" s="1">
        <v>851</v>
      </c>
      <c r="AK28" s="2">
        <f>IF($B$4="quarter",SUM((AI28/45),(AJ28/900)),IF($B$4="semester",SUM((AI28/30),AJ28/900)))</f>
        <v>0.94555555555555559</v>
      </c>
      <c r="AL28" s="39"/>
      <c r="AM28" s="68">
        <v>107</v>
      </c>
      <c r="AN28" s="1">
        <v>0</v>
      </c>
      <c r="AO28" s="1">
        <v>1397.97</v>
      </c>
      <c r="AP28" s="2">
        <f>IF($B$4="quarter",SUM((AN28/45),(AO28/900)),IF($B$4="semester",SUM((AN28/30),AO28/900)))</f>
        <v>1.5533000000000001</v>
      </c>
      <c r="AQ28" s="39"/>
      <c r="AR28" s="68">
        <v>30</v>
      </c>
      <c r="AS28" s="1">
        <v>0</v>
      </c>
      <c r="AT28" s="1">
        <v>476</v>
      </c>
      <c r="AU28" s="2">
        <f>IF($B$4="quarter",SUM((AS28/45),(AT28/900)),IF($B$4="semester",SUM((AS28/30),AT28/900)))</f>
        <v>0.52888888888888885</v>
      </c>
      <c r="AV28" s="39"/>
      <c r="AW28" s="381">
        <v>65</v>
      </c>
      <c r="AX28" s="382">
        <v>0</v>
      </c>
      <c r="AY28" s="382">
        <v>588.5</v>
      </c>
      <c r="AZ28" s="2">
        <f>IF($B$4="quarter",SUM((AX28/45),(AY28/900)),IF($B$4="semester",SUM((AX28/30),AY28/900)))</f>
        <v>0.65388888888888885</v>
      </c>
      <c r="BA28" s="39"/>
      <c r="BB28" s="68">
        <v>0</v>
      </c>
      <c r="BC28" s="1">
        <v>0</v>
      </c>
      <c r="BD28" s="1">
        <v>0</v>
      </c>
      <c r="BE28" s="2">
        <f>IF($B$4="quarter",SUM((BC28/45),(BD28/900)),IF($B$4="semester",SUM((BC28/30),BD28/900)))</f>
        <v>0</v>
      </c>
      <c r="BF28" s="39"/>
    </row>
    <row r="29" spans="2:58" ht="18" customHeight="1">
      <c r="B29" s="402"/>
      <c r="C29" s="173" t="s">
        <v>87</v>
      </c>
      <c r="D29" s="34">
        <f t="shared" ref="D29:AF29" si="3">SUM(D27:D28)</f>
        <v>3136</v>
      </c>
      <c r="E29" s="2">
        <f t="shared" si="3"/>
        <v>0</v>
      </c>
      <c r="F29" s="2">
        <f t="shared" si="3"/>
        <v>26313</v>
      </c>
      <c r="G29" s="2">
        <f t="shared" si="3"/>
        <v>29.236666666666665</v>
      </c>
      <c r="H29" s="39"/>
      <c r="I29" s="34">
        <f t="shared" si="3"/>
        <v>4389</v>
      </c>
      <c r="J29" s="2">
        <f t="shared" si="3"/>
        <v>0</v>
      </c>
      <c r="K29" s="2">
        <f t="shared" si="3"/>
        <v>46125.799999999996</v>
      </c>
      <c r="L29" s="2">
        <f t="shared" si="3"/>
        <v>51.250888888888888</v>
      </c>
      <c r="M29" s="39"/>
      <c r="N29" s="34">
        <f t="shared" si="3"/>
        <v>7271</v>
      </c>
      <c r="O29" s="2">
        <f t="shared" si="3"/>
        <v>0</v>
      </c>
      <c r="P29" s="2">
        <f t="shared" si="3"/>
        <v>53315.5</v>
      </c>
      <c r="Q29" s="2">
        <f t="shared" si="3"/>
        <v>59.239444444444445</v>
      </c>
      <c r="R29" s="39"/>
      <c r="S29" s="34">
        <f t="shared" si="3"/>
        <v>5137</v>
      </c>
      <c r="T29" s="2">
        <f t="shared" si="3"/>
        <v>0</v>
      </c>
      <c r="U29" s="2">
        <f t="shared" si="3"/>
        <v>48929.75</v>
      </c>
      <c r="V29" s="2">
        <f t="shared" si="3"/>
        <v>54.366388888888885</v>
      </c>
      <c r="W29" s="39"/>
      <c r="X29" s="34">
        <f t="shared" si="3"/>
        <v>5442</v>
      </c>
      <c r="Y29" s="2">
        <f t="shared" si="3"/>
        <v>0</v>
      </c>
      <c r="Z29" s="2">
        <f t="shared" si="3"/>
        <v>52264</v>
      </c>
      <c r="AA29" s="2">
        <f t="shared" si="3"/>
        <v>58.071111111111108</v>
      </c>
      <c r="AB29" s="39"/>
      <c r="AC29" s="34">
        <f t="shared" si="3"/>
        <v>8479</v>
      </c>
      <c r="AD29" s="2">
        <f t="shared" si="3"/>
        <v>0</v>
      </c>
      <c r="AE29" s="2">
        <f t="shared" si="3"/>
        <v>65820</v>
      </c>
      <c r="AF29" s="83">
        <f t="shared" si="3"/>
        <v>73.133333333333326</v>
      </c>
      <c r="AG29" s="39"/>
      <c r="AH29" s="34">
        <f t="shared" ref="AH29:AP29" si="4">SUM(AH27:AH28)</f>
        <v>5786</v>
      </c>
      <c r="AI29" s="2">
        <f t="shared" si="4"/>
        <v>0</v>
      </c>
      <c r="AJ29" s="2">
        <f t="shared" si="4"/>
        <v>58325</v>
      </c>
      <c r="AK29" s="2">
        <f t="shared" si="4"/>
        <v>64.805555555555557</v>
      </c>
      <c r="AL29" s="39"/>
      <c r="AM29" s="34">
        <f t="shared" si="4"/>
        <v>6320</v>
      </c>
      <c r="AN29" s="2">
        <f t="shared" si="4"/>
        <v>0</v>
      </c>
      <c r="AO29" s="2">
        <f t="shared" si="4"/>
        <v>57686.05</v>
      </c>
      <c r="AP29" s="2">
        <f t="shared" si="4"/>
        <v>64.095611111111111</v>
      </c>
      <c r="AQ29" s="39"/>
      <c r="AR29" s="34">
        <f t="shared" ref="AR29:BE29" si="5">SUM(AR27:AR28)</f>
        <v>3585</v>
      </c>
      <c r="AS29" s="2">
        <f t="shared" si="5"/>
        <v>0</v>
      </c>
      <c r="AT29" s="2">
        <f t="shared" si="5"/>
        <v>20671.3</v>
      </c>
      <c r="AU29" s="2">
        <f t="shared" si="5"/>
        <v>22.96811111111111</v>
      </c>
      <c r="AV29" s="39"/>
      <c r="AW29" s="34">
        <f t="shared" si="5"/>
        <v>6371</v>
      </c>
      <c r="AX29" s="2">
        <f t="shared" si="5"/>
        <v>0</v>
      </c>
      <c r="AY29" s="2">
        <f t="shared" si="5"/>
        <v>58244</v>
      </c>
      <c r="AZ29" s="2">
        <f t="shared" si="5"/>
        <v>64.715555555555554</v>
      </c>
      <c r="BA29" s="39"/>
      <c r="BB29" s="34">
        <f t="shared" si="5"/>
        <v>0</v>
      </c>
      <c r="BC29" s="2">
        <f t="shared" si="5"/>
        <v>0</v>
      </c>
      <c r="BD29" s="2">
        <f t="shared" si="5"/>
        <v>0</v>
      </c>
      <c r="BE29" s="2">
        <f t="shared" si="5"/>
        <v>0</v>
      </c>
      <c r="BF29" s="39"/>
    </row>
    <row r="30" spans="2:58" ht="15">
      <c r="AM30" s="81"/>
      <c r="AR30" s="81"/>
      <c r="AW30" s="81"/>
      <c r="BB30" s="81"/>
    </row>
    <row r="31" spans="2:58" s="81" customFormat="1" ht="15">
      <c r="D31" s="81" t="str">
        <f>D2&amp;" COMMENTS"</f>
        <v>2012-13 COMMENTS</v>
      </c>
      <c r="H31" s="82"/>
      <c r="I31" s="81" t="str">
        <f>I2&amp;" COMMENTS"</f>
        <v>2013-14 COMMENTS</v>
      </c>
      <c r="M31" s="82"/>
      <c r="N31" s="81" t="str">
        <f>N2&amp;" COMMENTS"</f>
        <v>2014-15 COMMENTS</v>
      </c>
      <c r="R31" s="82"/>
      <c r="S31" s="81" t="str">
        <f>S2&amp;" COMMENTS"</f>
        <v>2015-16 COMMENTS</v>
      </c>
      <c r="W31" s="82"/>
      <c r="X31" s="81" t="str">
        <f>X2&amp;" COMMENTS"</f>
        <v>2016-17 COMMENTS</v>
      </c>
      <c r="AB31" s="82"/>
      <c r="AC31" s="81" t="str">
        <f>AC2&amp;" COMMENTS"</f>
        <v>2017-18 COMMENTS</v>
      </c>
      <c r="AG31" s="82"/>
      <c r="AH31" s="81" t="str">
        <f>AH2&amp;" COMMENTS"</f>
        <v>2018-19 COMMENTS</v>
      </c>
      <c r="AL31" s="82"/>
      <c r="AM31" s="81" t="str">
        <f>AM2&amp;" COMMENTS"</f>
        <v>2019-20 COMMENTS</v>
      </c>
      <c r="AQ31" s="82"/>
      <c r="AR31" s="81" t="str">
        <f>AR2&amp;" COMMENTS"</f>
        <v>2020-21 COMMENTS</v>
      </c>
      <c r="AV31" s="82"/>
      <c r="AW31" s="81" t="str">
        <f>AW2&amp;" COMMENTS"</f>
        <v>2021-22 COMMENTS</v>
      </c>
      <c r="BA31" s="82"/>
      <c r="BB31" s="81" t="str">
        <f>BB2&amp;" COMMENTS"</f>
        <v>2022-23 COMMENTS</v>
      </c>
      <c r="BF31" s="82"/>
    </row>
    <row r="32" spans="2:58" ht="168" customHeight="1">
      <c r="D32" s="434"/>
      <c r="E32" s="435"/>
      <c r="F32" s="435"/>
      <c r="G32" s="435"/>
      <c r="H32" s="436"/>
      <c r="I32" s="431"/>
      <c r="J32" s="432"/>
      <c r="K32" s="432"/>
      <c r="L32" s="432"/>
      <c r="M32" s="433"/>
      <c r="N32" s="431"/>
      <c r="O32" s="432"/>
      <c r="P32" s="432"/>
      <c r="Q32" s="432"/>
      <c r="R32" s="433"/>
      <c r="S32" s="431" t="s">
        <v>124</v>
      </c>
      <c r="T32" s="432"/>
      <c r="U32" s="432"/>
      <c r="V32" s="432"/>
      <c r="W32" s="433"/>
      <c r="X32" s="431" t="s">
        <v>124</v>
      </c>
      <c r="Y32" s="432"/>
      <c r="Z32" s="432"/>
      <c r="AA32" s="432"/>
      <c r="AB32" s="433"/>
      <c r="AC32" s="431"/>
      <c r="AD32" s="432"/>
      <c r="AE32" s="432"/>
      <c r="AF32" s="432"/>
      <c r="AG32" s="433"/>
      <c r="AH32" s="437"/>
      <c r="AI32" s="438"/>
      <c r="AJ32" s="438"/>
      <c r="AK32" s="438"/>
      <c r="AL32" s="439"/>
      <c r="AM32" s="437"/>
      <c r="AN32" s="438"/>
      <c r="AO32" s="438"/>
      <c r="AP32" s="438"/>
      <c r="AQ32" s="439"/>
      <c r="AR32" s="437"/>
      <c r="AS32" s="438"/>
      <c r="AT32" s="438"/>
      <c r="AU32" s="438"/>
      <c r="AV32" s="439"/>
      <c r="AW32" s="440"/>
      <c r="AX32" s="441"/>
      <c r="AY32" s="441"/>
      <c r="AZ32" s="441"/>
      <c r="BA32" s="442"/>
      <c r="BB32" s="437"/>
      <c r="BC32" s="438"/>
      <c r="BD32" s="438"/>
      <c r="BE32" s="438"/>
      <c r="BF32" s="439"/>
    </row>
    <row r="36" spans="16:16">
      <c r="P36" s="219"/>
    </row>
  </sheetData>
  <sheetProtection formatColumns="0"/>
  <mergeCells count="82">
    <mergeCell ref="AC2:AG2"/>
    <mergeCell ref="AH2:AL2"/>
    <mergeCell ref="AM2:AQ2"/>
    <mergeCell ref="AR2:AV2"/>
    <mergeCell ref="BB32:BF32"/>
    <mergeCell ref="BB2:BF2"/>
    <mergeCell ref="BB3:BB5"/>
    <mergeCell ref="BC3:BC5"/>
    <mergeCell ref="BD3:BD5"/>
    <mergeCell ref="BE3:BE5"/>
    <mergeCell ref="BF3:BF5"/>
    <mergeCell ref="AR32:AV32"/>
    <mergeCell ref="AW2:BA2"/>
    <mergeCell ref="AW3:AW5"/>
    <mergeCell ref="AX3:AX5"/>
    <mergeCell ref="AY3:AY5"/>
    <mergeCell ref="AZ3:AZ5"/>
    <mergeCell ref="BA3:BA5"/>
    <mergeCell ref="AW32:BA32"/>
    <mergeCell ref="AR3:AR5"/>
    <mergeCell ref="AS3:AS5"/>
    <mergeCell ref="AT3:AT5"/>
    <mergeCell ref="AU3:AU5"/>
    <mergeCell ref="AV3:AV5"/>
    <mergeCell ref="AQ3:AQ5"/>
    <mergeCell ref="AM32:AQ32"/>
    <mergeCell ref="AH3:AH5"/>
    <mergeCell ref="AI3:AI5"/>
    <mergeCell ref="AJ3:AJ5"/>
    <mergeCell ref="AK3:AK5"/>
    <mergeCell ref="AL3:AL5"/>
    <mergeCell ref="AH32:AL32"/>
    <mergeCell ref="AM3:AM5"/>
    <mergeCell ref="AN3:AN5"/>
    <mergeCell ref="AO3:AO5"/>
    <mergeCell ref="AP3:AP5"/>
    <mergeCell ref="S32:W32"/>
    <mergeCell ref="X32:AB32"/>
    <mergeCell ref="AC32:AG32"/>
    <mergeCell ref="B27:B29"/>
    <mergeCell ref="D32:H32"/>
    <mergeCell ref="I32:M32"/>
    <mergeCell ref="N32:R32"/>
    <mergeCell ref="AD3:AD5"/>
    <mergeCell ref="AE3:AE5"/>
    <mergeCell ref="AF3:AF5"/>
    <mergeCell ref="AG3:AG5"/>
    <mergeCell ref="S2:W2"/>
    <mergeCell ref="S3:S5"/>
    <mergeCell ref="T3:T5"/>
    <mergeCell ref="V3:V5"/>
    <mergeCell ref="X3:X5"/>
    <mergeCell ref="Y3:Y5"/>
    <mergeCell ref="AA3:AA5"/>
    <mergeCell ref="AB3:AB5"/>
    <mergeCell ref="Z3:Z5"/>
    <mergeCell ref="AC3:AC5"/>
    <mergeCell ref="W3:W5"/>
    <mergeCell ref="X2:AB2"/>
    <mergeCell ref="N2:R2"/>
    <mergeCell ref="I2:M2"/>
    <mergeCell ref="D2:H2"/>
    <mergeCell ref="D3:D5"/>
    <mergeCell ref="E3:E5"/>
    <mergeCell ref="G3:G5"/>
    <mergeCell ref="I3:I5"/>
    <mergeCell ref="H3:H5"/>
    <mergeCell ref="R3:R5"/>
    <mergeCell ref="M3:M5"/>
    <mergeCell ref="B20:B22"/>
    <mergeCell ref="F3:F5"/>
    <mergeCell ref="K3:K5"/>
    <mergeCell ref="P3:P5"/>
    <mergeCell ref="U3:U5"/>
    <mergeCell ref="B7:B9"/>
    <mergeCell ref="B16:B18"/>
    <mergeCell ref="B15:C15"/>
    <mergeCell ref="J3:J5"/>
    <mergeCell ref="L3:L5"/>
    <mergeCell ref="N3:N5"/>
    <mergeCell ref="O3:O5"/>
    <mergeCell ref="Q3:Q5"/>
  </mergeCells>
  <dataValidations disablePrompts="1" count="2">
    <dataValidation type="decimal" operator="greaterThanOrEqual" allowBlank="1" showInputMessage="1" showErrorMessage="1" errorTitle="Data Type Error" error="Value must be a number greater than or equal to 0." sqref="N7:P8 I7:K8 S27:U28 D7:F8 F27 S16:U17 I27:K28 N27:P28 D16:F16 X7:Z8 I16:K17 N16:P17 N20:O20 S20:T20 S7:U8 X27:Z28 X16:Z17 X20:Z21" xr:uid="{00000000-0002-0000-0000-000000000000}">
      <formula1>0</formula1>
    </dataValidation>
    <dataValidation type="list" allowBlank="1" showInputMessage="1" showErrorMessage="1" sqref="B4" xr:uid="{00000000-0002-0000-0000-000001000000}">
      <formula1>"Semester,Quarter"</formula1>
    </dataValidation>
  </dataValidations>
  <pageMargins left="0.3" right="0.3" top="0.75" bottom="0.3" header="0.3" footer="0.25"/>
  <pageSetup scale="64" orientation="landscape" r:id="rId1"/>
  <headerFooter>
    <oddHeader>&amp;C&amp;"-,Bold"&amp;22Mid-Plains Community College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AK37"/>
  <sheetViews>
    <sheetView showGridLines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" sqref="D1"/>
    </sheetView>
  </sheetViews>
  <sheetFormatPr defaultColWidth="21.28515625" defaultRowHeight="15"/>
  <cols>
    <col min="1" max="1" width="1.5703125" style="10" customWidth="1"/>
    <col min="2" max="2" width="40.85546875" style="10" customWidth="1"/>
    <col min="3" max="3" width="19.42578125" style="10" customWidth="1"/>
    <col min="4" max="4" width="16.42578125" style="24" customWidth="1"/>
    <col min="5" max="5" width="14.28515625" style="10" hidden="1" customWidth="1"/>
    <col min="6" max="6" width="10.28515625" style="10" hidden="1" customWidth="1"/>
    <col min="7" max="7" width="14.28515625" style="10" hidden="1" customWidth="1"/>
    <col min="8" max="8" width="10.28515625" style="10" hidden="1" customWidth="1"/>
    <col min="9" max="9" width="14.42578125" style="10" hidden="1" customWidth="1"/>
    <col min="10" max="10" width="10.28515625" style="10" hidden="1" customWidth="1"/>
    <col min="11" max="11" width="14.42578125" style="10" hidden="1" customWidth="1"/>
    <col min="12" max="12" width="10.28515625" style="10" hidden="1" customWidth="1"/>
    <col min="13" max="13" width="14.42578125" style="10" hidden="1" customWidth="1"/>
    <col min="14" max="14" width="10.28515625" style="10" hidden="1" customWidth="1"/>
    <col min="15" max="15" width="14.42578125" style="10" hidden="1" customWidth="1"/>
    <col min="16" max="16" width="10.28515625" style="10" hidden="1" customWidth="1"/>
    <col min="17" max="17" width="14.42578125" style="10" customWidth="1"/>
    <col min="18" max="18" width="10.28515625" style="10" customWidth="1"/>
    <col min="19" max="19" width="14.42578125" style="10" customWidth="1"/>
    <col min="20" max="20" width="10.28515625" style="10" customWidth="1"/>
    <col min="21" max="21" width="14.42578125" style="10" customWidth="1"/>
    <col min="22" max="22" width="10.28515625" style="10" customWidth="1"/>
    <col min="23" max="23" width="14.42578125" style="10" customWidth="1"/>
    <col min="24" max="24" width="10.28515625" style="10" customWidth="1"/>
    <col min="25" max="25" width="1.7109375" style="10" customWidth="1"/>
    <col min="26" max="31" width="16" style="10" hidden="1" customWidth="1"/>
    <col min="32" max="34" width="16" style="10" customWidth="1"/>
    <col min="35" max="35" width="16" style="10" hidden="1" customWidth="1"/>
    <col min="36" max="36" width="1.5703125" style="10" customWidth="1"/>
    <col min="37" max="701" width="21.28515625" style="10"/>
    <col min="702" max="702" width="0" style="10" hidden="1" customWidth="1"/>
    <col min="703" max="16384" width="21.28515625" style="10"/>
  </cols>
  <sheetData>
    <row r="1" spans="2:37" s="11" customFormat="1" ht="15.75" customHeight="1" thickBot="1">
      <c r="C1" s="12"/>
      <c r="D1" s="55"/>
      <c r="E1" s="446" t="s">
        <v>13</v>
      </c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8"/>
      <c r="Y1" s="62"/>
      <c r="Z1" s="446" t="s">
        <v>14</v>
      </c>
      <c r="AA1" s="447"/>
      <c r="AB1" s="447"/>
      <c r="AC1" s="447"/>
      <c r="AD1" s="447"/>
      <c r="AE1" s="447"/>
      <c r="AF1" s="447"/>
      <c r="AG1" s="447"/>
      <c r="AH1" s="447"/>
      <c r="AI1" s="448"/>
      <c r="AJ1" s="60"/>
    </row>
    <row r="2" spans="2:37" s="11" customFormat="1" ht="15.75" thickBot="1">
      <c r="D2" s="9"/>
      <c r="E2" s="449" t="s">
        <v>82</v>
      </c>
      <c r="F2" s="450"/>
      <c r="G2" s="451" t="s">
        <v>83</v>
      </c>
      <c r="H2" s="452"/>
      <c r="I2" s="453" t="s">
        <v>84</v>
      </c>
      <c r="J2" s="454"/>
      <c r="K2" s="455" t="s">
        <v>81</v>
      </c>
      <c r="L2" s="456"/>
      <c r="M2" s="457" t="s">
        <v>80</v>
      </c>
      <c r="N2" s="458"/>
      <c r="O2" s="459" t="s">
        <v>85</v>
      </c>
      <c r="P2" s="460"/>
      <c r="Q2" s="449" t="s">
        <v>86</v>
      </c>
      <c r="R2" s="450"/>
      <c r="S2" s="451" t="s">
        <v>88</v>
      </c>
      <c r="T2" s="452"/>
      <c r="U2" s="453" t="s">
        <v>89</v>
      </c>
      <c r="V2" s="454"/>
      <c r="W2" s="455" t="s">
        <v>90</v>
      </c>
      <c r="X2" s="456"/>
      <c r="Y2" s="189"/>
      <c r="Z2" s="56"/>
      <c r="AA2" s="56"/>
      <c r="AB2" s="57"/>
      <c r="AC2" s="57"/>
      <c r="AD2" s="57"/>
      <c r="AE2" s="57"/>
      <c r="AF2" s="57"/>
      <c r="AG2" s="57"/>
      <c r="AH2" s="57"/>
      <c r="AI2" s="58"/>
      <c r="AJ2" s="61"/>
      <c r="AK2" s="10"/>
    </row>
    <row r="3" spans="2:37" s="16" customFormat="1" ht="15.75" thickBot="1">
      <c r="B3" s="13" t="s">
        <v>15</v>
      </c>
      <c r="C3" s="14" t="s">
        <v>16</v>
      </c>
      <c r="D3" s="268" t="s">
        <v>17</v>
      </c>
      <c r="E3" s="261" t="s">
        <v>18</v>
      </c>
      <c r="F3" s="260" t="s">
        <v>19</v>
      </c>
      <c r="G3" s="260" t="s">
        <v>18</v>
      </c>
      <c r="H3" s="260" t="s">
        <v>19</v>
      </c>
      <c r="I3" s="260" t="s">
        <v>18</v>
      </c>
      <c r="J3" s="260" t="s">
        <v>19</v>
      </c>
      <c r="K3" s="260" t="s">
        <v>18</v>
      </c>
      <c r="L3" s="260" t="s">
        <v>19</v>
      </c>
      <c r="M3" s="260" t="s">
        <v>18</v>
      </c>
      <c r="N3" s="260" t="s">
        <v>19</v>
      </c>
      <c r="O3" s="260" t="s">
        <v>18</v>
      </c>
      <c r="P3" s="260" t="s">
        <v>19</v>
      </c>
      <c r="Q3" s="260" t="s">
        <v>18</v>
      </c>
      <c r="R3" s="260" t="s">
        <v>19</v>
      </c>
      <c r="S3" s="54" t="s">
        <v>18</v>
      </c>
      <c r="T3" s="54" t="s">
        <v>19</v>
      </c>
      <c r="U3" s="54" t="s">
        <v>18</v>
      </c>
      <c r="V3" s="54" t="s">
        <v>19</v>
      </c>
      <c r="W3" s="54" t="s">
        <v>18</v>
      </c>
      <c r="X3" s="59" t="s">
        <v>19</v>
      </c>
      <c r="Y3" s="190"/>
      <c r="Z3" s="262" t="s">
        <v>82</v>
      </c>
      <c r="AA3" s="263" t="s">
        <v>83</v>
      </c>
      <c r="AB3" s="264" t="s">
        <v>84</v>
      </c>
      <c r="AC3" s="265" t="s">
        <v>81</v>
      </c>
      <c r="AD3" s="266" t="s">
        <v>80</v>
      </c>
      <c r="AE3" s="267" t="s">
        <v>85</v>
      </c>
      <c r="AF3" s="262" t="s">
        <v>86</v>
      </c>
      <c r="AG3" s="263" t="s">
        <v>88</v>
      </c>
      <c r="AH3" s="264" t="s">
        <v>89</v>
      </c>
      <c r="AI3" s="265" t="s">
        <v>90</v>
      </c>
      <c r="AJ3" s="15"/>
      <c r="AK3" s="15"/>
    </row>
    <row r="4" spans="2:37" customFormat="1" ht="19.5" customHeight="1">
      <c r="B4" s="48" t="s">
        <v>20</v>
      </c>
      <c r="C4" s="17"/>
      <c r="D4" s="25"/>
      <c r="E4" s="49"/>
      <c r="F4" s="50"/>
      <c r="G4" s="122"/>
      <c r="H4" s="52"/>
      <c r="I4" s="49"/>
      <c r="J4" s="50"/>
      <c r="K4" s="122"/>
      <c r="L4" s="52"/>
      <c r="M4" s="51"/>
      <c r="N4" s="52"/>
      <c r="O4" s="51"/>
      <c r="P4" s="52"/>
      <c r="Q4" s="51"/>
      <c r="R4" s="52"/>
      <c r="S4" s="51"/>
      <c r="T4" s="52"/>
      <c r="U4" s="51"/>
      <c r="V4" s="52"/>
      <c r="W4" s="51"/>
      <c r="X4" s="52"/>
      <c r="Y4" s="17"/>
      <c r="Z4" s="49"/>
      <c r="AA4" s="51"/>
      <c r="AB4" s="64"/>
      <c r="AC4" s="53"/>
      <c r="AD4" s="53"/>
      <c r="AE4" s="53"/>
      <c r="AF4" s="53"/>
      <c r="AG4" s="53"/>
      <c r="AH4" s="53"/>
      <c r="AI4" s="53"/>
    </row>
    <row r="5" spans="2:37" customFormat="1">
      <c r="B5" s="116" t="s">
        <v>125</v>
      </c>
      <c r="C5" s="116" t="s">
        <v>91</v>
      </c>
      <c r="D5" s="117">
        <v>7</v>
      </c>
      <c r="E5" s="357">
        <v>5</v>
      </c>
      <c r="F5" s="116" t="s">
        <v>92</v>
      </c>
      <c r="G5" s="357">
        <v>5</v>
      </c>
      <c r="H5" s="116" t="s">
        <v>92</v>
      </c>
      <c r="I5" s="357">
        <v>5</v>
      </c>
      <c r="J5" s="116" t="s">
        <v>92</v>
      </c>
      <c r="K5" s="357">
        <v>5</v>
      </c>
      <c r="L5" s="116" t="s">
        <v>92</v>
      </c>
      <c r="M5" s="357">
        <v>5</v>
      </c>
      <c r="N5" s="116" t="s">
        <v>92</v>
      </c>
      <c r="O5" s="358">
        <v>5</v>
      </c>
      <c r="P5" s="116" t="s">
        <v>92</v>
      </c>
      <c r="Q5" s="358">
        <v>5</v>
      </c>
      <c r="R5" s="116" t="s">
        <v>92</v>
      </c>
      <c r="S5" s="358">
        <v>5</v>
      </c>
      <c r="T5" s="116" t="s">
        <v>92</v>
      </c>
      <c r="U5" s="358">
        <v>5</v>
      </c>
      <c r="V5" s="116" t="s">
        <v>92</v>
      </c>
      <c r="W5" s="359">
        <v>5</v>
      </c>
      <c r="X5" s="28" t="s">
        <v>92</v>
      </c>
      <c r="Y5" s="118"/>
      <c r="Z5" s="229">
        <v>274737</v>
      </c>
      <c r="AA5" s="229">
        <v>277557.5</v>
      </c>
      <c r="AB5" s="229">
        <v>224131.5</v>
      </c>
      <c r="AC5" s="229">
        <v>216437</v>
      </c>
      <c r="AD5" s="229">
        <v>210801</v>
      </c>
      <c r="AE5" s="229">
        <v>204342</v>
      </c>
      <c r="AF5" s="229">
        <v>191508</v>
      </c>
      <c r="AG5" s="229">
        <v>192063</v>
      </c>
      <c r="AH5" s="228">
        <v>183400</v>
      </c>
      <c r="AI5" s="229"/>
    </row>
    <row r="6" spans="2:37" customFormat="1">
      <c r="B6" s="116" t="s">
        <v>126</v>
      </c>
      <c r="C6" s="116" t="s">
        <v>23</v>
      </c>
      <c r="D6" s="117">
        <v>5</v>
      </c>
      <c r="E6" s="357">
        <v>8</v>
      </c>
      <c r="F6" s="116" t="s">
        <v>92</v>
      </c>
      <c r="G6" s="357">
        <v>8</v>
      </c>
      <c r="H6" s="116" t="s">
        <v>92</v>
      </c>
      <c r="I6" s="357">
        <v>8</v>
      </c>
      <c r="J6" s="116" t="s">
        <v>92</v>
      </c>
      <c r="K6" s="357">
        <v>8</v>
      </c>
      <c r="L6" s="116" t="s">
        <v>92</v>
      </c>
      <c r="M6" s="357">
        <v>8</v>
      </c>
      <c r="N6" s="116" t="s">
        <v>92</v>
      </c>
      <c r="O6" s="358">
        <v>8</v>
      </c>
      <c r="P6" s="116" t="s">
        <v>92</v>
      </c>
      <c r="Q6" s="358">
        <v>8</v>
      </c>
      <c r="R6" s="116" t="s">
        <v>92</v>
      </c>
      <c r="S6" s="358">
        <v>8</v>
      </c>
      <c r="T6" s="116" t="s">
        <v>92</v>
      </c>
      <c r="U6" s="358">
        <v>8</v>
      </c>
      <c r="V6" s="116" t="s">
        <v>92</v>
      </c>
      <c r="W6" s="359">
        <v>8</v>
      </c>
      <c r="X6" s="28" t="s">
        <v>92</v>
      </c>
      <c r="Y6" s="118"/>
      <c r="Z6" s="229">
        <v>439560</v>
      </c>
      <c r="AA6" s="229">
        <v>444092</v>
      </c>
      <c r="AB6" s="229">
        <v>358895</v>
      </c>
      <c r="AC6" s="229">
        <v>346300</v>
      </c>
      <c r="AD6" s="229">
        <f>337272+52450</f>
        <v>389722</v>
      </c>
      <c r="AE6" s="229">
        <v>326948</v>
      </c>
      <c r="AF6" s="229">
        <v>316412</v>
      </c>
      <c r="AG6" s="229">
        <v>307300</v>
      </c>
      <c r="AH6" s="228">
        <v>293432</v>
      </c>
      <c r="AI6" s="229"/>
    </row>
    <row r="7" spans="2:37" customFormat="1">
      <c r="B7" s="116" t="s">
        <v>127</v>
      </c>
      <c r="C7" s="116" t="s">
        <v>22</v>
      </c>
      <c r="D7" s="117">
        <v>9</v>
      </c>
      <c r="E7" s="357">
        <v>2</v>
      </c>
      <c r="F7" s="116" t="s">
        <v>92</v>
      </c>
      <c r="G7" s="357">
        <v>2</v>
      </c>
      <c r="H7" s="116" t="s">
        <v>92</v>
      </c>
      <c r="I7" s="357">
        <v>2</v>
      </c>
      <c r="J7" s="116" t="s">
        <v>92</v>
      </c>
      <c r="K7" s="357">
        <v>2</v>
      </c>
      <c r="L7" s="116" t="s">
        <v>92</v>
      </c>
      <c r="M7" s="357">
        <v>2</v>
      </c>
      <c r="N7" s="116" t="s">
        <v>92</v>
      </c>
      <c r="O7" s="358">
        <v>2</v>
      </c>
      <c r="P7" s="116" t="s">
        <v>92</v>
      </c>
      <c r="Q7" s="358">
        <v>1</v>
      </c>
      <c r="R7" s="116" t="s">
        <v>92</v>
      </c>
      <c r="S7" s="358">
        <v>1</v>
      </c>
      <c r="T7" s="116" t="s">
        <v>92</v>
      </c>
      <c r="U7" s="358">
        <v>1</v>
      </c>
      <c r="V7" s="116" t="s">
        <v>92</v>
      </c>
      <c r="W7" s="359">
        <v>1</v>
      </c>
      <c r="X7" s="28" t="s">
        <v>92</v>
      </c>
      <c r="Y7" s="118"/>
      <c r="Z7" s="229">
        <v>109895</v>
      </c>
      <c r="AA7" s="229">
        <v>111017</v>
      </c>
      <c r="AB7" s="229">
        <v>89701</v>
      </c>
      <c r="AC7" s="229">
        <f>43287+43288</f>
        <v>86575</v>
      </c>
      <c r="AD7" s="229">
        <v>82681</v>
      </c>
      <c r="AE7" s="229">
        <v>81737</v>
      </c>
      <c r="AF7" s="229">
        <v>38283</v>
      </c>
      <c r="AG7" s="229">
        <v>38416</v>
      </c>
      <c r="AH7" s="228">
        <v>36679</v>
      </c>
      <c r="AI7" s="229"/>
    </row>
    <row r="8" spans="2:37" customFormat="1">
      <c r="B8" s="116" t="s">
        <v>169</v>
      </c>
      <c r="C8" s="116" t="s">
        <v>170</v>
      </c>
      <c r="D8" s="117">
        <v>9</v>
      </c>
      <c r="E8" s="358"/>
      <c r="F8" s="116"/>
      <c r="G8" s="358"/>
      <c r="H8" s="116"/>
      <c r="I8" s="358"/>
      <c r="J8" s="116"/>
      <c r="K8" s="358"/>
      <c r="L8" s="116"/>
      <c r="M8" s="358"/>
      <c r="N8" s="116"/>
      <c r="O8" s="358"/>
      <c r="P8" s="116"/>
      <c r="Q8" s="358">
        <v>2</v>
      </c>
      <c r="R8" s="116" t="s">
        <v>92</v>
      </c>
      <c r="S8" s="358">
        <v>2</v>
      </c>
      <c r="T8" s="116" t="s">
        <v>92</v>
      </c>
      <c r="U8" s="358">
        <v>2</v>
      </c>
      <c r="V8" s="116" t="s">
        <v>92</v>
      </c>
      <c r="W8" s="359">
        <v>2</v>
      </c>
      <c r="X8" s="28" t="s">
        <v>92</v>
      </c>
      <c r="Y8" s="118"/>
      <c r="Z8" s="229"/>
      <c r="AA8" s="229"/>
      <c r="AB8" s="229"/>
      <c r="AC8" s="229"/>
      <c r="AD8" s="229"/>
      <c r="AE8" s="229"/>
      <c r="AF8" s="229">
        <v>76185</v>
      </c>
      <c r="AG8" s="229">
        <v>76684</v>
      </c>
      <c r="AH8" s="228">
        <v>73260</v>
      </c>
      <c r="AI8" s="229"/>
    </row>
    <row r="9" spans="2:37" s="177" customFormat="1">
      <c r="B9" s="28"/>
      <c r="C9" s="28"/>
      <c r="D9" s="29"/>
      <c r="E9" s="359"/>
      <c r="F9" s="28"/>
      <c r="G9" s="359"/>
      <c r="H9" s="28"/>
      <c r="I9" s="359"/>
      <c r="J9" s="28"/>
      <c r="K9" s="359"/>
      <c r="L9" s="28"/>
      <c r="M9" s="359"/>
      <c r="N9" s="28"/>
      <c r="O9" s="359"/>
      <c r="P9" s="28"/>
      <c r="Q9" s="359"/>
      <c r="R9" s="28"/>
      <c r="S9" s="359"/>
      <c r="T9" s="28"/>
      <c r="U9" s="359"/>
      <c r="V9" s="28"/>
      <c r="W9" s="359"/>
      <c r="X9" s="28"/>
      <c r="Y9" s="63"/>
      <c r="Z9" s="228"/>
      <c r="AA9" s="228"/>
      <c r="AB9" s="228"/>
      <c r="AC9" s="228"/>
      <c r="AD9" s="228"/>
      <c r="AE9" s="228"/>
      <c r="AF9" s="228"/>
      <c r="AG9" s="228"/>
      <c r="AH9" s="228"/>
      <c r="AI9" s="228"/>
    </row>
    <row r="10" spans="2:37" s="177" customFormat="1">
      <c r="B10" s="28"/>
      <c r="C10" s="28"/>
      <c r="D10" s="29"/>
      <c r="E10" s="359"/>
      <c r="F10" s="28"/>
      <c r="G10" s="359"/>
      <c r="H10" s="28"/>
      <c r="I10" s="359"/>
      <c r="J10" s="28"/>
      <c r="K10" s="359"/>
      <c r="L10" s="28"/>
      <c r="M10" s="359"/>
      <c r="N10" s="28"/>
      <c r="O10" s="359"/>
      <c r="P10" s="28"/>
      <c r="Q10" s="359"/>
      <c r="R10" s="28"/>
      <c r="S10" s="359"/>
      <c r="T10" s="28"/>
      <c r="U10" s="359"/>
      <c r="V10" s="28"/>
      <c r="W10" s="359"/>
      <c r="X10" s="28"/>
      <c r="Y10" s="63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</row>
    <row r="11" spans="2:37" s="177" customFormat="1">
      <c r="B11" s="28"/>
      <c r="C11" s="28"/>
      <c r="D11" s="29"/>
      <c r="E11" s="359"/>
      <c r="F11" s="28"/>
      <c r="G11" s="359"/>
      <c r="H11" s="28"/>
      <c r="I11" s="359"/>
      <c r="J11" s="28"/>
      <c r="K11" s="359"/>
      <c r="L11" s="28"/>
      <c r="M11" s="359"/>
      <c r="N11" s="28"/>
      <c r="O11" s="359"/>
      <c r="P11" s="28"/>
      <c r="Q11" s="359"/>
      <c r="R11" s="28"/>
      <c r="S11" s="359"/>
      <c r="T11" s="28"/>
      <c r="U11" s="359"/>
      <c r="V11" s="28"/>
      <c r="W11" s="359"/>
      <c r="X11" s="28"/>
      <c r="Y11" s="63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</row>
    <row r="12" spans="2:37" s="177" customFormat="1">
      <c r="B12" s="28"/>
      <c r="C12" s="28"/>
      <c r="D12" s="29"/>
      <c r="E12" s="359"/>
      <c r="F12" s="28"/>
      <c r="G12" s="359"/>
      <c r="H12" s="28"/>
      <c r="I12" s="359"/>
      <c r="J12" s="28"/>
      <c r="K12" s="359"/>
      <c r="L12" s="28"/>
      <c r="M12" s="359"/>
      <c r="N12" s="28"/>
      <c r="O12" s="359"/>
      <c r="P12" s="28"/>
      <c r="Q12" s="359"/>
      <c r="R12" s="28"/>
      <c r="S12" s="359"/>
      <c r="T12" s="28"/>
      <c r="U12" s="359"/>
      <c r="V12" s="28"/>
      <c r="W12" s="359"/>
      <c r="X12" s="28"/>
      <c r="Y12" s="63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</row>
    <row r="13" spans="2:37" s="177" customFormat="1">
      <c r="B13" s="28"/>
      <c r="C13" s="28"/>
      <c r="D13" s="29"/>
      <c r="E13" s="359"/>
      <c r="F13" s="28"/>
      <c r="G13" s="359"/>
      <c r="H13" s="28"/>
      <c r="I13" s="359"/>
      <c r="J13" s="28"/>
      <c r="K13" s="359"/>
      <c r="L13" s="28"/>
      <c r="M13" s="359"/>
      <c r="N13" s="28"/>
      <c r="O13" s="359"/>
      <c r="P13" s="28"/>
      <c r="Q13" s="359"/>
      <c r="R13" s="28"/>
      <c r="S13" s="359"/>
      <c r="T13" s="28"/>
      <c r="U13" s="359"/>
      <c r="V13" s="28"/>
      <c r="W13" s="359"/>
      <c r="X13" s="28"/>
      <c r="Y13" s="63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</row>
    <row r="14" spans="2:37" customFormat="1">
      <c r="B14" s="176" t="s">
        <v>121</v>
      </c>
      <c r="C14" s="116"/>
      <c r="D14" s="117"/>
      <c r="E14" s="358"/>
      <c r="F14" s="116"/>
      <c r="G14" s="358"/>
      <c r="H14" s="116"/>
      <c r="I14" s="358"/>
      <c r="J14" s="116"/>
      <c r="K14" s="358"/>
      <c r="L14" s="116"/>
      <c r="M14" s="358"/>
      <c r="N14" s="116"/>
      <c r="O14" s="358"/>
      <c r="P14" s="116"/>
      <c r="Q14" s="358"/>
      <c r="R14" s="116"/>
      <c r="S14" s="358"/>
      <c r="T14" s="116"/>
      <c r="U14" s="358"/>
      <c r="V14" s="116"/>
      <c r="W14" s="358"/>
      <c r="X14" s="116"/>
      <c r="Y14" s="118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2:37" customFormat="1">
      <c r="B15" s="17"/>
      <c r="C15" s="17"/>
      <c r="D15" s="25"/>
      <c r="E15" s="360"/>
      <c r="F15" s="17"/>
      <c r="G15" s="360"/>
      <c r="H15" s="17"/>
      <c r="I15" s="360"/>
      <c r="J15" s="17"/>
      <c r="K15" s="360"/>
      <c r="L15" s="17"/>
      <c r="M15" s="360"/>
      <c r="N15" s="17"/>
      <c r="O15" s="360"/>
      <c r="P15" s="17"/>
      <c r="Q15" s="360"/>
      <c r="R15" s="17"/>
      <c r="S15" s="360"/>
      <c r="T15" s="17"/>
      <c r="U15" s="360"/>
      <c r="V15" s="17"/>
      <c r="W15" s="360"/>
      <c r="X15" s="17"/>
      <c r="Y15" s="17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2:37" s="20" customFormat="1" ht="17.25" customHeight="1">
      <c r="B16" s="18" t="s">
        <v>172</v>
      </c>
      <c r="C16" s="19"/>
      <c r="D16" s="26"/>
      <c r="E16" s="361"/>
      <c r="F16" s="66"/>
      <c r="G16" s="361"/>
      <c r="H16" s="66"/>
      <c r="I16" s="361"/>
      <c r="J16" s="66"/>
      <c r="K16" s="361"/>
      <c r="L16" s="66"/>
      <c r="M16" s="361"/>
      <c r="N16" s="67"/>
      <c r="O16" s="361"/>
      <c r="P16"/>
      <c r="Q16" s="361"/>
      <c r="R16"/>
      <c r="S16" s="361"/>
      <c r="T16"/>
      <c r="U16" s="361"/>
      <c r="V16"/>
      <c r="W16" s="361"/>
      <c r="Z16" s="230">
        <f>SUM(Z$4:Z15)</f>
        <v>824192</v>
      </c>
      <c r="AA16" s="230">
        <f>SUM(AA$4:AA15)</f>
        <v>832666.5</v>
      </c>
      <c r="AB16" s="230">
        <f>SUM(AB$4:AB15)</f>
        <v>672727.5</v>
      </c>
      <c r="AC16" s="230">
        <f>SUM(AC$4:AC15)</f>
        <v>649312</v>
      </c>
      <c r="AD16" s="230">
        <f>SUM(AD$4:AD15)</f>
        <v>683204</v>
      </c>
      <c r="AE16" s="230">
        <f>SUM(AE$4:AE15)</f>
        <v>613027</v>
      </c>
      <c r="AF16" s="230">
        <f>SUM(AF$4:AF15)</f>
        <v>622388</v>
      </c>
      <c r="AG16" s="230">
        <f>SUM(AG$4:AG15)</f>
        <v>614463</v>
      </c>
      <c r="AH16" s="230">
        <f>SUM(AH$4:AH15)</f>
        <v>586771</v>
      </c>
      <c r="AI16" s="230">
        <f>SUM(AI$4:AI15)</f>
        <v>0</v>
      </c>
    </row>
    <row r="17" spans="2:37" s="20" customFormat="1" ht="17.25" customHeight="1">
      <c r="B17" s="317"/>
      <c r="C17" s="19"/>
      <c r="D17" s="26"/>
      <c r="E17" s="361"/>
      <c r="F17" s="66"/>
      <c r="G17" s="361"/>
      <c r="H17" s="66"/>
      <c r="I17" s="361"/>
      <c r="J17" s="66"/>
      <c r="K17" s="361"/>
      <c r="L17" s="66"/>
      <c r="M17" s="361"/>
      <c r="N17" s="67"/>
      <c r="O17" s="361"/>
      <c r="P17"/>
      <c r="Q17" s="361"/>
      <c r="R17"/>
      <c r="S17" s="361"/>
      <c r="T17"/>
      <c r="U17" s="361"/>
      <c r="V17"/>
      <c r="W17" s="361"/>
    </row>
    <row r="18" spans="2:37" s="20" customFormat="1" ht="21" customHeight="1">
      <c r="B18" s="318" t="s">
        <v>173</v>
      </c>
      <c r="C18" s="19"/>
      <c r="D18" s="26"/>
      <c r="E18" s="362"/>
      <c r="F18" s="319"/>
      <c r="G18" s="362"/>
      <c r="H18" s="319"/>
      <c r="I18" s="362"/>
      <c r="J18" s="319"/>
      <c r="K18" s="362"/>
      <c r="L18" s="319"/>
      <c r="M18" s="362"/>
      <c r="N18" s="67"/>
      <c r="O18" s="362"/>
      <c r="P18"/>
      <c r="Q18" s="362"/>
      <c r="R18"/>
      <c r="S18" s="362"/>
      <c r="T18"/>
      <c r="U18" s="362"/>
      <c r="V18"/>
      <c r="W18" s="362"/>
      <c r="Z18" s="229">
        <v>635911</v>
      </c>
      <c r="AA18" s="229">
        <v>579895</v>
      </c>
      <c r="AB18" s="229">
        <v>550990</v>
      </c>
      <c r="AC18" s="229">
        <v>554502</v>
      </c>
      <c r="AD18" s="229">
        <v>576081</v>
      </c>
      <c r="AE18" s="229">
        <v>515502</v>
      </c>
      <c r="AF18" s="229">
        <v>522707</v>
      </c>
      <c r="AG18" s="229">
        <f>614463-107616</f>
        <v>506847</v>
      </c>
      <c r="AH18" s="228">
        <f>AH16-AH19</f>
        <v>495857</v>
      </c>
      <c r="AI18" s="229"/>
      <c r="AJ18" s="371"/>
      <c r="AK18" s="371"/>
    </row>
    <row r="19" spans="2:37" s="20" customFormat="1" ht="17.25" customHeight="1">
      <c r="B19" s="318" t="s">
        <v>174</v>
      </c>
      <c r="C19" s="19"/>
      <c r="D19" s="26"/>
      <c r="E19" s="362"/>
      <c r="F19" s="319"/>
      <c r="G19" s="362"/>
      <c r="H19" s="319"/>
      <c r="I19" s="362"/>
      <c r="J19" s="319"/>
      <c r="K19" s="362"/>
      <c r="L19" s="319"/>
      <c r="M19" s="362"/>
      <c r="N19" s="67"/>
      <c r="O19" s="362"/>
      <c r="P19"/>
      <c r="Q19" s="362"/>
      <c r="R19"/>
      <c r="S19" s="362"/>
      <c r="T19"/>
      <c r="U19" s="362"/>
      <c r="V19"/>
      <c r="W19" s="362"/>
      <c r="Z19" s="229">
        <v>188281</v>
      </c>
      <c r="AA19" s="229">
        <v>252772</v>
      </c>
      <c r="AB19" s="229">
        <v>121738</v>
      </c>
      <c r="AC19" s="229">
        <v>94810</v>
      </c>
      <c r="AD19" s="229">
        <v>107123</v>
      </c>
      <c r="AE19" s="229">
        <v>97525</v>
      </c>
      <c r="AF19" s="229">
        <v>99681</v>
      </c>
      <c r="AG19" s="229">
        <v>107616</v>
      </c>
      <c r="AH19" s="228">
        <v>90914</v>
      </c>
      <c r="AI19" s="229"/>
      <c r="AJ19" s="371"/>
      <c r="AK19" s="371"/>
    </row>
    <row r="20" spans="2:37" s="20" customFormat="1" ht="17.25" customHeight="1">
      <c r="B20" s="318" t="s">
        <v>175</v>
      </c>
      <c r="C20" s="19"/>
      <c r="D20" s="26"/>
      <c r="E20" s="362"/>
      <c r="F20" s="319"/>
      <c r="G20" s="362"/>
      <c r="H20" s="319"/>
      <c r="I20" s="362"/>
      <c r="J20" s="319"/>
      <c r="K20" s="362"/>
      <c r="L20" s="319"/>
      <c r="M20" s="362"/>
      <c r="N20" s="67"/>
      <c r="O20" s="362"/>
      <c r="P20"/>
      <c r="Q20" s="362"/>
      <c r="R20"/>
      <c r="S20" s="362"/>
      <c r="T20"/>
      <c r="U20" s="362"/>
      <c r="V20"/>
      <c r="W20" s="362"/>
      <c r="Z20" s="230">
        <f>SUM(Z18:Z19)</f>
        <v>824192</v>
      </c>
      <c r="AA20" s="230">
        <f t="shared" ref="AA20:AI20" si="0">SUM(AA18:AA19)</f>
        <v>832667</v>
      </c>
      <c r="AB20" s="230">
        <f t="shared" si="0"/>
        <v>672728</v>
      </c>
      <c r="AC20" s="230">
        <f t="shared" si="0"/>
        <v>649312</v>
      </c>
      <c r="AD20" s="230">
        <f t="shared" si="0"/>
        <v>683204</v>
      </c>
      <c r="AE20" s="230">
        <f t="shared" si="0"/>
        <v>613027</v>
      </c>
      <c r="AF20" s="230">
        <f t="shared" si="0"/>
        <v>622388</v>
      </c>
      <c r="AG20" s="230">
        <f t="shared" si="0"/>
        <v>614463</v>
      </c>
      <c r="AH20" s="320">
        <f t="shared" si="0"/>
        <v>586771</v>
      </c>
      <c r="AI20" s="320">
        <f t="shared" si="0"/>
        <v>0</v>
      </c>
    </row>
    <row r="21" spans="2:37" ht="13.5" customHeight="1" thickBot="1">
      <c r="B21" s="21" t="s">
        <v>0</v>
      </c>
      <c r="C21" s="21"/>
      <c r="D21" s="27" t="s">
        <v>0</v>
      </c>
      <c r="E21" s="363" t="s">
        <v>0</v>
      </c>
      <c r="F21" s="22" t="s">
        <v>0</v>
      </c>
      <c r="G21" s="363" t="s">
        <v>0</v>
      </c>
      <c r="H21" s="22" t="s">
        <v>0</v>
      </c>
      <c r="I21" s="363" t="s">
        <v>0</v>
      </c>
      <c r="J21" s="22" t="s">
        <v>0</v>
      </c>
      <c r="K21" s="363" t="s">
        <v>0</v>
      </c>
      <c r="L21" s="22" t="s">
        <v>0</v>
      </c>
      <c r="M21" s="363"/>
      <c r="N21" s="22"/>
      <c r="O21" s="363"/>
      <c r="P21" s="22"/>
      <c r="Q21" s="363"/>
      <c r="R21" s="22"/>
      <c r="S21" s="363"/>
      <c r="T21" s="22"/>
      <c r="U21" s="363"/>
      <c r="V21" s="22"/>
      <c r="W21" s="363"/>
      <c r="X21" s="22"/>
      <c r="Y21" s="22"/>
      <c r="Z21" s="44" t="s">
        <v>0</v>
      </c>
      <c r="AA21" s="44" t="s">
        <v>0</v>
      </c>
      <c r="AB21" s="44" t="s">
        <v>0</v>
      </c>
      <c r="AC21" s="44" t="s">
        <v>0</v>
      </c>
      <c r="AD21" s="44" t="s">
        <v>0</v>
      </c>
      <c r="AE21" s="44" t="s">
        <v>0</v>
      </c>
      <c r="AF21" s="44" t="s">
        <v>0</v>
      </c>
      <c r="AG21" s="44" t="s">
        <v>0</v>
      </c>
      <c r="AH21" s="44" t="s">
        <v>0</v>
      </c>
      <c r="AI21" s="44" t="s">
        <v>0</v>
      </c>
    </row>
    <row r="22" spans="2:37" customFormat="1" ht="21.75" customHeight="1">
      <c r="B22" s="48" t="s">
        <v>24</v>
      </c>
      <c r="C22" s="30"/>
      <c r="D22" s="31"/>
      <c r="E22" s="364"/>
      <c r="F22" s="30"/>
      <c r="G22" s="364"/>
      <c r="H22" s="30"/>
      <c r="I22" s="364"/>
      <c r="J22" s="30"/>
      <c r="K22" s="364"/>
      <c r="L22" s="30"/>
      <c r="M22" s="364"/>
      <c r="N22" s="30"/>
      <c r="O22" s="364"/>
      <c r="P22" s="30"/>
      <c r="Q22" s="364"/>
      <c r="R22" s="30"/>
      <c r="S22" s="364"/>
      <c r="T22" s="30"/>
      <c r="U22" s="364"/>
      <c r="V22" s="30"/>
      <c r="W22" s="364"/>
      <c r="X22" s="30"/>
      <c r="Y22" s="65"/>
      <c r="Z22" s="45"/>
      <c r="AA22" s="45"/>
      <c r="AB22" s="192"/>
      <c r="AC22" s="192"/>
      <c r="AD22" s="46"/>
      <c r="AE22" s="46"/>
      <c r="AF22" s="46"/>
      <c r="AG22" s="46"/>
      <c r="AH22" s="46"/>
      <c r="AI22" s="46"/>
    </row>
    <row r="23" spans="2:37" customFormat="1">
      <c r="B23" s="116" t="s">
        <v>128</v>
      </c>
      <c r="C23" s="116" t="s">
        <v>22</v>
      </c>
      <c r="D23" s="117">
        <v>9</v>
      </c>
      <c r="E23" s="369">
        <v>1150</v>
      </c>
      <c r="F23" s="116" t="s">
        <v>21</v>
      </c>
      <c r="G23" s="369">
        <v>1175</v>
      </c>
      <c r="H23" s="116" t="s">
        <v>21</v>
      </c>
      <c r="I23" s="369">
        <v>1300</v>
      </c>
      <c r="J23" s="116" t="s">
        <v>21</v>
      </c>
      <c r="K23" s="369">
        <v>1350</v>
      </c>
      <c r="L23" s="116" t="s">
        <v>21</v>
      </c>
      <c r="M23" s="369">
        <v>1375</v>
      </c>
      <c r="N23" s="116" t="s">
        <v>21</v>
      </c>
      <c r="O23" s="367">
        <v>1410</v>
      </c>
      <c r="P23" s="116" t="s">
        <v>21</v>
      </c>
      <c r="Q23" s="367"/>
      <c r="R23" s="116" t="s">
        <v>21</v>
      </c>
      <c r="S23" s="367"/>
      <c r="T23" s="116" t="s">
        <v>21</v>
      </c>
      <c r="U23" s="367"/>
      <c r="V23" s="116"/>
      <c r="W23" s="368"/>
      <c r="X23" s="28"/>
      <c r="Y23" s="118"/>
      <c r="Z23" s="229">
        <v>319880</v>
      </c>
      <c r="AA23" s="229">
        <v>327078</v>
      </c>
      <c r="AB23" s="229">
        <v>405667</v>
      </c>
      <c r="AC23" s="229">
        <v>441435</v>
      </c>
      <c r="AD23" s="229">
        <v>493410</v>
      </c>
      <c r="AE23" s="229">
        <v>465778</v>
      </c>
      <c r="AF23" s="229">
        <v>445624</v>
      </c>
      <c r="AG23" s="229">
        <v>487337</v>
      </c>
      <c r="AH23" s="228">
        <v>439264</v>
      </c>
      <c r="AI23" s="229"/>
    </row>
    <row r="24" spans="2:37" customFormat="1">
      <c r="B24" s="116" t="s">
        <v>129</v>
      </c>
      <c r="C24" s="116" t="s">
        <v>22</v>
      </c>
      <c r="D24" s="117">
        <v>9</v>
      </c>
      <c r="E24" s="369">
        <v>1250</v>
      </c>
      <c r="F24" s="116" t="s">
        <v>21</v>
      </c>
      <c r="G24" s="369">
        <v>1275</v>
      </c>
      <c r="H24" s="116" t="s">
        <v>21</v>
      </c>
      <c r="I24" s="369">
        <v>1300</v>
      </c>
      <c r="J24" s="116" t="s">
        <v>21</v>
      </c>
      <c r="K24" s="369">
        <v>1450</v>
      </c>
      <c r="L24" s="116" t="s">
        <v>21</v>
      </c>
      <c r="M24" s="369">
        <v>1350</v>
      </c>
      <c r="N24" s="116" t="s">
        <v>21</v>
      </c>
      <c r="O24" s="367">
        <v>1385</v>
      </c>
      <c r="P24" s="116" t="s">
        <v>21</v>
      </c>
      <c r="Q24" s="367"/>
      <c r="R24" s="116" t="s">
        <v>21</v>
      </c>
      <c r="S24" s="367"/>
      <c r="T24" s="116" t="s">
        <v>21</v>
      </c>
      <c r="U24" s="367"/>
      <c r="V24" s="116"/>
      <c r="W24" s="367"/>
      <c r="X24" s="116"/>
      <c r="Y24" s="118"/>
      <c r="Z24" s="229">
        <v>108610</v>
      </c>
      <c r="AA24" s="229">
        <v>96908</v>
      </c>
      <c r="AB24" s="229">
        <v>80701</v>
      </c>
      <c r="AC24" s="229">
        <v>108799</v>
      </c>
      <c r="AD24" s="229">
        <v>142845</v>
      </c>
      <c r="AE24" s="229">
        <v>155945</v>
      </c>
      <c r="AF24" s="229">
        <v>131180</v>
      </c>
      <c r="AG24" s="229">
        <v>112334</v>
      </c>
      <c r="AH24" s="228">
        <v>137097</v>
      </c>
      <c r="AI24" s="229"/>
    </row>
    <row r="25" spans="2:37" customFormat="1">
      <c r="B25" s="116" t="s">
        <v>130</v>
      </c>
      <c r="C25" s="116" t="s">
        <v>22</v>
      </c>
      <c r="D25" s="117">
        <v>9</v>
      </c>
      <c r="E25" s="369">
        <v>1350</v>
      </c>
      <c r="F25" s="116" t="s">
        <v>21</v>
      </c>
      <c r="G25" s="369">
        <v>1375</v>
      </c>
      <c r="H25" s="116" t="s">
        <v>21</v>
      </c>
      <c r="I25" s="369">
        <v>1400</v>
      </c>
      <c r="J25" s="116" t="s">
        <v>21</v>
      </c>
      <c r="K25" s="369">
        <v>1325</v>
      </c>
      <c r="L25" s="116" t="s">
        <v>21</v>
      </c>
      <c r="M25" s="369">
        <v>1475</v>
      </c>
      <c r="N25" s="116" t="s">
        <v>21</v>
      </c>
      <c r="O25" s="367">
        <v>1510</v>
      </c>
      <c r="P25" s="116" t="s">
        <v>21</v>
      </c>
      <c r="Q25" s="367"/>
      <c r="R25" s="116" t="s">
        <v>21</v>
      </c>
      <c r="S25" s="367"/>
      <c r="T25" s="116" t="s">
        <v>21</v>
      </c>
      <c r="U25" s="367"/>
      <c r="V25" s="116"/>
      <c r="W25" s="367"/>
      <c r="X25" s="116"/>
      <c r="Y25" s="118"/>
      <c r="Z25" s="229">
        <v>321183</v>
      </c>
      <c r="AA25" s="229">
        <v>332475</v>
      </c>
      <c r="AB25" s="229">
        <v>324273.62</v>
      </c>
      <c r="AC25" s="229">
        <v>321251</v>
      </c>
      <c r="AD25" s="229">
        <v>298998</v>
      </c>
      <c r="AE25" s="229">
        <v>283214</v>
      </c>
      <c r="AF25" s="229">
        <v>304858</v>
      </c>
      <c r="AG25" s="229">
        <v>264544</v>
      </c>
      <c r="AH25" s="228">
        <v>260324</v>
      </c>
      <c r="AI25" s="229"/>
    </row>
    <row r="26" spans="2:37" customFormat="1">
      <c r="B26" s="116" t="s">
        <v>131</v>
      </c>
      <c r="C26" s="116" t="s">
        <v>22</v>
      </c>
      <c r="D26" s="117">
        <v>9</v>
      </c>
      <c r="E26" s="369">
        <v>1425</v>
      </c>
      <c r="F26" s="116" t="s">
        <v>21</v>
      </c>
      <c r="G26" s="369">
        <v>1415</v>
      </c>
      <c r="H26" s="116" t="s">
        <v>21</v>
      </c>
      <c r="I26" s="369">
        <v>1450</v>
      </c>
      <c r="J26" s="116" t="s">
        <v>21</v>
      </c>
      <c r="K26" s="369">
        <v>1500</v>
      </c>
      <c r="L26" s="116" t="s">
        <v>21</v>
      </c>
      <c r="M26" s="369">
        <v>1525</v>
      </c>
      <c r="N26" s="116" t="s">
        <v>21</v>
      </c>
      <c r="O26" s="367">
        <v>1540</v>
      </c>
      <c r="P26" s="116" t="s">
        <v>21</v>
      </c>
      <c r="Q26" s="367"/>
      <c r="R26" s="116" t="s">
        <v>21</v>
      </c>
      <c r="S26" s="367"/>
      <c r="T26" s="116" t="s">
        <v>21</v>
      </c>
      <c r="U26" s="367"/>
      <c r="V26" s="116"/>
      <c r="W26" s="367"/>
      <c r="X26" s="116"/>
      <c r="Y26" s="118"/>
      <c r="Z26" s="229">
        <v>402669</v>
      </c>
      <c r="AA26" s="229">
        <v>383672</v>
      </c>
      <c r="AB26" s="229">
        <v>446543.5</v>
      </c>
      <c r="AC26" s="229">
        <v>501847</v>
      </c>
      <c r="AD26" s="229">
        <v>568346</v>
      </c>
      <c r="AE26" s="229">
        <v>517918</v>
      </c>
      <c r="AF26" s="229">
        <v>492269</v>
      </c>
      <c r="AG26" s="229">
        <v>521309</v>
      </c>
      <c r="AH26" s="228">
        <v>471967</v>
      </c>
      <c r="AI26" s="229"/>
    </row>
    <row r="27" spans="2:37" customFormat="1">
      <c r="B27" s="116" t="s">
        <v>132</v>
      </c>
      <c r="C27" s="116" t="s">
        <v>22</v>
      </c>
      <c r="D27" s="117">
        <v>9</v>
      </c>
      <c r="E27" s="369">
        <v>660</v>
      </c>
      <c r="F27" s="116" t="s">
        <v>21</v>
      </c>
      <c r="G27" s="369">
        <v>1205</v>
      </c>
      <c r="H27" s="116" t="s">
        <v>21</v>
      </c>
      <c r="I27" s="369">
        <v>1375</v>
      </c>
      <c r="J27" s="116" t="s">
        <v>21</v>
      </c>
      <c r="K27" s="369">
        <v>1500</v>
      </c>
      <c r="L27" s="116" t="s">
        <v>21</v>
      </c>
      <c r="M27" s="369">
        <v>1525</v>
      </c>
      <c r="N27" s="116" t="s">
        <v>21</v>
      </c>
      <c r="O27" s="367">
        <v>1540</v>
      </c>
      <c r="P27" s="116" t="s">
        <v>21</v>
      </c>
      <c r="Q27" s="367"/>
      <c r="R27" s="116" t="s">
        <v>21</v>
      </c>
      <c r="S27" s="367"/>
      <c r="T27" s="116" t="s">
        <v>21</v>
      </c>
      <c r="U27" s="367"/>
      <c r="V27" s="116"/>
      <c r="W27" s="367"/>
      <c r="X27" s="116"/>
      <c r="Y27" s="118"/>
      <c r="Z27" s="229">
        <v>248733</v>
      </c>
      <c r="AA27" s="229">
        <v>367620</v>
      </c>
      <c r="AB27" s="229">
        <v>357525</v>
      </c>
      <c r="AC27" s="229">
        <v>397761</v>
      </c>
      <c r="AD27" s="229">
        <v>443301</v>
      </c>
      <c r="AE27" s="229">
        <v>362626</v>
      </c>
      <c r="AF27" s="229">
        <v>464221</v>
      </c>
      <c r="AG27" s="229">
        <v>382613</v>
      </c>
      <c r="AH27" s="228">
        <v>392044</v>
      </c>
      <c r="AI27" s="229"/>
    </row>
    <row r="28" spans="2:37" s="177" customFormat="1">
      <c r="B28" s="47"/>
      <c r="C28" s="28"/>
      <c r="D28" s="29"/>
      <c r="E28" s="365"/>
      <c r="F28" s="28"/>
      <c r="G28" s="365"/>
      <c r="H28" s="28"/>
      <c r="I28" s="365"/>
      <c r="J28" s="28"/>
      <c r="K28" s="365"/>
      <c r="L28" s="28"/>
      <c r="M28" s="365"/>
      <c r="N28" s="28"/>
      <c r="O28" s="368"/>
      <c r="P28" s="28"/>
      <c r="Q28" s="368"/>
      <c r="R28" s="28"/>
      <c r="S28" s="368"/>
      <c r="T28" s="28"/>
      <c r="U28" s="368"/>
      <c r="V28" s="28"/>
      <c r="W28" s="368"/>
      <c r="X28" s="28"/>
      <c r="Y28" s="63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</row>
    <row r="29" spans="2:37" s="177" customFormat="1">
      <c r="B29" s="47"/>
      <c r="C29" s="28"/>
      <c r="D29" s="29"/>
      <c r="E29" s="365"/>
      <c r="F29" s="28"/>
      <c r="G29" s="365"/>
      <c r="H29" s="28"/>
      <c r="I29" s="365"/>
      <c r="J29" s="28"/>
      <c r="K29" s="365"/>
      <c r="L29" s="28"/>
      <c r="M29" s="365"/>
      <c r="N29" s="28"/>
      <c r="O29" s="368"/>
      <c r="P29" s="28"/>
      <c r="Q29" s="368"/>
      <c r="R29" s="28"/>
      <c r="S29" s="368"/>
      <c r="T29" s="28"/>
      <c r="U29" s="368"/>
      <c r="V29" s="28"/>
      <c r="W29" s="368"/>
      <c r="X29" s="28"/>
      <c r="Y29" s="63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</row>
    <row r="30" spans="2:37" s="177" customFormat="1">
      <c r="B30" s="47"/>
      <c r="C30" s="28"/>
      <c r="D30" s="29"/>
      <c r="E30" s="365"/>
      <c r="F30" s="28"/>
      <c r="G30" s="365"/>
      <c r="H30" s="28"/>
      <c r="I30" s="365"/>
      <c r="J30" s="28"/>
      <c r="K30" s="365"/>
      <c r="L30" s="28"/>
      <c r="M30" s="365"/>
      <c r="N30" s="28"/>
      <c r="O30" s="368"/>
      <c r="P30" s="28"/>
      <c r="Q30" s="368"/>
      <c r="R30" s="28"/>
      <c r="S30" s="368"/>
      <c r="T30" s="28"/>
      <c r="U30" s="368"/>
      <c r="V30" s="28"/>
      <c r="W30" s="368"/>
      <c r="X30" s="28"/>
      <c r="Y30" s="63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</row>
    <row r="31" spans="2:37" s="177" customFormat="1">
      <c r="B31" s="47"/>
      <c r="C31" s="28"/>
      <c r="D31" s="29"/>
      <c r="E31" s="365"/>
      <c r="F31" s="28"/>
      <c r="G31" s="365"/>
      <c r="H31" s="28"/>
      <c r="I31" s="365"/>
      <c r="J31" s="28"/>
      <c r="K31" s="365"/>
      <c r="L31" s="28"/>
      <c r="M31" s="365"/>
      <c r="N31" s="28"/>
      <c r="O31" s="368"/>
      <c r="P31" s="28"/>
      <c r="Q31" s="368"/>
      <c r="R31" s="28"/>
      <c r="S31" s="368"/>
      <c r="T31" s="28"/>
      <c r="U31" s="368"/>
      <c r="V31" s="28"/>
      <c r="W31" s="368"/>
      <c r="X31" s="28"/>
      <c r="Y31" s="63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</row>
    <row r="32" spans="2:37">
      <c r="B32" s="176" t="s">
        <v>121</v>
      </c>
      <c r="C32" s="119"/>
      <c r="D32" s="120"/>
      <c r="E32" s="366"/>
      <c r="F32" s="119"/>
      <c r="G32" s="366"/>
      <c r="H32" s="119"/>
      <c r="I32" s="366"/>
      <c r="J32" s="119"/>
      <c r="K32" s="366"/>
      <c r="L32" s="119"/>
      <c r="M32" s="366"/>
      <c r="N32" s="119"/>
      <c r="O32" s="367"/>
      <c r="P32" s="119"/>
      <c r="Q32" s="367"/>
      <c r="R32" s="119"/>
      <c r="S32" s="367"/>
      <c r="T32" s="119"/>
      <c r="U32" s="366"/>
      <c r="V32" s="119"/>
      <c r="W32" s="366"/>
      <c r="X32" s="119"/>
      <c r="Y32" s="121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2:35">
      <c r="B33" s="123"/>
      <c r="E33" s="124"/>
      <c r="G33" s="124"/>
      <c r="I33" s="124"/>
      <c r="K33" s="124"/>
      <c r="M33" s="124"/>
      <c r="O33" s="124"/>
      <c r="Q33" s="124"/>
      <c r="S33" s="124"/>
      <c r="U33" s="124"/>
      <c r="W33" s="124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2:35" s="127" customFormat="1" ht="30.75" customHeight="1">
      <c r="B34" s="126"/>
      <c r="D34" s="128"/>
      <c r="E34" s="463" t="str">
        <f>E2&amp;" Comments"</f>
        <v>2013-14 Comments</v>
      </c>
      <c r="F34" s="464"/>
      <c r="G34" s="463" t="str">
        <f>G2&amp;" Comments"</f>
        <v>2014-15 Comments</v>
      </c>
      <c r="H34" s="464"/>
      <c r="I34" s="463" t="str">
        <f>I2&amp;" Comments"</f>
        <v>2015-16 Comments</v>
      </c>
      <c r="J34" s="464"/>
      <c r="K34" s="463" t="str">
        <f>K2&amp;" Comments"</f>
        <v>2016-17 Comments</v>
      </c>
      <c r="L34" s="464"/>
      <c r="M34" s="463" t="str">
        <f>M2&amp;" Comments"</f>
        <v>2017-18 Comments</v>
      </c>
      <c r="N34" s="464"/>
      <c r="O34" s="463" t="str">
        <f>O2&amp;" Comments"</f>
        <v>2018-19 Comments</v>
      </c>
      <c r="P34" s="464"/>
      <c r="Q34" s="463" t="str">
        <f>Q2&amp;" Comments"</f>
        <v>2019-20 Comments</v>
      </c>
      <c r="R34" s="464"/>
      <c r="S34" s="463" t="str">
        <f>S2&amp;" Comments"</f>
        <v>2020-21 Comments</v>
      </c>
      <c r="T34" s="464"/>
      <c r="U34" s="463" t="str">
        <f>U2&amp;" Comments"</f>
        <v>2021-22 Comments</v>
      </c>
      <c r="V34" s="464"/>
      <c r="W34" s="463" t="str">
        <f>W2&amp;" Comments"</f>
        <v>2022-23 Comments</v>
      </c>
      <c r="X34" s="464"/>
      <c r="Y34" s="16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</row>
    <row r="35" spans="2:35" ht="154.5" customHeight="1">
      <c r="B35" s="125"/>
      <c r="C35" s="125"/>
      <c r="D35" s="269"/>
      <c r="E35" s="461"/>
      <c r="F35" s="462"/>
      <c r="G35" s="461"/>
      <c r="H35" s="462"/>
      <c r="I35" s="461"/>
      <c r="J35" s="462"/>
      <c r="K35" s="461"/>
      <c r="L35" s="462"/>
      <c r="M35" s="461"/>
      <c r="N35" s="462"/>
      <c r="O35" s="461"/>
      <c r="P35" s="462"/>
      <c r="Q35" s="461" t="s">
        <v>171</v>
      </c>
      <c r="R35" s="462"/>
      <c r="S35" s="461"/>
      <c r="T35" s="462"/>
      <c r="U35" s="467"/>
      <c r="V35" s="468"/>
      <c r="W35" s="465" t="s">
        <v>199</v>
      </c>
      <c r="X35" s="466"/>
      <c r="Y35" s="170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</row>
    <row r="37" spans="2:35">
      <c r="B37" s="23"/>
    </row>
  </sheetData>
  <sheetProtection formatColumns="0" formatRows="0" insertRows="0"/>
  <mergeCells count="32">
    <mergeCell ref="W34:X34"/>
    <mergeCell ref="W35:X35"/>
    <mergeCell ref="Q34:R34"/>
    <mergeCell ref="Q35:R35"/>
    <mergeCell ref="S34:T34"/>
    <mergeCell ref="S35:T35"/>
    <mergeCell ref="U34:V34"/>
    <mergeCell ref="U35:V35"/>
    <mergeCell ref="K34:L34"/>
    <mergeCell ref="K35:L35"/>
    <mergeCell ref="M34:N34"/>
    <mergeCell ref="M35:N35"/>
    <mergeCell ref="O34:P34"/>
    <mergeCell ref="O35:P35"/>
    <mergeCell ref="E35:F35"/>
    <mergeCell ref="E34:F34"/>
    <mergeCell ref="G34:H34"/>
    <mergeCell ref="G35:H35"/>
    <mergeCell ref="I34:J34"/>
    <mergeCell ref="I35:J35"/>
    <mergeCell ref="E1:X1"/>
    <mergeCell ref="Z1:AI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dataValidations count="6">
    <dataValidation type="list" allowBlank="1" showInputMessage="1" showErrorMessage="1" sqref="J14 H14 F14 L14 N14 P14 R14 T14 V14 X14:Y14" xr:uid="{00000000-0002-0000-0100-000000000000}">
      <formula1>fee_unit</formula1>
    </dataValidation>
    <dataValidation type="decimal" operator="greaterThanOrEqual" allowBlank="1" showInputMessage="1" showErrorMessage="1" errorTitle="data type error" error="value must be number greater or equal to 0" sqref="K23:K27 M4:M13 D22:E31 G22:G31 I22:I31 Z22:AI33 G4:G13 Z4:AI13 K4:K13 S4:S13 Q4:Q13 O4:O13 U4:U13 D4:E13 I4:I13 W4:W13 Z15:AI16 Z18:AI20" xr:uid="{00000000-0002-0000-0100-000001000000}">
      <formula1>0</formula1>
    </dataValidation>
    <dataValidation type="list" allowBlank="1" showInputMessage="1" showErrorMessage="1" sqref="C14" xr:uid="{00000000-0002-0000-0100-000002000000}">
      <formula1>rev_class</formula1>
    </dataValidation>
    <dataValidation type="decimal" operator="greaterThanOrEqual" allowBlank="1" showInputMessage="1" showErrorMessage="1" errorTitle="Data Type Error" error="Value must be a number greater than or equal to 0." sqref="Z14:AI14" xr:uid="{00000000-0002-0000-0100-000003000000}">
      <formula1>0</formula1>
    </dataValidation>
    <dataValidation type="list" allowBlank="1" showInputMessage="1" showErrorMessage="1" sqref="L23:L31 F22:F31 X4:Y13 M28:N31 J22:J31 H22:H31 N23:N27 L4:L13 H4:H13 J4:J13 V4:V13 T4:T13 R4:R13 P4:P13 F4:F13 N4:N13 Q22 L22:O22 P22:P31 R22:R31 S22 T22:T31 U22 V22:V31 X22:Y31 W22" xr:uid="{00000000-0002-0000-0100-000004000000}">
      <formula1>"SCH, QCH, SEM, SES, APP, DAY, EACH, MO, ONCE, SUM, VAR, YEAR,DSC"</formula1>
    </dataValidation>
    <dataValidation type="list" allowBlank="1" showInputMessage="1" showErrorMessage="1" sqref="C22:C31 C4:C13" xr:uid="{00000000-0002-0000-0100-000005000000}">
      <formula1>"UnresGen, UnresAuxOprt, Restrct"</formula1>
    </dataValidation>
  </dataValidations>
  <pageMargins left="0.3" right="0.3" top="0.75" bottom="0.3" header="0.3" footer="0.25"/>
  <pageSetup scale="60" orientation="landscape" r:id="rId1"/>
  <headerFooter>
    <oddHeader>&amp;C&amp;"-,Bold"&amp;22Mid-Plains Community College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428A-9D69-4760-AEB2-8361CF67F527}">
  <sheetPr>
    <pageSetUpPr fitToPage="1"/>
  </sheetPr>
  <dimension ref="A1:BS169"/>
  <sheetViews>
    <sheetView zoomScale="85" zoomScaleNormal="85"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AZ1" sqref="AZ1"/>
    </sheetView>
  </sheetViews>
  <sheetFormatPr defaultColWidth="11.42578125" defaultRowHeight="14.25"/>
  <cols>
    <col min="1" max="1" width="62" style="92" customWidth="1"/>
    <col min="2" max="2" width="14.5703125" style="194" hidden="1" customWidth="1"/>
    <col min="3" max="11" width="14.5703125" style="191" hidden="1" customWidth="1"/>
    <col min="12" max="12" width="14.5703125" style="92" hidden="1" customWidth="1"/>
    <col min="13" max="21" width="14.5703125" style="191" hidden="1" customWidth="1"/>
    <col min="22" max="22" width="14.5703125" style="92" hidden="1" customWidth="1"/>
    <col min="23" max="31" width="14.5703125" style="191" hidden="1" customWidth="1"/>
    <col min="32" max="32" width="14.5703125" style="92" hidden="1" customWidth="1"/>
    <col min="33" max="41" width="14.5703125" style="191" hidden="1" customWidth="1"/>
    <col min="42" max="42" width="14.5703125" style="92" hidden="1" customWidth="1"/>
    <col min="43" max="51" width="14.5703125" style="191" hidden="1" customWidth="1"/>
    <col min="52" max="52" width="14.5703125" style="92" customWidth="1"/>
    <col min="53" max="61" width="14.5703125" style="191" customWidth="1"/>
    <col min="62" max="62" width="14.5703125" style="92" customWidth="1"/>
    <col min="63" max="71" width="14.5703125" style="191" customWidth="1"/>
    <col min="72" max="701" width="11.42578125" style="92"/>
    <col min="702" max="702" width="0" style="92" hidden="1" customWidth="1"/>
    <col min="703" max="16384" width="11.42578125" style="92"/>
  </cols>
  <sheetData>
    <row r="1" spans="1:71" s="84" customFormat="1" ht="15" customHeight="1" thickBot="1">
      <c r="A1" s="85"/>
      <c r="B1" s="194"/>
      <c r="C1" s="130"/>
      <c r="D1" s="130"/>
      <c r="E1" s="130"/>
      <c r="F1" s="130"/>
      <c r="G1" s="130"/>
      <c r="H1" s="130"/>
      <c r="I1" s="130"/>
      <c r="J1" s="130"/>
      <c r="K1" s="130"/>
      <c r="L1" s="85"/>
      <c r="M1" s="130"/>
      <c r="N1" s="130"/>
      <c r="O1" s="130"/>
      <c r="P1" s="130"/>
      <c r="Q1" s="130"/>
      <c r="R1" s="130"/>
      <c r="S1" s="130"/>
      <c r="T1" s="130"/>
      <c r="U1" s="130"/>
      <c r="V1" s="86"/>
      <c r="W1" s="130"/>
      <c r="X1" s="130"/>
      <c r="Y1" s="130"/>
      <c r="Z1" s="130"/>
      <c r="AA1" s="130"/>
      <c r="AB1" s="130"/>
      <c r="AC1" s="130"/>
      <c r="AD1" s="130"/>
      <c r="AE1" s="130"/>
      <c r="AF1" s="86"/>
      <c r="AG1" s="130"/>
      <c r="AH1" s="130"/>
      <c r="AI1" s="130"/>
      <c r="AJ1" s="130"/>
      <c r="AK1" s="130"/>
      <c r="AL1" s="130"/>
      <c r="AM1" s="130"/>
      <c r="AN1" s="130"/>
      <c r="AO1" s="130"/>
      <c r="AP1" s="86"/>
      <c r="AQ1" s="340"/>
      <c r="AR1" s="340"/>
      <c r="AS1" s="340"/>
      <c r="AT1" s="340"/>
      <c r="AU1" s="340"/>
      <c r="AV1" s="340"/>
      <c r="AW1" s="340"/>
      <c r="AX1" s="340"/>
      <c r="AY1" s="340"/>
      <c r="AZ1" s="86"/>
      <c r="BA1" s="340"/>
      <c r="BB1" s="340"/>
      <c r="BC1" s="340"/>
      <c r="BD1" s="340"/>
      <c r="BE1" s="340"/>
      <c r="BF1" s="340"/>
      <c r="BG1" s="340"/>
      <c r="BH1" s="340"/>
      <c r="BI1" s="340"/>
      <c r="BJ1" s="86"/>
      <c r="BK1" s="340"/>
      <c r="BL1" s="340"/>
      <c r="BM1" s="340"/>
      <c r="BN1" s="340"/>
      <c r="BO1" s="340"/>
      <c r="BP1" s="340"/>
      <c r="BQ1" s="340"/>
      <c r="BR1" s="340"/>
      <c r="BS1" s="340"/>
    </row>
    <row r="2" spans="1:71" s="88" customFormat="1" ht="18">
      <c r="A2" s="87"/>
      <c r="B2" s="498" t="s">
        <v>84</v>
      </c>
      <c r="C2" s="499"/>
      <c r="D2" s="499"/>
      <c r="E2" s="499"/>
      <c r="F2" s="499"/>
      <c r="G2" s="499"/>
      <c r="H2" s="499"/>
      <c r="I2" s="499"/>
      <c r="J2" s="499"/>
      <c r="K2" s="307"/>
      <c r="L2" s="500" t="s">
        <v>81</v>
      </c>
      <c r="M2" s="501"/>
      <c r="N2" s="501"/>
      <c r="O2" s="501"/>
      <c r="P2" s="501"/>
      <c r="Q2" s="501"/>
      <c r="R2" s="501"/>
      <c r="S2" s="501"/>
      <c r="T2" s="501"/>
      <c r="U2" s="308"/>
      <c r="V2" s="502" t="s">
        <v>80</v>
      </c>
      <c r="W2" s="503"/>
      <c r="X2" s="503"/>
      <c r="Y2" s="503"/>
      <c r="Z2" s="503"/>
      <c r="AA2" s="503"/>
      <c r="AB2" s="503"/>
      <c r="AC2" s="503"/>
      <c r="AD2" s="503"/>
      <c r="AE2" s="309"/>
      <c r="AF2" s="504" t="s">
        <v>85</v>
      </c>
      <c r="AG2" s="505"/>
      <c r="AH2" s="505"/>
      <c r="AI2" s="505"/>
      <c r="AJ2" s="505"/>
      <c r="AK2" s="505"/>
      <c r="AL2" s="505"/>
      <c r="AM2" s="505"/>
      <c r="AN2" s="505"/>
      <c r="AO2" s="312"/>
      <c r="AP2" s="506" t="s">
        <v>86</v>
      </c>
      <c r="AQ2" s="507"/>
      <c r="AR2" s="507"/>
      <c r="AS2" s="507"/>
      <c r="AT2" s="507"/>
      <c r="AU2" s="507"/>
      <c r="AV2" s="507"/>
      <c r="AW2" s="507"/>
      <c r="AX2" s="507"/>
      <c r="AY2" s="508"/>
      <c r="AZ2" s="509" t="s">
        <v>88</v>
      </c>
      <c r="BA2" s="510"/>
      <c r="BB2" s="510"/>
      <c r="BC2" s="510"/>
      <c r="BD2" s="510"/>
      <c r="BE2" s="510"/>
      <c r="BF2" s="510"/>
      <c r="BG2" s="510"/>
      <c r="BH2" s="510"/>
      <c r="BI2" s="511"/>
      <c r="BJ2" s="488" t="s">
        <v>89</v>
      </c>
      <c r="BK2" s="489"/>
      <c r="BL2" s="489"/>
      <c r="BM2" s="489"/>
      <c r="BN2" s="489"/>
      <c r="BO2" s="489"/>
      <c r="BP2" s="489"/>
      <c r="BQ2" s="489"/>
      <c r="BR2" s="489"/>
      <c r="BS2" s="490"/>
    </row>
    <row r="3" spans="1:71" s="84" customFormat="1">
      <c r="A3" s="89"/>
      <c r="B3" s="195"/>
      <c r="C3" s="143"/>
      <c r="D3" s="143"/>
      <c r="E3" s="143"/>
      <c r="F3" s="143"/>
      <c r="G3" s="143"/>
      <c r="H3" s="143"/>
      <c r="I3" s="143"/>
      <c r="J3" s="143"/>
      <c r="K3" s="144"/>
      <c r="L3" s="251"/>
      <c r="M3" s="252"/>
      <c r="N3" s="252"/>
      <c r="O3" s="252"/>
      <c r="P3" s="252"/>
      <c r="Q3" s="252"/>
      <c r="R3" s="252"/>
      <c r="S3" s="252"/>
      <c r="T3" s="252"/>
      <c r="U3" s="253"/>
      <c r="V3" s="242"/>
      <c r="W3" s="243"/>
      <c r="X3" s="243"/>
      <c r="Y3" s="243"/>
      <c r="Z3" s="243"/>
      <c r="AA3" s="243"/>
      <c r="AB3" s="243"/>
      <c r="AC3" s="243"/>
      <c r="AD3" s="243"/>
      <c r="AE3" s="244"/>
      <c r="AF3" s="274"/>
      <c r="AG3" s="275"/>
      <c r="AH3" s="275"/>
      <c r="AI3" s="275"/>
      <c r="AJ3" s="275"/>
      <c r="AK3" s="275"/>
      <c r="AL3" s="275"/>
      <c r="AM3" s="275"/>
      <c r="AN3" s="275"/>
      <c r="AO3" s="276"/>
      <c r="AP3" s="291"/>
      <c r="AQ3" s="292"/>
      <c r="AR3" s="292"/>
      <c r="AS3" s="292"/>
      <c r="AT3" s="292"/>
      <c r="AU3" s="292"/>
      <c r="AV3" s="292"/>
      <c r="AW3" s="292"/>
      <c r="AX3" s="292"/>
      <c r="AY3" s="293"/>
      <c r="AZ3" s="383"/>
      <c r="BA3" s="384"/>
      <c r="BB3" s="384"/>
      <c r="BC3" s="384"/>
      <c r="BD3" s="384"/>
      <c r="BE3" s="384"/>
      <c r="BF3" s="384"/>
      <c r="BG3" s="384"/>
      <c r="BH3" s="384"/>
      <c r="BI3" s="385"/>
      <c r="BJ3" s="341"/>
      <c r="BK3" s="342"/>
      <c r="BL3" s="342"/>
      <c r="BM3" s="342"/>
      <c r="BN3" s="342"/>
      <c r="BO3" s="342"/>
      <c r="BP3" s="342"/>
      <c r="BQ3" s="342"/>
      <c r="BR3" s="342"/>
      <c r="BS3" s="343"/>
    </row>
    <row r="4" spans="1:71" s="84" customFormat="1">
      <c r="A4" s="89"/>
      <c r="B4" s="195"/>
      <c r="C4" s="143"/>
      <c r="D4" s="143"/>
      <c r="E4" s="143"/>
      <c r="F4" s="143"/>
      <c r="G4" s="143"/>
      <c r="H4" s="143"/>
      <c r="I4" s="143"/>
      <c r="J4" s="143"/>
      <c r="K4" s="144"/>
      <c r="L4" s="251"/>
      <c r="M4" s="252"/>
      <c r="N4" s="252"/>
      <c r="O4" s="252"/>
      <c r="P4" s="252"/>
      <c r="Q4" s="252"/>
      <c r="R4" s="252"/>
      <c r="S4" s="252"/>
      <c r="T4" s="252"/>
      <c r="U4" s="253"/>
      <c r="V4" s="242"/>
      <c r="W4" s="243"/>
      <c r="X4" s="243"/>
      <c r="Y4" s="243"/>
      <c r="Z4" s="243"/>
      <c r="AA4" s="243"/>
      <c r="AB4" s="243"/>
      <c r="AC4" s="243"/>
      <c r="AD4" s="243"/>
      <c r="AE4" s="244"/>
      <c r="AF4" s="274"/>
      <c r="AG4" s="275"/>
      <c r="AH4" s="275"/>
      <c r="AI4" s="275"/>
      <c r="AJ4" s="275"/>
      <c r="AK4" s="275"/>
      <c r="AL4" s="275"/>
      <c r="AM4" s="275"/>
      <c r="AN4" s="275"/>
      <c r="AO4" s="276"/>
      <c r="AP4" s="291"/>
      <c r="AQ4" s="292"/>
      <c r="AR4" s="292"/>
      <c r="AS4" s="292"/>
      <c r="AT4" s="292"/>
      <c r="AU4" s="292"/>
      <c r="AV4" s="292"/>
      <c r="AW4" s="292"/>
      <c r="AX4" s="292"/>
      <c r="AY4" s="293"/>
      <c r="AZ4" s="383"/>
      <c r="BA4" s="384"/>
      <c r="BB4" s="384"/>
      <c r="BC4" s="384"/>
      <c r="BD4" s="384"/>
      <c r="BE4" s="384"/>
      <c r="BF4" s="384"/>
      <c r="BG4" s="384"/>
      <c r="BH4" s="384"/>
      <c r="BI4" s="385"/>
      <c r="BJ4" s="341"/>
      <c r="BK4" s="342"/>
      <c r="BL4" s="342"/>
      <c r="BM4" s="342"/>
      <c r="BN4" s="342"/>
      <c r="BO4" s="342"/>
      <c r="BP4" s="342"/>
      <c r="BQ4" s="342"/>
      <c r="BR4" s="342"/>
      <c r="BS4" s="343"/>
    </row>
    <row r="5" spans="1:71" s="84" customFormat="1">
      <c r="A5" s="89"/>
      <c r="B5" s="196"/>
      <c r="C5" s="145"/>
      <c r="D5" s="145"/>
      <c r="E5" s="491" t="s">
        <v>26</v>
      </c>
      <c r="F5" s="491"/>
      <c r="G5" s="491"/>
      <c r="H5" s="491"/>
      <c r="I5" s="491"/>
      <c r="J5" s="336"/>
      <c r="K5" s="338"/>
      <c r="L5" s="254"/>
      <c r="M5" s="255"/>
      <c r="N5" s="255"/>
      <c r="O5" s="492" t="s">
        <v>26</v>
      </c>
      <c r="P5" s="492"/>
      <c r="Q5" s="492"/>
      <c r="R5" s="492"/>
      <c r="S5" s="492"/>
      <c r="T5" s="333"/>
      <c r="U5" s="335"/>
      <c r="V5" s="245"/>
      <c r="W5" s="246"/>
      <c r="X5" s="246"/>
      <c r="Y5" s="493" t="s">
        <v>26</v>
      </c>
      <c r="Z5" s="493"/>
      <c r="AA5" s="493"/>
      <c r="AB5" s="493"/>
      <c r="AC5" s="493"/>
      <c r="AD5" s="330"/>
      <c r="AE5" s="332"/>
      <c r="AF5" s="277"/>
      <c r="AG5" s="278"/>
      <c r="AH5" s="278"/>
      <c r="AI5" s="494" t="s">
        <v>26</v>
      </c>
      <c r="AJ5" s="494"/>
      <c r="AK5" s="494"/>
      <c r="AL5" s="494"/>
      <c r="AM5" s="494"/>
      <c r="AN5" s="327"/>
      <c r="AO5" s="329"/>
      <c r="AP5" s="294"/>
      <c r="AQ5" s="295"/>
      <c r="AR5" s="295"/>
      <c r="AS5" s="495" t="s">
        <v>26</v>
      </c>
      <c r="AT5" s="495"/>
      <c r="AU5" s="495"/>
      <c r="AV5" s="495"/>
      <c r="AW5" s="495"/>
      <c r="AX5" s="323"/>
      <c r="AY5" s="325"/>
      <c r="AZ5" s="386"/>
      <c r="BA5" s="387"/>
      <c r="BB5" s="387"/>
      <c r="BC5" s="496" t="s">
        <v>26</v>
      </c>
      <c r="BD5" s="496"/>
      <c r="BE5" s="496"/>
      <c r="BF5" s="496"/>
      <c r="BG5" s="496"/>
      <c r="BH5" s="388"/>
      <c r="BI5" s="389"/>
      <c r="BJ5" s="344"/>
      <c r="BK5" s="345"/>
      <c r="BL5" s="345"/>
      <c r="BM5" s="497" t="s">
        <v>26</v>
      </c>
      <c r="BN5" s="497"/>
      <c r="BO5" s="497"/>
      <c r="BP5" s="497"/>
      <c r="BQ5" s="497"/>
      <c r="BR5" s="346"/>
      <c r="BS5" s="347"/>
    </row>
    <row r="6" spans="1:71" s="91" customFormat="1" ht="51" customHeight="1">
      <c r="A6" s="90" t="s">
        <v>27</v>
      </c>
      <c r="B6" s="193" t="s">
        <v>28</v>
      </c>
      <c r="C6" s="378" t="s">
        <v>29</v>
      </c>
      <c r="D6" s="146" t="s">
        <v>30</v>
      </c>
      <c r="E6" s="147" t="s">
        <v>31</v>
      </c>
      <c r="F6" s="378" t="s">
        <v>32</v>
      </c>
      <c r="G6" s="378" t="s">
        <v>33</v>
      </c>
      <c r="H6" s="378" t="s">
        <v>34</v>
      </c>
      <c r="I6" s="378" t="s">
        <v>25</v>
      </c>
      <c r="J6" s="337" t="s">
        <v>35</v>
      </c>
      <c r="K6" s="148" t="s">
        <v>188</v>
      </c>
      <c r="L6" s="256" t="s">
        <v>28</v>
      </c>
      <c r="M6" s="379" t="s">
        <v>29</v>
      </c>
      <c r="N6" s="257" t="s">
        <v>30</v>
      </c>
      <c r="O6" s="258" t="s">
        <v>31</v>
      </c>
      <c r="P6" s="379" t="s">
        <v>32</v>
      </c>
      <c r="Q6" s="379" t="s">
        <v>33</v>
      </c>
      <c r="R6" s="379" t="s">
        <v>34</v>
      </c>
      <c r="S6" s="379" t="s">
        <v>25</v>
      </c>
      <c r="T6" s="334" t="s">
        <v>35</v>
      </c>
      <c r="U6" s="259" t="s">
        <v>188</v>
      </c>
      <c r="V6" s="247" t="s">
        <v>28</v>
      </c>
      <c r="W6" s="380" t="s">
        <v>29</v>
      </c>
      <c r="X6" s="248" t="s">
        <v>30</v>
      </c>
      <c r="Y6" s="249" t="s">
        <v>31</v>
      </c>
      <c r="Z6" s="380" t="s">
        <v>32</v>
      </c>
      <c r="AA6" s="380" t="s">
        <v>33</v>
      </c>
      <c r="AB6" s="380" t="s">
        <v>34</v>
      </c>
      <c r="AC6" s="380" t="s">
        <v>25</v>
      </c>
      <c r="AD6" s="331" t="s">
        <v>35</v>
      </c>
      <c r="AE6" s="250" t="s">
        <v>188</v>
      </c>
      <c r="AF6" s="279" t="s">
        <v>28</v>
      </c>
      <c r="AG6" s="373" t="s">
        <v>29</v>
      </c>
      <c r="AH6" s="280" t="s">
        <v>30</v>
      </c>
      <c r="AI6" s="281" t="s">
        <v>31</v>
      </c>
      <c r="AJ6" s="373" t="s">
        <v>32</v>
      </c>
      <c r="AK6" s="373" t="s">
        <v>33</v>
      </c>
      <c r="AL6" s="373" t="s">
        <v>34</v>
      </c>
      <c r="AM6" s="373" t="s">
        <v>25</v>
      </c>
      <c r="AN6" s="328" t="s">
        <v>35</v>
      </c>
      <c r="AO6" s="282" t="s">
        <v>188</v>
      </c>
      <c r="AP6" s="296" t="s">
        <v>28</v>
      </c>
      <c r="AQ6" s="372" t="s">
        <v>29</v>
      </c>
      <c r="AR6" s="297" t="s">
        <v>30</v>
      </c>
      <c r="AS6" s="298" t="s">
        <v>31</v>
      </c>
      <c r="AT6" s="372" t="s">
        <v>32</v>
      </c>
      <c r="AU6" s="372" t="s">
        <v>33</v>
      </c>
      <c r="AV6" s="372" t="s">
        <v>34</v>
      </c>
      <c r="AW6" s="372" t="s">
        <v>25</v>
      </c>
      <c r="AX6" s="324" t="s">
        <v>35</v>
      </c>
      <c r="AY6" s="326" t="s">
        <v>188</v>
      </c>
      <c r="AZ6" s="390" t="s">
        <v>28</v>
      </c>
      <c r="BA6" s="391" t="s">
        <v>29</v>
      </c>
      <c r="BB6" s="392" t="s">
        <v>30</v>
      </c>
      <c r="BC6" s="393" t="s">
        <v>31</v>
      </c>
      <c r="BD6" s="391" t="s">
        <v>32</v>
      </c>
      <c r="BE6" s="391" t="s">
        <v>33</v>
      </c>
      <c r="BF6" s="391" t="s">
        <v>34</v>
      </c>
      <c r="BG6" s="391" t="s">
        <v>25</v>
      </c>
      <c r="BH6" s="394" t="s">
        <v>35</v>
      </c>
      <c r="BI6" s="395" t="s">
        <v>188</v>
      </c>
      <c r="BJ6" s="348" t="s">
        <v>28</v>
      </c>
      <c r="BK6" s="377" t="s">
        <v>29</v>
      </c>
      <c r="BL6" s="349" t="s">
        <v>30</v>
      </c>
      <c r="BM6" s="350" t="s">
        <v>31</v>
      </c>
      <c r="BN6" s="377" t="s">
        <v>32</v>
      </c>
      <c r="BO6" s="377" t="s">
        <v>33</v>
      </c>
      <c r="BP6" s="377" t="s">
        <v>34</v>
      </c>
      <c r="BQ6" s="377" t="s">
        <v>25</v>
      </c>
      <c r="BR6" s="351" t="s">
        <v>35</v>
      </c>
      <c r="BS6" s="352" t="s">
        <v>188</v>
      </c>
    </row>
    <row r="7" spans="1:71" ht="15.95" customHeight="1">
      <c r="B7" s="105"/>
      <c r="C7" s="134"/>
      <c r="D7" s="198"/>
      <c r="E7" s="138"/>
      <c r="F7" s="138"/>
      <c r="G7" s="138"/>
      <c r="H7" s="138"/>
      <c r="I7" s="138"/>
      <c r="J7" s="138"/>
      <c r="K7" s="137"/>
      <c r="L7" s="93"/>
      <c r="M7" s="131"/>
      <c r="N7" s="198"/>
      <c r="O7" s="138"/>
      <c r="P7" s="138"/>
      <c r="Q7" s="138"/>
      <c r="R7" s="138"/>
      <c r="S7" s="138"/>
      <c r="T7" s="138"/>
      <c r="U7" s="137"/>
      <c r="V7" s="105"/>
      <c r="W7" s="134"/>
      <c r="X7" s="198"/>
      <c r="Y7" s="138"/>
      <c r="Z7" s="138"/>
      <c r="AA7" s="138"/>
      <c r="AB7" s="138"/>
      <c r="AC7" s="138"/>
      <c r="AD7" s="138"/>
      <c r="AE7" s="137"/>
      <c r="AF7" s="105"/>
      <c r="AG7" s="134"/>
      <c r="AH7" s="198"/>
      <c r="AI7" s="138"/>
      <c r="AJ7" s="138"/>
      <c r="AK7" s="138"/>
      <c r="AL7" s="138"/>
      <c r="AM7" s="138"/>
      <c r="AN7" s="138"/>
      <c r="AO7" s="137"/>
      <c r="AP7" s="105"/>
      <c r="AQ7" s="134"/>
      <c r="AR7" s="198"/>
      <c r="AS7" s="138"/>
      <c r="AT7" s="138"/>
      <c r="AU7" s="138"/>
      <c r="AV7" s="138"/>
      <c r="AW7" s="138"/>
      <c r="AX7" s="138"/>
      <c r="AY7" s="137"/>
      <c r="AZ7" s="105"/>
      <c r="BA7" s="134"/>
      <c r="BB7" s="198"/>
      <c r="BC7" s="138"/>
      <c r="BD7" s="138"/>
      <c r="BE7" s="138"/>
      <c r="BF7" s="138"/>
      <c r="BG7" s="138"/>
      <c r="BH7" s="138"/>
      <c r="BI7" s="137"/>
      <c r="BJ7" s="105"/>
      <c r="BK7" s="134"/>
      <c r="BL7" s="198"/>
      <c r="BM7" s="138"/>
      <c r="BN7" s="138"/>
      <c r="BO7" s="138"/>
      <c r="BP7" s="138"/>
      <c r="BQ7" s="138"/>
      <c r="BR7" s="138"/>
      <c r="BS7" s="137"/>
    </row>
    <row r="8" spans="1:71" s="96" customFormat="1" ht="15.95" customHeight="1">
      <c r="A8" s="94" t="s">
        <v>36</v>
      </c>
      <c r="B8" s="105"/>
      <c r="C8" s="134"/>
      <c r="D8" s="134"/>
      <c r="E8" s="138"/>
      <c r="F8" s="138"/>
      <c r="G8" s="138"/>
      <c r="H8" s="138"/>
      <c r="I8" s="138"/>
      <c r="J8" s="138"/>
      <c r="K8" s="137"/>
      <c r="L8" s="95"/>
      <c r="M8" s="133"/>
      <c r="N8" s="134"/>
      <c r="O8" s="138"/>
      <c r="P8" s="138"/>
      <c r="Q8" s="138"/>
      <c r="R8" s="138"/>
      <c r="S8" s="138"/>
      <c r="T8" s="138"/>
      <c r="U8" s="137"/>
      <c r="V8" s="105"/>
      <c r="W8" s="134"/>
      <c r="X8" s="134"/>
      <c r="Y8" s="138"/>
      <c r="Z8" s="138"/>
      <c r="AA8" s="138"/>
      <c r="AB8" s="138"/>
      <c r="AC8" s="138"/>
      <c r="AD8" s="138"/>
      <c r="AE8" s="137"/>
      <c r="AF8" s="105"/>
      <c r="AG8" s="134"/>
      <c r="AH8" s="134"/>
      <c r="AI8" s="138"/>
      <c r="AJ8" s="138"/>
      <c r="AK8" s="138"/>
      <c r="AL8" s="138"/>
      <c r="AM8" s="138"/>
      <c r="AN8" s="138"/>
      <c r="AO8" s="137"/>
      <c r="AP8" s="105"/>
      <c r="AQ8" s="134"/>
      <c r="AR8" s="134"/>
      <c r="AS8" s="138"/>
      <c r="AT8" s="138"/>
      <c r="AU8" s="138"/>
      <c r="AV8" s="138"/>
      <c r="AW8" s="138"/>
      <c r="AX8" s="138"/>
      <c r="AY8" s="137"/>
      <c r="AZ8" s="105"/>
      <c r="BA8" s="134"/>
      <c r="BB8" s="134"/>
      <c r="BC8" s="138"/>
      <c r="BD8" s="138"/>
      <c r="BE8" s="138"/>
      <c r="BF8" s="138"/>
      <c r="BG8" s="138"/>
      <c r="BH8" s="138"/>
      <c r="BI8" s="137"/>
      <c r="BJ8" s="105"/>
      <c r="BK8" s="134"/>
      <c r="BL8" s="134"/>
      <c r="BM8" s="138"/>
      <c r="BN8" s="138"/>
      <c r="BO8" s="138"/>
      <c r="BP8" s="138"/>
      <c r="BQ8" s="138"/>
      <c r="BR8" s="138"/>
      <c r="BS8" s="137"/>
    </row>
    <row r="9" spans="1:71" ht="15.95" customHeight="1">
      <c r="A9" s="97"/>
      <c r="B9" s="105"/>
      <c r="C9" s="134"/>
      <c r="D9" s="134"/>
      <c r="E9" s="138"/>
      <c r="F9" s="138"/>
      <c r="G9" s="138"/>
      <c r="H9" s="138"/>
      <c r="I9" s="138"/>
      <c r="J9" s="138"/>
      <c r="K9" s="137"/>
      <c r="L9" s="93"/>
      <c r="M9" s="131"/>
      <c r="N9" s="134"/>
      <c r="O9" s="138"/>
      <c r="P9" s="138"/>
      <c r="Q9" s="138"/>
      <c r="R9" s="138"/>
      <c r="S9" s="138"/>
      <c r="T9" s="138"/>
      <c r="U9" s="137"/>
      <c r="V9" s="105"/>
      <c r="W9" s="134"/>
      <c r="X9" s="134"/>
      <c r="Y9" s="138"/>
      <c r="Z9" s="138"/>
      <c r="AA9" s="138"/>
      <c r="AB9" s="138"/>
      <c r="AC9" s="138"/>
      <c r="AD9" s="138"/>
      <c r="AE9" s="137"/>
      <c r="AF9" s="105"/>
      <c r="AG9" s="134"/>
      <c r="AH9" s="134"/>
      <c r="AI9" s="138"/>
      <c r="AJ9" s="138"/>
      <c r="AK9" s="138"/>
      <c r="AL9" s="138"/>
      <c r="AM9" s="138"/>
      <c r="AN9" s="138"/>
      <c r="AO9" s="137"/>
      <c r="AP9" s="105"/>
      <c r="AQ9" s="134"/>
      <c r="AR9" s="134"/>
      <c r="AS9" s="138"/>
      <c r="AT9" s="138"/>
      <c r="AU9" s="138"/>
      <c r="AV9" s="138"/>
      <c r="AW9" s="138"/>
      <c r="AX9" s="138"/>
      <c r="AY9" s="137"/>
      <c r="AZ9" s="105"/>
      <c r="BA9" s="134"/>
      <c r="BB9" s="134"/>
      <c r="BC9" s="138"/>
      <c r="BD9" s="138"/>
      <c r="BE9" s="138"/>
      <c r="BF9" s="138"/>
      <c r="BG9" s="138"/>
      <c r="BH9" s="138"/>
      <c r="BI9" s="137"/>
      <c r="BJ9" s="105"/>
      <c r="BK9" s="134"/>
      <c r="BL9" s="134"/>
      <c r="BM9" s="138"/>
      <c r="BN9" s="138"/>
      <c r="BO9" s="138"/>
      <c r="BP9" s="138"/>
      <c r="BQ9" s="138"/>
      <c r="BR9" s="138"/>
      <c r="BS9" s="137"/>
    </row>
    <row r="10" spans="1:71" ht="15.95" customHeight="1">
      <c r="A10" s="98" t="s">
        <v>37</v>
      </c>
      <c r="B10" s="105"/>
      <c r="C10" s="134"/>
      <c r="D10" s="134"/>
      <c r="E10" s="138"/>
      <c r="F10" s="138"/>
      <c r="G10" s="138"/>
      <c r="H10" s="138"/>
      <c r="I10" s="138"/>
      <c r="J10" s="138"/>
      <c r="K10" s="137"/>
      <c r="L10" s="93"/>
      <c r="M10" s="131"/>
      <c r="N10" s="134"/>
      <c r="O10" s="138"/>
      <c r="P10" s="138"/>
      <c r="Q10" s="138"/>
      <c r="R10" s="138"/>
      <c r="S10" s="138"/>
      <c r="T10" s="138"/>
      <c r="U10" s="137"/>
      <c r="V10" s="105"/>
      <c r="W10" s="134"/>
      <c r="X10" s="134"/>
      <c r="Y10" s="138"/>
      <c r="Z10" s="138"/>
      <c r="AA10" s="138"/>
      <c r="AB10" s="138"/>
      <c r="AC10" s="138"/>
      <c r="AD10" s="138"/>
      <c r="AE10" s="137"/>
      <c r="AF10" s="105"/>
      <c r="AG10" s="134"/>
      <c r="AH10" s="134"/>
      <c r="AI10" s="138"/>
      <c r="AJ10" s="138"/>
      <c r="AK10" s="138"/>
      <c r="AL10" s="138"/>
      <c r="AM10" s="138"/>
      <c r="AN10" s="138"/>
      <c r="AO10" s="137"/>
      <c r="AP10" s="105"/>
      <c r="AQ10" s="134"/>
      <c r="AR10" s="134"/>
      <c r="AS10" s="138"/>
      <c r="AT10" s="138"/>
      <c r="AU10" s="138"/>
      <c r="AV10" s="138"/>
      <c r="AW10" s="138"/>
      <c r="AX10" s="138"/>
      <c r="AY10" s="137"/>
      <c r="AZ10" s="105"/>
      <c r="BA10" s="134"/>
      <c r="BB10" s="134"/>
      <c r="BC10" s="138"/>
      <c r="BD10" s="138"/>
      <c r="BE10" s="138"/>
      <c r="BF10" s="138"/>
      <c r="BG10" s="138"/>
      <c r="BH10" s="138"/>
      <c r="BI10" s="137"/>
      <c r="BJ10" s="105"/>
      <c r="BK10" s="134"/>
      <c r="BL10" s="134"/>
      <c r="BM10" s="138"/>
      <c r="BN10" s="138"/>
      <c r="BO10" s="138"/>
      <c r="BP10" s="138"/>
      <c r="BQ10" s="138"/>
      <c r="BR10" s="138"/>
      <c r="BS10" s="137"/>
    </row>
    <row r="11" spans="1:71" ht="15.95" customHeight="1">
      <c r="A11" s="285" t="s">
        <v>162</v>
      </c>
      <c r="B11" s="105"/>
      <c r="C11" s="134">
        <f t="shared" ref="C11:C27" si="0">SUM(E11:I11)</f>
        <v>0</v>
      </c>
      <c r="D11" s="134">
        <f t="shared" ref="D11:D27" si="1">IFERROR(C11/B11,0)</f>
        <v>0</v>
      </c>
      <c r="E11" s="138"/>
      <c r="F11" s="138"/>
      <c r="G11" s="138"/>
      <c r="H11" s="138"/>
      <c r="I11" s="138"/>
      <c r="J11" s="138"/>
      <c r="K11" s="137">
        <f t="shared" ref="K11:K27" si="2">IF(J11=0,0,(IF(E11&lt;=J11,E11,J11)))</f>
        <v>0</v>
      </c>
      <c r="L11" s="105">
        <v>41</v>
      </c>
      <c r="M11" s="134">
        <f t="shared" ref="M11:M27" si="3">SUM(O11:S11)</f>
        <v>35476</v>
      </c>
      <c r="N11" s="134">
        <f t="shared" ref="N11:N27" si="4">IFERROR(M11/L11,0)</f>
        <v>865.26829268292681</v>
      </c>
      <c r="O11" s="138"/>
      <c r="P11" s="138"/>
      <c r="Q11" s="138"/>
      <c r="R11" s="138">
        <v>35476</v>
      </c>
      <c r="S11" s="138"/>
      <c r="T11" s="138">
        <v>23170</v>
      </c>
      <c r="U11" s="137">
        <f t="shared" ref="U11:U27" si="5">IF(T11=0,0,(IF(O11&lt;=T11,O11,T11)))</f>
        <v>0</v>
      </c>
      <c r="V11" s="105">
        <v>57</v>
      </c>
      <c r="W11" s="134">
        <f t="shared" ref="W11:W27" si="6">SUM(Y11:AC11)</f>
        <v>60771</v>
      </c>
      <c r="X11" s="134">
        <f t="shared" ref="X11:X27" si="7">IFERROR(W11/V11,0)</f>
        <v>1066.1578947368421</v>
      </c>
      <c r="Y11" s="138"/>
      <c r="Z11" s="138"/>
      <c r="AA11" s="138"/>
      <c r="AB11" s="138">
        <v>60771</v>
      </c>
      <c r="AC11" s="138"/>
      <c r="AD11" s="138">
        <v>59355</v>
      </c>
      <c r="AE11" s="137">
        <f t="shared" ref="AE11:AE27" si="8">IF(AD11=0,0,(IF(Y11&lt;=AD11,Y11,AD11)))</f>
        <v>0</v>
      </c>
      <c r="AF11" s="105">
        <v>54</v>
      </c>
      <c r="AG11" s="134">
        <f t="shared" ref="AG11:AG27" si="9">SUM(AI11:AM11)</f>
        <v>43157</v>
      </c>
      <c r="AH11" s="134">
        <f t="shared" ref="AH11:AH27" si="10">IFERROR(AG11/AF11,0)</f>
        <v>799.2037037037037</v>
      </c>
      <c r="AI11" s="138"/>
      <c r="AJ11" s="138"/>
      <c r="AK11" s="138"/>
      <c r="AL11" s="138">
        <v>43157</v>
      </c>
      <c r="AM11" s="138"/>
      <c r="AN11" s="138">
        <v>42757</v>
      </c>
      <c r="AO11" s="137">
        <f t="shared" ref="AO11:AO27" si="11">IF(AN11=0,0,(IF(AI11&lt;=AN11,AI11,AN11)))</f>
        <v>0</v>
      </c>
      <c r="AP11" s="105">
        <v>58</v>
      </c>
      <c r="AQ11" s="134">
        <f t="shared" ref="AQ11:AQ27" si="12">SUM(AS11:AW11)</f>
        <v>44168</v>
      </c>
      <c r="AR11" s="134">
        <f t="shared" ref="AR11:AR27" si="13">IFERROR(AQ11/AP11,0)</f>
        <v>761.51724137931035</v>
      </c>
      <c r="AS11" s="138"/>
      <c r="AT11" s="138"/>
      <c r="AU11" s="138"/>
      <c r="AV11" s="138">
        <v>44168</v>
      </c>
      <c r="AW11" s="138"/>
      <c r="AX11" s="138">
        <v>44168</v>
      </c>
      <c r="AY11" s="137">
        <f t="shared" ref="AY11:AY27" si="14">IF(AX11=0,0,(IF(AS11&lt;=AX11,AS11,AX11)))</f>
        <v>0</v>
      </c>
      <c r="AZ11" s="105">
        <v>91</v>
      </c>
      <c r="BA11" s="134">
        <f t="shared" ref="BA11:BA27" si="15">SUM(BC11:BG11)</f>
        <v>65040</v>
      </c>
      <c r="BB11" s="134">
        <f t="shared" ref="BB11:BB27" si="16">IFERROR(BA11/AZ11,0)</f>
        <v>714.72527472527474</v>
      </c>
      <c r="BC11" s="138"/>
      <c r="BD11" s="138"/>
      <c r="BE11" s="138"/>
      <c r="BF11" s="138">
        <v>65040</v>
      </c>
      <c r="BG11" s="138"/>
      <c r="BH11" s="138">
        <v>65040</v>
      </c>
      <c r="BI11" s="137">
        <f t="shared" ref="BI11:BI27" si="17">IF(BH11=0,0,(IF(BC11&lt;=BH11,BC11,BH11)))</f>
        <v>0</v>
      </c>
      <c r="BJ11" s="100">
        <v>46</v>
      </c>
      <c r="BK11" s="134">
        <f t="shared" ref="BK11:BK27" si="18">SUM(BM11:BQ11)</f>
        <v>18660</v>
      </c>
      <c r="BL11" s="134">
        <f t="shared" ref="BL11:BL27" si="19">IFERROR(BK11/BJ11,0)</f>
        <v>405.6521739130435</v>
      </c>
      <c r="BM11" s="135"/>
      <c r="BN11" s="135"/>
      <c r="BO11" s="135"/>
      <c r="BP11" s="135">
        <v>18660</v>
      </c>
      <c r="BQ11" s="135"/>
      <c r="BR11" s="135">
        <v>18660</v>
      </c>
      <c r="BS11" s="339">
        <f t="shared" ref="BS11:BS27" si="20">IF(BR11=0,0,(IF(BM11&lt;=BR11,BM11,BR11)))</f>
        <v>0</v>
      </c>
    </row>
    <row r="12" spans="1:71" ht="15.95" customHeight="1">
      <c r="A12" s="285" t="s">
        <v>38</v>
      </c>
      <c r="B12" s="105">
        <v>80</v>
      </c>
      <c r="C12" s="134">
        <f t="shared" si="0"/>
        <v>48714</v>
      </c>
      <c r="D12" s="134">
        <f t="shared" si="1"/>
        <v>608.92499999999995</v>
      </c>
      <c r="E12" s="138"/>
      <c r="F12" s="138"/>
      <c r="G12" s="138">
        <v>48714</v>
      </c>
      <c r="H12" s="138"/>
      <c r="I12" s="138"/>
      <c r="J12" s="138">
        <v>48714</v>
      </c>
      <c r="K12" s="137">
        <f t="shared" si="2"/>
        <v>0</v>
      </c>
      <c r="L12" s="105">
        <v>59</v>
      </c>
      <c r="M12" s="134">
        <f t="shared" si="3"/>
        <v>27364</v>
      </c>
      <c r="N12" s="134">
        <f t="shared" si="4"/>
        <v>463.79661016949154</v>
      </c>
      <c r="O12" s="138"/>
      <c r="P12" s="138"/>
      <c r="Q12" s="138">
        <v>27364</v>
      </c>
      <c r="R12" s="138"/>
      <c r="S12" s="138"/>
      <c r="T12" s="138">
        <v>27364</v>
      </c>
      <c r="U12" s="137">
        <f t="shared" si="5"/>
        <v>0</v>
      </c>
      <c r="V12" s="105">
        <v>93</v>
      </c>
      <c r="W12" s="134">
        <f t="shared" si="6"/>
        <v>48048</v>
      </c>
      <c r="X12" s="134">
        <f t="shared" si="7"/>
        <v>516.64516129032256</v>
      </c>
      <c r="Y12" s="138"/>
      <c r="Z12" s="138"/>
      <c r="AA12" s="138">
        <v>48048</v>
      </c>
      <c r="AB12" s="138"/>
      <c r="AC12" s="138"/>
      <c r="AD12" s="138">
        <v>48048</v>
      </c>
      <c r="AE12" s="137">
        <f t="shared" si="8"/>
        <v>0</v>
      </c>
      <c r="AF12" s="105">
        <v>104</v>
      </c>
      <c r="AG12" s="134">
        <f t="shared" si="9"/>
        <v>71422</v>
      </c>
      <c r="AH12" s="134">
        <f t="shared" si="10"/>
        <v>686.75</v>
      </c>
      <c r="AI12" s="138"/>
      <c r="AJ12" s="138"/>
      <c r="AK12" s="138">
        <v>71422</v>
      </c>
      <c r="AL12" s="138"/>
      <c r="AM12" s="138"/>
      <c r="AN12" s="138">
        <v>71422</v>
      </c>
      <c r="AO12" s="137">
        <f t="shared" si="11"/>
        <v>0</v>
      </c>
      <c r="AP12" s="105">
        <v>93</v>
      </c>
      <c r="AQ12" s="134">
        <f t="shared" si="12"/>
        <v>56170</v>
      </c>
      <c r="AR12" s="134">
        <f t="shared" si="13"/>
        <v>603.97849462365593</v>
      </c>
      <c r="AS12" s="138"/>
      <c r="AT12" s="138"/>
      <c r="AU12" s="138">
        <v>56170</v>
      </c>
      <c r="AV12" s="138"/>
      <c r="AW12" s="138"/>
      <c r="AX12" s="138">
        <v>55840</v>
      </c>
      <c r="AY12" s="137">
        <f t="shared" si="14"/>
        <v>0</v>
      </c>
      <c r="AZ12" s="105">
        <v>80</v>
      </c>
      <c r="BA12" s="134">
        <f t="shared" si="15"/>
        <v>51071</v>
      </c>
      <c r="BB12" s="134">
        <f t="shared" si="16"/>
        <v>638.38750000000005</v>
      </c>
      <c r="BC12" s="138"/>
      <c r="BD12" s="138"/>
      <c r="BE12" s="138">
        <v>51071</v>
      </c>
      <c r="BF12" s="138"/>
      <c r="BG12" s="138"/>
      <c r="BH12" s="138">
        <v>51071</v>
      </c>
      <c r="BI12" s="137">
        <f t="shared" si="17"/>
        <v>0</v>
      </c>
      <c r="BJ12" s="100">
        <v>86</v>
      </c>
      <c r="BK12" s="134">
        <f t="shared" si="18"/>
        <v>53378</v>
      </c>
      <c r="BL12" s="134">
        <f t="shared" si="19"/>
        <v>620.67441860465112</v>
      </c>
      <c r="BM12" s="135"/>
      <c r="BN12" s="135"/>
      <c r="BO12" s="135">
        <v>53378</v>
      </c>
      <c r="BP12" s="135"/>
      <c r="BQ12" s="135"/>
      <c r="BR12" s="135">
        <v>53378</v>
      </c>
      <c r="BS12" s="339">
        <f t="shared" si="20"/>
        <v>0</v>
      </c>
    </row>
    <row r="13" spans="1:71" ht="15.95" customHeight="1">
      <c r="A13" s="285" t="s">
        <v>39</v>
      </c>
      <c r="B13" s="105">
        <v>2</v>
      </c>
      <c r="C13" s="134">
        <f t="shared" si="0"/>
        <v>1500</v>
      </c>
      <c r="D13" s="134">
        <f t="shared" si="1"/>
        <v>750</v>
      </c>
      <c r="E13" s="138"/>
      <c r="F13" s="138"/>
      <c r="G13" s="138">
        <v>1500</v>
      </c>
      <c r="H13" s="138"/>
      <c r="I13" s="138"/>
      <c r="J13" s="138">
        <v>1500</v>
      </c>
      <c r="K13" s="137">
        <f t="shared" si="2"/>
        <v>0</v>
      </c>
      <c r="L13" s="105">
        <v>0</v>
      </c>
      <c r="M13" s="134">
        <f t="shared" si="3"/>
        <v>0</v>
      </c>
      <c r="N13" s="134">
        <f t="shared" si="4"/>
        <v>0</v>
      </c>
      <c r="O13" s="138"/>
      <c r="P13" s="138"/>
      <c r="Q13" s="138"/>
      <c r="R13" s="138"/>
      <c r="S13" s="138"/>
      <c r="T13" s="138">
        <v>0</v>
      </c>
      <c r="U13" s="137">
        <f t="shared" si="5"/>
        <v>0</v>
      </c>
      <c r="V13" s="105">
        <v>0</v>
      </c>
      <c r="W13" s="134">
        <f t="shared" si="6"/>
        <v>0</v>
      </c>
      <c r="X13" s="134">
        <f t="shared" si="7"/>
        <v>0</v>
      </c>
      <c r="Y13" s="138"/>
      <c r="Z13" s="138"/>
      <c r="AA13" s="138"/>
      <c r="AB13" s="138"/>
      <c r="AC13" s="138"/>
      <c r="AD13" s="138">
        <v>0</v>
      </c>
      <c r="AE13" s="137">
        <f t="shared" si="8"/>
        <v>0</v>
      </c>
      <c r="AF13" s="105">
        <v>0</v>
      </c>
      <c r="AG13" s="134">
        <f t="shared" si="9"/>
        <v>0</v>
      </c>
      <c r="AH13" s="134">
        <f t="shared" si="10"/>
        <v>0</v>
      </c>
      <c r="AI13" s="138"/>
      <c r="AJ13" s="138"/>
      <c r="AK13" s="138"/>
      <c r="AL13" s="138"/>
      <c r="AM13" s="138"/>
      <c r="AN13" s="138"/>
      <c r="AO13" s="137">
        <f t="shared" si="11"/>
        <v>0</v>
      </c>
      <c r="AP13" s="105">
        <v>0</v>
      </c>
      <c r="AQ13" s="134">
        <f t="shared" si="12"/>
        <v>0</v>
      </c>
      <c r="AR13" s="134">
        <f t="shared" si="13"/>
        <v>0</v>
      </c>
      <c r="AS13" s="138"/>
      <c r="AT13" s="138"/>
      <c r="AU13" s="138"/>
      <c r="AV13" s="138"/>
      <c r="AW13" s="138"/>
      <c r="AX13" s="138">
        <v>0</v>
      </c>
      <c r="AY13" s="137">
        <f t="shared" si="14"/>
        <v>0</v>
      </c>
      <c r="AZ13" s="105">
        <v>0</v>
      </c>
      <c r="BA13" s="134">
        <f t="shared" si="15"/>
        <v>0</v>
      </c>
      <c r="BB13" s="134">
        <f t="shared" si="16"/>
        <v>0</v>
      </c>
      <c r="BC13" s="138"/>
      <c r="BD13" s="138"/>
      <c r="BE13" s="138"/>
      <c r="BF13" s="138"/>
      <c r="BG13" s="138"/>
      <c r="BH13" s="138">
        <v>0</v>
      </c>
      <c r="BI13" s="137">
        <f t="shared" si="17"/>
        <v>0</v>
      </c>
      <c r="BJ13" s="100">
        <v>0</v>
      </c>
      <c r="BK13" s="134">
        <f t="shared" si="18"/>
        <v>0</v>
      </c>
      <c r="BL13" s="134">
        <f t="shared" si="19"/>
        <v>0</v>
      </c>
      <c r="BM13" s="135"/>
      <c r="BN13" s="135"/>
      <c r="BO13" s="135"/>
      <c r="BP13" s="135"/>
      <c r="BQ13" s="135"/>
      <c r="BR13" s="135">
        <v>0</v>
      </c>
      <c r="BS13" s="339">
        <f t="shared" si="20"/>
        <v>0</v>
      </c>
    </row>
    <row r="14" spans="1:71" ht="15.95" customHeight="1">
      <c r="A14" s="285" t="s">
        <v>40</v>
      </c>
      <c r="B14" s="105">
        <v>388</v>
      </c>
      <c r="C14" s="134">
        <f t="shared" si="0"/>
        <v>1062567</v>
      </c>
      <c r="D14" s="134">
        <f t="shared" si="1"/>
        <v>2738.5747422680411</v>
      </c>
      <c r="E14" s="138"/>
      <c r="F14" s="138"/>
      <c r="G14" s="138"/>
      <c r="H14" s="138">
        <v>1062567</v>
      </c>
      <c r="I14" s="138"/>
      <c r="J14" s="138">
        <v>891596</v>
      </c>
      <c r="K14" s="137">
        <f t="shared" si="2"/>
        <v>0</v>
      </c>
      <c r="L14" s="105">
        <v>457</v>
      </c>
      <c r="M14" s="134">
        <f t="shared" si="3"/>
        <v>1144284</v>
      </c>
      <c r="N14" s="134">
        <f t="shared" si="4"/>
        <v>2503.9037199124728</v>
      </c>
      <c r="O14" s="138"/>
      <c r="P14" s="138"/>
      <c r="Q14" s="138"/>
      <c r="R14" s="138">
        <v>1144284</v>
      </c>
      <c r="S14" s="138"/>
      <c r="T14" s="138">
        <v>960139</v>
      </c>
      <c r="U14" s="137">
        <f t="shared" si="5"/>
        <v>0</v>
      </c>
      <c r="V14" s="105">
        <v>364</v>
      </c>
      <c r="W14" s="134">
        <f t="shared" si="6"/>
        <v>1062599</v>
      </c>
      <c r="X14" s="134">
        <f t="shared" si="7"/>
        <v>2919.2280219780218</v>
      </c>
      <c r="Y14" s="138"/>
      <c r="Z14" s="138"/>
      <c r="AA14" s="138"/>
      <c r="AB14" s="138">
        <v>1062599</v>
      </c>
      <c r="AC14" s="138"/>
      <c r="AD14" s="138">
        <v>884342</v>
      </c>
      <c r="AE14" s="137">
        <f t="shared" si="8"/>
        <v>0</v>
      </c>
      <c r="AF14" s="105">
        <v>325</v>
      </c>
      <c r="AG14" s="134">
        <f t="shared" si="9"/>
        <v>940508</v>
      </c>
      <c r="AH14" s="134">
        <f t="shared" si="10"/>
        <v>2893.8707692307694</v>
      </c>
      <c r="AI14" s="138"/>
      <c r="AJ14" s="138"/>
      <c r="AK14" s="138"/>
      <c r="AL14" s="138">
        <v>940508</v>
      </c>
      <c r="AM14" s="138"/>
      <c r="AN14" s="138">
        <v>788331</v>
      </c>
      <c r="AO14" s="137">
        <f t="shared" si="11"/>
        <v>0</v>
      </c>
      <c r="AP14" s="105">
        <v>309</v>
      </c>
      <c r="AQ14" s="134">
        <f t="shared" si="12"/>
        <v>924954</v>
      </c>
      <c r="AR14" s="134">
        <f t="shared" si="13"/>
        <v>2993.3786407766988</v>
      </c>
      <c r="AS14" s="138"/>
      <c r="AT14" s="138"/>
      <c r="AU14" s="138"/>
      <c r="AV14" s="138">
        <v>924954</v>
      </c>
      <c r="AW14" s="138"/>
      <c r="AX14" s="138">
        <v>797648</v>
      </c>
      <c r="AY14" s="137">
        <f t="shared" si="14"/>
        <v>0</v>
      </c>
      <c r="AZ14" s="105">
        <v>275</v>
      </c>
      <c r="BA14" s="134">
        <f t="shared" si="15"/>
        <v>816468</v>
      </c>
      <c r="BB14" s="134">
        <f t="shared" si="16"/>
        <v>2968.9745454545455</v>
      </c>
      <c r="BC14" s="138"/>
      <c r="BD14" s="138"/>
      <c r="BE14" s="138"/>
      <c r="BF14" s="138">
        <v>816468</v>
      </c>
      <c r="BG14" s="138"/>
      <c r="BH14" s="138">
        <v>692231</v>
      </c>
      <c r="BI14" s="137">
        <f t="shared" si="17"/>
        <v>0</v>
      </c>
      <c r="BJ14" s="100">
        <v>234</v>
      </c>
      <c r="BK14" s="134">
        <f t="shared" si="18"/>
        <v>671108</v>
      </c>
      <c r="BL14" s="134">
        <f t="shared" si="19"/>
        <v>2867.9829059829058</v>
      </c>
      <c r="BM14" s="135"/>
      <c r="BN14" s="135"/>
      <c r="BO14" s="135"/>
      <c r="BP14" s="135">
        <v>671108</v>
      </c>
      <c r="BQ14" s="135"/>
      <c r="BR14" s="135">
        <v>580286</v>
      </c>
      <c r="BS14" s="339">
        <f t="shared" si="20"/>
        <v>0</v>
      </c>
    </row>
    <row r="15" spans="1:71" ht="15.95" customHeight="1">
      <c r="A15" s="285" t="s">
        <v>41</v>
      </c>
      <c r="B15" s="105">
        <v>704</v>
      </c>
      <c r="C15" s="134">
        <f t="shared" si="0"/>
        <v>2399169</v>
      </c>
      <c r="D15" s="134">
        <f t="shared" si="1"/>
        <v>3407.9105113636365</v>
      </c>
      <c r="E15" s="138"/>
      <c r="F15" s="138"/>
      <c r="G15" s="138"/>
      <c r="H15" s="138">
        <v>2399169</v>
      </c>
      <c r="I15" s="138"/>
      <c r="J15" s="138">
        <v>2078703</v>
      </c>
      <c r="K15" s="137">
        <f t="shared" si="2"/>
        <v>0</v>
      </c>
      <c r="L15" s="105">
        <v>696</v>
      </c>
      <c r="M15" s="134">
        <f t="shared" si="3"/>
        <v>2341664</v>
      </c>
      <c r="N15" s="134">
        <f t="shared" si="4"/>
        <v>3364.4597701149423</v>
      </c>
      <c r="O15" s="138"/>
      <c r="P15" s="138"/>
      <c r="Q15" s="138"/>
      <c r="R15" s="138">
        <v>2341664</v>
      </c>
      <c r="S15" s="138"/>
      <c r="T15" s="138">
        <v>1993522</v>
      </c>
      <c r="U15" s="137">
        <f t="shared" si="5"/>
        <v>0</v>
      </c>
      <c r="V15" s="105">
        <v>605</v>
      </c>
      <c r="W15" s="134">
        <f t="shared" si="6"/>
        <v>2147320</v>
      </c>
      <c r="X15" s="134">
        <f t="shared" si="7"/>
        <v>3549.2892561983472</v>
      </c>
      <c r="Y15" s="138"/>
      <c r="Z15" s="138"/>
      <c r="AA15" s="138"/>
      <c r="AB15" s="138">
        <v>2147320</v>
      </c>
      <c r="AC15" s="138"/>
      <c r="AD15" s="138">
        <v>1801223</v>
      </c>
      <c r="AE15" s="137">
        <f t="shared" si="8"/>
        <v>0</v>
      </c>
      <c r="AF15" s="105">
        <v>582</v>
      </c>
      <c r="AG15" s="134">
        <f t="shared" si="9"/>
        <v>2048403</v>
      </c>
      <c r="AH15" s="134">
        <f t="shared" si="10"/>
        <v>3519.5927835051548</v>
      </c>
      <c r="AI15" s="138"/>
      <c r="AJ15" s="138"/>
      <c r="AK15" s="138"/>
      <c r="AL15" s="138">
        <v>2048403</v>
      </c>
      <c r="AM15" s="138"/>
      <c r="AN15" s="138">
        <v>1697401</v>
      </c>
      <c r="AO15" s="137">
        <f t="shared" si="11"/>
        <v>0</v>
      </c>
      <c r="AP15" s="105">
        <v>555</v>
      </c>
      <c r="AQ15" s="134">
        <f t="shared" si="12"/>
        <v>2114236</v>
      </c>
      <c r="AR15" s="134">
        <f t="shared" si="13"/>
        <v>3809.4342342342343</v>
      </c>
      <c r="AS15" s="138"/>
      <c r="AT15" s="138"/>
      <c r="AU15" s="138"/>
      <c r="AV15" s="138">
        <v>2114236</v>
      </c>
      <c r="AW15" s="138"/>
      <c r="AX15" s="138">
        <v>1811687</v>
      </c>
      <c r="AY15" s="137">
        <f t="shared" si="14"/>
        <v>0</v>
      </c>
      <c r="AZ15" s="105">
        <v>549</v>
      </c>
      <c r="BA15" s="134">
        <f t="shared" si="15"/>
        <v>2230745</v>
      </c>
      <c r="BB15" s="134">
        <f t="shared" si="16"/>
        <v>4063.2877959927141</v>
      </c>
      <c r="BC15" s="138"/>
      <c r="BD15" s="138"/>
      <c r="BE15" s="138"/>
      <c r="BF15" s="138">
        <v>2230745</v>
      </c>
      <c r="BG15" s="138"/>
      <c r="BH15" s="138">
        <v>1895636</v>
      </c>
      <c r="BI15" s="137">
        <f t="shared" si="17"/>
        <v>0</v>
      </c>
      <c r="BJ15" s="100">
        <v>479</v>
      </c>
      <c r="BK15" s="134">
        <f t="shared" si="18"/>
        <v>1947090</v>
      </c>
      <c r="BL15" s="134">
        <f t="shared" si="19"/>
        <v>4064.9060542797497</v>
      </c>
      <c r="BM15" s="135"/>
      <c r="BN15" s="135"/>
      <c r="BO15" s="135"/>
      <c r="BP15" s="135">
        <v>1947090</v>
      </c>
      <c r="BQ15" s="135"/>
      <c r="BR15" s="135">
        <v>1689634</v>
      </c>
      <c r="BS15" s="339">
        <f t="shared" si="20"/>
        <v>0</v>
      </c>
    </row>
    <row r="16" spans="1:71" ht="15.95" customHeight="1">
      <c r="A16" s="285" t="s">
        <v>42</v>
      </c>
      <c r="B16" s="105">
        <v>273</v>
      </c>
      <c r="C16" s="134">
        <f t="shared" si="0"/>
        <v>37039</v>
      </c>
      <c r="D16" s="134">
        <f t="shared" si="1"/>
        <v>135.67399267399267</v>
      </c>
      <c r="E16" s="138"/>
      <c r="F16" s="138"/>
      <c r="G16" s="138"/>
      <c r="H16" s="138">
        <v>37039</v>
      </c>
      <c r="I16" s="138"/>
      <c r="J16" s="138">
        <v>32439</v>
      </c>
      <c r="K16" s="137">
        <f t="shared" si="2"/>
        <v>0</v>
      </c>
      <c r="L16" s="105">
        <v>462</v>
      </c>
      <c r="M16" s="134">
        <f t="shared" si="3"/>
        <v>67266</v>
      </c>
      <c r="N16" s="134">
        <f t="shared" si="4"/>
        <v>145.59740259740261</v>
      </c>
      <c r="O16" s="138"/>
      <c r="P16" s="138"/>
      <c r="Q16" s="138"/>
      <c r="R16" s="138">
        <v>67266</v>
      </c>
      <c r="S16" s="138"/>
      <c r="T16" s="138">
        <v>58466</v>
      </c>
      <c r="U16" s="137">
        <f t="shared" si="5"/>
        <v>0</v>
      </c>
      <c r="V16" s="105">
        <v>256</v>
      </c>
      <c r="W16" s="134">
        <f t="shared" si="6"/>
        <v>38172</v>
      </c>
      <c r="X16" s="134">
        <f t="shared" si="7"/>
        <v>149.109375</v>
      </c>
      <c r="Y16" s="138"/>
      <c r="Z16" s="138"/>
      <c r="AA16" s="138"/>
      <c r="AB16" s="138">
        <v>38172</v>
      </c>
      <c r="AC16" s="138"/>
      <c r="AD16" s="138">
        <v>33156</v>
      </c>
      <c r="AE16" s="137">
        <f t="shared" si="8"/>
        <v>0</v>
      </c>
      <c r="AF16" s="105">
        <v>337</v>
      </c>
      <c r="AG16" s="134">
        <f t="shared" si="9"/>
        <v>44810</v>
      </c>
      <c r="AH16" s="134">
        <f t="shared" si="10"/>
        <v>132.96735905044511</v>
      </c>
      <c r="AI16" s="138"/>
      <c r="AJ16" s="138">
        <v>11203</v>
      </c>
      <c r="AK16" s="138"/>
      <c r="AL16" s="138">
        <v>33607</v>
      </c>
      <c r="AM16" s="138"/>
      <c r="AN16" s="138">
        <v>38785</v>
      </c>
      <c r="AO16" s="137">
        <f t="shared" si="11"/>
        <v>0</v>
      </c>
      <c r="AP16" s="105">
        <v>275</v>
      </c>
      <c r="AQ16" s="134">
        <f t="shared" si="12"/>
        <v>47994</v>
      </c>
      <c r="AR16" s="134">
        <f t="shared" si="13"/>
        <v>174.52363636363637</v>
      </c>
      <c r="AS16" s="138"/>
      <c r="AT16" s="138">
        <v>11999</v>
      </c>
      <c r="AU16" s="138"/>
      <c r="AV16" s="138">
        <v>35995</v>
      </c>
      <c r="AW16" s="138"/>
      <c r="AX16" s="138">
        <v>42397</v>
      </c>
      <c r="AY16" s="137">
        <f t="shared" si="14"/>
        <v>0</v>
      </c>
      <c r="AZ16" s="105">
        <v>339</v>
      </c>
      <c r="BA16" s="134">
        <f t="shared" si="15"/>
        <v>60417</v>
      </c>
      <c r="BB16" s="134">
        <f t="shared" si="16"/>
        <v>178.22123893805309</v>
      </c>
      <c r="BC16" s="138"/>
      <c r="BD16" s="138">
        <v>15105</v>
      </c>
      <c r="BE16" s="138"/>
      <c r="BF16" s="138">
        <v>45312</v>
      </c>
      <c r="BG16" s="138"/>
      <c r="BH16" s="138">
        <v>51602</v>
      </c>
      <c r="BI16" s="137">
        <f t="shared" si="17"/>
        <v>0</v>
      </c>
      <c r="BJ16" s="100">
        <v>201</v>
      </c>
      <c r="BK16" s="134">
        <f t="shared" si="18"/>
        <v>54550</v>
      </c>
      <c r="BL16" s="134">
        <f t="shared" si="19"/>
        <v>271.39303482587064</v>
      </c>
      <c r="BM16" s="135"/>
      <c r="BN16" s="135">
        <v>13638</v>
      </c>
      <c r="BO16" s="135"/>
      <c r="BP16" s="135">
        <v>40912</v>
      </c>
      <c r="BQ16" s="135"/>
      <c r="BR16" s="135">
        <v>49225</v>
      </c>
      <c r="BS16" s="339">
        <f t="shared" si="20"/>
        <v>0</v>
      </c>
    </row>
    <row r="17" spans="1:71" ht="15.95" customHeight="1">
      <c r="A17" s="285" t="s">
        <v>43</v>
      </c>
      <c r="B17" s="105">
        <v>64</v>
      </c>
      <c r="C17" s="134">
        <f t="shared" si="0"/>
        <v>81656</v>
      </c>
      <c r="D17" s="134">
        <f t="shared" si="1"/>
        <v>1275.875</v>
      </c>
      <c r="E17" s="138"/>
      <c r="F17" s="138"/>
      <c r="G17" s="138"/>
      <c r="H17" s="138"/>
      <c r="I17" s="138">
        <v>81656</v>
      </c>
      <c r="J17" s="138">
        <v>76308</v>
      </c>
      <c r="K17" s="137">
        <f t="shared" si="2"/>
        <v>0</v>
      </c>
      <c r="L17" s="105">
        <v>81</v>
      </c>
      <c r="M17" s="134">
        <f t="shared" si="3"/>
        <v>78070</v>
      </c>
      <c r="N17" s="134">
        <f t="shared" si="4"/>
        <v>963.82716049382714</v>
      </c>
      <c r="O17" s="138"/>
      <c r="P17" s="138"/>
      <c r="Q17" s="138"/>
      <c r="R17" s="138"/>
      <c r="S17" s="138">
        <v>78070</v>
      </c>
      <c r="T17" s="138">
        <v>66090</v>
      </c>
      <c r="U17" s="137">
        <f t="shared" si="5"/>
        <v>0</v>
      </c>
      <c r="V17" s="105">
        <v>49</v>
      </c>
      <c r="W17" s="134">
        <f t="shared" si="6"/>
        <v>90890</v>
      </c>
      <c r="X17" s="134">
        <f t="shared" si="7"/>
        <v>1854.8979591836735</v>
      </c>
      <c r="Y17" s="138"/>
      <c r="Z17" s="138"/>
      <c r="AA17" s="138"/>
      <c r="AB17" s="138"/>
      <c r="AC17" s="138">
        <v>90890</v>
      </c>
      <c r="AD17" s="138">
        <v>90390</v>
      </c>
      <c r="AE17" s="137">
        <f t="shared" si="8"/>
        <v>0</v>
      </c>
      <c r="AF17" s="105">
        <v>65</v>
      </c>
      <c r="AG17" s="134">
        <f t="shared" si="9"/>
        <v>109100</v>
      </c>
      <c r="AH17" s="134">
        <f t="shared" si="10"/>
        <v>1678.4615384615386</v>
      </c>
      <c r="AI17" s="138"/>
      <c r="AJ17" s="138"/>
      <c r="AK17" s="138"/>
      <c r="AL17" s="138"/>
      <c r="AM17" s="138">
        <v>109100</v>
      </c>
      <c r="AN17" s="138">
        <v>100100</v>
      </c>
      <c r="AO17" s="137">
        <f t="shared" si="11"/>
        <v>0</v>
      </c>
      <c r="AP17" s="105">
        <v>79</v>
      </c>
      <c r="AQ17" s="134">
        <f t="shared" si="12"/>
        <v>155660</v>
      </c>
      <c r="AR17" s="134">
        <f t="shared" si="13"/>
        <v>1970.379746835443</v>
      </c>
      <c r="AS17" s="138"/>
      <c r="AT17" s="138"/>
      <c r="AU17" s="138">
        <v>1800</v>
      </c>
      <c r="AV17" s="138"/>
      <c r="AW17" s="138">
        <v>153860</v>
      </c>
      <c r="AX17" s="138">
        <v>149660</v>
      </c>
      <c r="AY17" s="137">
        <f t="shared" si="14"/>
        <v>0</v>
      </c>
      <c r="AZ17" s="105">
        <v>81</v>
      </c>
      <c r="BA17" s="134">
        <f t="shared" si="15"/>
        <v>162750</v>
      </c>
      <c r="BB17" s="134">
        <f t="shared" si="16"/>
        <v>2009.2592592592594</v>
      </c>
      <c r="BC17" s="138"/>
      <c r="BD17" s="138"/>
      <c r="BE17" s="138"/>
      <c r="BF17" s="138"/>
      <c r="BG17" s="138">
        <v>162750</v>
      </c>
      <c r="BH17" s="138">
        <v>162750</v>
      </c>
      <c r="BI17" s="137">
        <f t="shared" si="17"/>
        <v>0</v>
      </c>
      <c r="BJ17" s="100">
        <v>68</v>
      </c>
      <c r="BK17" s="134">
        <f t="shared" si="18"/>
        <v>148770</v>
      </c>
      <c r="BL17" s="134">
        <f t="shared" si="19"/>
        <v>2187.794117647059</v>
      </c>
      <c r="BM17" s="135"/>
      <c r="BN17" s="135"/>
      <c r="BO17" s="135"/>
      <c r="BP17" s="135"/>
      <c r="BQ17" s="135">
        <v>148770</v>
      </c>
      <c r="BR17" s="135">
        <v>135270</v>
      </c>
      <c r="BS17" s="339">
        <f t="shared" si="20"/>
        <v>0</v>
      </c>
    </row>
    <row r="18" spans="1:71" ht="15.95" customHeight="1">
      <c r="A18" s="285" t="s">
        <v>44</v>
      </c>
      <c r="B18" s="105">
        <v>294</v>
      </c>
      <c r="C18" s="134">
        <f t="shared" si="0"/>
        <v>124358</v>
      </c>
      <c r="D18" s="134">
        <f t="shared" si="1"/>
        <v>422.98639455782313</v>
      </c>
      <c r="E18" s="138"/>
      <c r="F18" s="138"/>
      <c r="G18" s="138">
        <v>124358</v>
      </c>
      <c r="H18" s="138"/>
      <c r="I18" s="138"/>
      <c r="J18" s="138">
        <v>124358</v>
      </c>
      <c r="K18" s="137">
        <f t="shared" si="2"/>
        <v>0</v>
      </c>
      <c r="L18" s="105">
        <v>320</v>
      </c>
      <c r="M18" s="134">
        <f t="shared" si="3"/>
        <v>141716</v>
      </c>
      <c r="N18" s="134">
        <f t="shared" si="4"/>
        <v>442.86250000000001</v>
      </c>
      <c r="O18" s="138"/>
      <c r="P18" s="138"/>
      <c r="Q18" s="138">
        <v>141716</v>
      </c>
      <c r="R18" s="138"/>
      <c r="S18" s="138"/>
      <c r="T18" s="138">
        <v>141716</v>
      </c>
      <c r="U18" s="137">
        <f t="shared" si="5"/>
        <v>0</v>
      </c>
      <c r="V18" s="105">
        <v>320</v>
      </c>
      <c r="W18" s="134">
        <f t="shared" si="6"/>
        <v>149152</v>
      </c>
      <c r="X18" s="134">
        <f t="shared" si="7"/>
        <v>466.1</v>
      </c>
      <c r="Y18" s="138"/>
      <c r="Z18" s="138"/>
      <c r="AA18" s="138">
        <v>149152</v>
      </c>
      <c r="AB18" s="138"/>
      <c r="AC18" s="138"/>
      <c r="AD18" s="138">
        <v>149152</v>
      </c>
      <c r="AE18" s="137">
        <f t="shared" si="8"/>
        <v>0</v>
      </c>
      <c r="AF18" s="105">
        <v>188</v>
      </c>
      <c r="AG18" s="134">
        <f t="shared" si="9"/>
        <v>124928</v>
      </c>
      <c r="AH18" s="134">
        <f t="shared" si="10"/>
        <v>664.51063829787233</v>
      </c>
      <c r="AI18" s="138"/>
      <c r="AJ18" s="138"/>
      <c r="AK18" s="138">
        <v>124928</v>
      </c>
      <c r="AL18" s="138"/>
      <c r="AM18" s="138"/>
      <c r="AN18" s="138">
        <v>124928</v>
      </c>
      <c r="AO18" s="137">
        <f t="shared" si="11"/>
        <v>0</v>
      </c>
      <c r="AP18" s="105">
        <v>198</v>
      </c>
      <c r="AQ18" s="134">
        <f t="shared" si="12"/>
        <v>118301</v>
      </c>
      <c r="AR18" s="134">
        <f t="shared" si="13"/>
        <v>597.47979797979804</v>
      </c>
      <c r="AS18" s="138"/>
      <c r="AT18" s="138"/>
      <c r="AU18" s="138">
        <v>118301</v>
      </c>
      <c r="AV18" s="138"/>
      <c r="AW18" s="138"/>
      <c r="AX18" s="138">
        <v>118301</v>
      </c>
      <c r="AY18" s="137">
        <f t="shared" si="14"/>
        <v>0</v>
      </c>
      <c r="AZ18" s="105">
        <v>256</v>
      </c>
      <c r="BA18" s="134">
        <f t="shared" si="15"/>
        <v>162366</v>
      </c>
      <c r="BB18" s="134">
        <f t="shared" si="16"/>
        <v>634.2421875</v>
      </c>
      <c r="BC18" s="138"/>
      <c r="BD18" s="138"/>
      <c r="BE18" s="138">
        <v>162366</v>
      </c>
      <c r="BF18" s="138"/>
      <c r="BG18" s="138"/>
      <c r="BH18" s="138">
        <v>162366</v>
      </c>
      <c r="BI18" s="137">
        <f t="shared" si="17"/>
        <v>0</v>
      </c>
      <c r="BJ18" s="100">
        <v>289</v>
      </c>
      <c r="BK18" s="134">
        <f t="shared" si="18"/>
        <v>189120</v>
      </c>
      <c r="BL18" s="134">
        <f t="shared" si="19"/>
        <v>654.39446366782011</v>
      </c>
      <c r="BM18" s="135"/>
      <c r="BN18" s="135"/>
      <c r="BO18" s="135">
        <v>189120</v>
      </c>
      <c r="BP18" s="135"/>
      <c r="BQ18" s="135"/>
      <c r="BR18" s="135">
        <v>189120</v>
      </c>
      <c r="BS18" s="339">
        <f t="shared" si="20"/>
        <v>0</v>
      </c>
    </row>
    <row r="19" spans="1:71" s="104" customFormat="1" ht="15.95" customHeight="1">
      <c r="A19" s="285" t="s">
        <v>190</v>
      </c>
      <c r="B19" s="105"/>
      <c r="C19" s="134">
        <f t="shared" si="0"/>
        <v>0</v>
      </c>
      <c r="D19" s="134">
        <f t="shared" si="1"/>
        <v>0</v>
      </c>
      <c r="E19" s="138"/>
      <c r="F19" s="138"/>
      <c r="G19" s="138"/>
      <c r="H19" s="138"/>
      <c r="I19" s="138"/>
      <c r="J19" s="138"/>
      <c r="K19" s="137">
        <f t="shared" si="2"/>
        <v>0</v>
      </c>
      <c r="L19" s="105"/>
      <c r="M19" s="134">
        <f t="shared" si="3"/>
        <v>0</v>
      </c>
      <c r="N19" s="134">
        <f t="shared" si="4"/>
        <v>0</v>
      </c>
      <c r="O19" s="138"/>
      <c r="P19" s="138"/>
      <c r="Q19" s="138"/>
      <c r="R19" s="138"/>
      <c r="S19" s="138"/>
      <c r="T19" s="138"/>
      <c r="U19" s="137">
        <f t="shared" si="5"/>
        <v>0</v>
      </c>
      <c r="V19" s="105"/>
      <c r="W19" s="134">
        <f t="shared" si="6"/>
        <v>0</v>
      </c>
      <c r="X19" s="134">
        <f t="shared" si="7"/>
        <v>0</v>
      </c>
      <c r="Y19" s="138"/>
      <c r="Z19" s="138"/>
      <c r="AA19" s="138"/>
      <c r="AB19" s="138"/>
      <c r="AC19" s="138"/>
      <c r="AD19" s="138"/>
      <c r="AE19" s="137">
        <f t="shared" si="8"/>
        <v>0</v>
      </c>
      <c r="AF19" s="105"/>
      <c r="AG19" s="134">
        <f t="shared" si="9"/>
        <v>0</v>
      </c>
      <c r="AH19" s="134">
        <f t="shared" si="10"/>
        <v>0</v>
      </c>
      <c r="AI19" s="138"/>
      <c r="AJ19" s="138"/>
      <c r="AK19" s="138"/>
      <c r="AL19" s="138"/>
      <c r="AM19" s="138"/>
      <c r="AN19" s="138"/>
      <c r="AO19" s="137">
        <f t="shared" si="11"/>
        <v>0</v>
      </c>
      <c r="AP19" s="105"/>
      <c r="AQ19" s="134">
        <f t="shared" ref="AQ19:AQ21" si="21">SUM(AS19:AW19)</f>
        <v>0</v>
      </c>
      <c r="AR19" s="134">
        <f t="shared" si="13"/>
        <v>0</v>
      </c>
      <c r="AS19" s="138"/>
      <c r="AT19" s="138"/>
      <c r="AU19" s="138"/>
      <c r="AV19" s="138"/>
      <c r="AW19" s="138"/>
      <c r="AX19" s="138"/>
      <c r="AY19" s="137">
        <f t="shared" si="14"/>
        <v>0</v>
      </c>
      <c r="AZ19" s="105">
        <v>4</v>
      </c>
      <c r="BA19" s="134">
        <f t="shared" si="15"/>
        <v>7000</v>
      </c>
      <c r="BB19" s="134">
        <f t="shared" si="16"/>
        <v>1750</v>
      </c>
      <c r="BC19" s="138"/>
      <c r="BD19" s="138"/>
      <c r="BE19" s="138">
        <v>7000</v>
      </c>
      <c r="BF19" s="138"/>
      <c r="BG19" s="138"/>
      <c r="BH19" s="138">
        <v>7000</v>
      </c>
      <c r="BI19" s="137">
        <f t="shared" si="17"/>
        <v>0</v>
      </c>
      <c r="BJ19" s="100">
        <v>4</v>
      </c>
      <c r="BK19" s="134">
        <f t="shared" si="18"/>
        <v>7000</v>
      </c>
      <c r="BL19" s="134">
        <f t="shared" si="19"/>
        <v>1750</v>
      </c>
      <c r="BM19" s="135"/>
      <c r="BN19" s="135"/>
      <c r="BO19" s="135">
        <v>7000</v>
      </c>
      <c r="BP19" s="135"/>
      <c r="BQ19" s="135"/>
      <c r="BR19" s="135">
        <v>7000</v>
      </c>
      <c r="BS19" s="339">
        <f t="shared" si="20"/>
        <v>0</v>
      </c>
    </row>
    <row r="20" spans="1:71" s="104" customFormat="1" ht="15.95" customHeight="1">
      <c r="A20" s="285" t="s">
        <v>191</v>
      </c>
      <c r="B20" s="105"/>
      <c r="C20" s="134">
        <f t="shared" si="0"/>
        <v>0</v>
      </c>
      <c r="D20" s="134">
        <f t="shared" si="1"/>
        <v>0</v>
      </c>
      <c r="E20" s="138"/>
      <c r="F20" s="138"/>
      <c r="G20" s="138"/>
      <c r="H20" s="138"/>
      <c r="I20" s="138"/>
      <c r="J20" s="138"/>
      <c r="K20" s="137">
        <f t="shared" si="2"/>
        <v>0</v>
      </c>
      <c r="L20" s="105"/>
      <c r="M20" s="134">
        <f t="shared" si="3"/>
        <v>0</v>
      </c>
      <c r="N20" s="134">
        <f t="shared" si="4"/>
        <v>0</v>
      </c>
      <c r="O20" s="138"/>
      <c r="P20" s="138"/>
      <c r="Q20" s="138"/>
      <c r="R20" s="138"/>
      <c r="S20" s="138"/>
      <c r="T20" s="138"/>
      <c r="U20" s="137">
        <f t="shared" si="5"/>
        <v>0</v>
      </c>
      <c r="V20" s="105"/>
      <c r="W20" s="134">
        <f t="shared" si="6"/>
        <v>0</v>
      </c>
      <c r="X20" s="134">
        <f t="shared" si="7"/>
        <v>0</v>
      </c>
      <c r="Y20" s="138"/>
      <c r="Z20" s="138"/>
      <c r="AA20" s="138"/>
      <c r="AB20" s="138"/>
      <c r="AC20" s="138"/>
      <c r="AD20" s="138"/>
      <c r="AE20" s="137">
        <f t="shared" si="8"/>
        <v>0</v>
      </c>
      <c r="AF20" s="105"/>
      <c r="AG20" s="134">
        <f t="shared" si="9"/>
        <v>0</v>
      </c>
      <c r="AH20" s="134">
        <f t="shared" si="10"/>
        <v>0</v>
      </c>
      <c r="AI20" s="138"/>
      <c r="AJ20" s="138"/>
      <c r="AK20" s="138"/>
      <c r="AL20" s="138"/>
      <c r="AM20" s="138"/>
      <c r="AN20" s="138"/>
      <c r="AO20" s="137">
        <f t="shared" si="11"/>
        <v>0</v>
      </c>
      <c r="AP20" s="105"/>
      <c r="AQ20" s="134">
        <f t="shared" si="21"/>
        <v>0</v>
      </c>
      <c r="AR20" s="134">
        <f t="shared" si="13"/>
        <v>0</v>
      </c>
      <c r="AS20" s="138"/>
      <c r="AT20" s="138"/>
      <c r="AU20" s="138"/>
      <c r="AV20" s="138"/>
      <c r="AW20" s="138"/>
      <c r="AX20" s="138"/>
      <c r="AY20" s="137">
        <f t="shared" si="14"/>
        <v>0</v>
      </c>
      <c r="AZ20" s="105">
        <v>31</v>
      </c>
      <c r="BA20" s="134">
        <f t="shared" si="15"/>
        <v>32186.85</v>
      </c>
      <c r="BB20" s="134">
        <f t="shared" si="16"/>
        <v>1038.2854838709677</v>
      </c>
      <c r="BC20" s="138"/>
      <c r="BD20" s="138"/>
      <c r="BE20" s="138">
        <v>32186.85</v>
      </c>
      <c r="BF20" s="138"/>
      <c r="BG20" s="138"/>
      <c r="BH20" s="138">
        <v>32186.85</v>
      </c>
      <c r="BI20" s="137">
        <f t="shared" si="17"/>
        <v>0</v>
      </c>
      <c r="BJ20" s="100">
        <v>23</v>
      </c>
      <c r="BK20" s="134">
        <f t="shared" si="18"/>
        <v>62398.25</v>
      </c>
      <c r="BL20" s="134">
        <f t="shared" si="19"/>
        <v>2712.967391304348</v>
      </c>
      <c r="BM20" s="135"/>
      <c r="BN20" s="135"/>
      <c r="BO20" s="135">
        <v>62398.25</v>
      </c>
      <c r="BP20" s="135"/>
      <c r="BQ20" s="135"/>
      <c r="BR20" s="135">
        <v>62398.25</v>
      </c>
      <c r="BS20" s="339">
        <f t="shared" si="20"/>
        <v>0</v>
      </c>
    </row>
    <row r="21" spans="1:71" s="104" customFormat="1" ht="15.95" customHeight="1">
      <c r="A21" s="285" t="s">
        <v>192</v>
      </c>
      <c r="B21" s="105"/>
      <c r="C21" s="134">
        <f t="shared" si="0"/>
        <v>0</v>
      </c>
      <c r="D21" s="134">
        <f t="shared" si="1"/>
        <v>0</v>
      </c>
      <c r="E21" s="138"/>
      <c r="F21" s="138"/>
      <c r="G21" s="138"/>
      <c r="H21" s="138"/>
      <c r="I21" s="138"/>
      <c r="J21" s="138"/>
      <c r="K21" s="137">
        <f t="shared" si="2"/>
        <v>0</v>
      </c>
      <c r="L21" s="105"/>
      <c r="M21" s="134">
        <f t="shared" si="3"/>
        <v>0</v>
      </c>
      <c r="N21" s="134">
        <f t="shared" si="4"/>
        <v>0</v>
      </c>
      <c r="O21" s="138"/>
      <c r="P21" s="138"/>
      <c r="Q21" s="138"/>
      <c r="R21" s="138"/>
      <c r="S21" s="138"/>
      <c r="T21" s="138"/>
      <c r="U21" s="137">
        <f t="shared" si="5"/>
        <v>0</v>
      </c>
      <c r="V21" s="105"/>
      <c r="W21" s="134">
        <f t="shared" si="6"/>
        <v>0</v>
      </c>
      <c r="X21" s="134">
        <f t="shared" si="7"/>
        <v>0</v>
      </c>
      <c r="Y21" s="138"/>
      <c r="Z21" s="138"/>
      <c r="AA21" s="138"/>
      <c r="AB21" s="138"/>
      <c r="AC21" s="138"/>
      <c r="AD21" s="138"/>
      <c r="AE21" s="137">
        <f t="shared" si="8"/>
        <v>0</v>
      </c>
      <c r="AF21" s="105"/>
      <c r="AG21" s="134">
        <f t="shared" si="9"/>
        <v>0</v>
      </c>
      <c r="AH21" s="134">
        <f t="shared" si="10"/>
        <v>0</v>
      </c>
      <c r="AI21" s="138"/>
      <c r="AJ21" s="138"/>
      <c r="AK21" s="138"/>
      <c r="AL21" s="138"/>
      <c r="AM21" s="138"/>
      <c r="AN21" s="138"/>
      <c r="AO21" s="137">
        <f t="shared" si="11"/>
        <v>0</v>
      </c>
      <c r="AP21" s="105"/>
      <c r="AQ21" s="134">
        <f t="shared" si="21"/>
        <v>0</v>
      </c>
      <c r="AR21" s="134">
        <f t="shared" si="13"/>
        <v>0</v>
      </c>
      <c r="AS21" s="138"/>
      <c r="AT21" s="138"/>
      <c r="AU21" s="138"/>
      <c r="AV21" s="138"/>
      <c r="AW21" s="138"/>
      <c r="AX21" s="138"/>
      <c r="AY21" s="137">
        <f t="shared" si="14"/>
        <v>0</v>
      </c>
      <c r="AZ21" s="105">
        <v>729</v>
      </c>
      <c r="BA21" s="134">
        <f t="shared" si="15"/>
        <v>443300</v>
      </c>
      <c r="BB21" s="134">
        <f t="shared" si="16"/>
        <v>608.09327846364886</v>
      </c>
      <c r="BC21" s="138"/>
      <c r="BD21" s="138"/>
      <c r="BE21" s="138"/>
      <c r="BF21" s="138">
        <v>443300</v>
      </c>
      <c r="BG21" s="138"/>
      <c r="BH21" s="138">
        <v>363400</v>
      </c>
      <c r="BI21" s="137">
        <f t="shared" si="17"/>
        <v>0</v>
      </c>
      <c r="BJ21" s="100">
        <v>1126</v>
      </c>
      <c r="BK21" s="134">
        <f t="shared" si="18"/>
        <v>1507350</v>
      </c>
      <c r="BL21" s="134">
        <f t="shared" si="19"/>
        <v>1338.6767317939609</v>
      </c>
      <c r="BM21" s="135"/>
      <c r="BN21" s="135"/>
      <c r="BO21" s="135"/>
      <c r="BP21" s="135">
        <v>1507350</v>
      </c>
      <c r="BQ21" s="135"/>
      <c r="BR21" s="135">
        <v>1130850</v>
      </c>
      <c r="BS21" s="339">
        <f t="shared" si="20"/>
        <v>0</v>
      </c>
    </row>
    <row r="22" spans="1:71" s="101" customFormat="1" ht="15.95" customHeight="1">
      <c r="A22" s="99"/>
      <c r="B22" s="100"/>
      <c r="C22" s="178">
        <f t="shared" ref="C22:C24" si="22">SUM(E22:I22)</f>
        <v>0</v>
      </c>
      <c r="D22" s="178">
        <f t="shared" si="1"/>
        <v>0</v>
      </c>
      <c r="E22" s="135"/>
      <c r="F22" s="135"/>
      <c r="G22" s="135"/>
      <c r="H22" s="135"/>
      <c r="I22" s="135"/>
      <c r="J22" s="135"/>
      <c r="K22" s="339">
        <f t="shared" si="2"/>
        <v>0</v>
      </c>
      <c r="L22" s="100"/>
      <c r="M22" s="178">
        <f t="shared" si="3"/>
        <v>0</v>
      </c>
      <c r="N22" s="178">
        <f t="shared" si="4"/>
        <v>0</v>
      </c>
      <c r="O22" s="135"/>
      <c r="P22" s="135"/>
      <c r="Q22" s="135"/>
      <c r="R22" s="135"/>
      <c r="S22" s="135"/>
      <c r="T22" s="135"/>
      <c r="U22" s="339">
        <f t="shared" si="5"/>
        <v>0</v>
      </c>
      <c r="V22" s="100"/>
      <c r="W22" s="178">
        <f t="shared" si="6"/>
        <v>0</v>
      </c>
      <c r="X22" s="178">
        <f t="shared" si="7"/>
        <v>0</v>
      </c>
      <c r="Y22" s="135"/>
      <c r="Z22" s="135"/>
      <c r="AA22" s="135"/>
      <c r="AB22" s="135"/>
      <c r="AC22" s="135"/>
      <c r="AD22" s="135"/>
      <c r="AE22" s="339">
        <f t="shared" si="8"/>
        <v>0</v>
      </c>
      <c r="AF22" s="100"/>
      <c r="AG22" s="178">
        <f t="shared" si="9"/>
        <v>0</v>
      </c>
      <c r="AH22" s="178">
        <f t="shared" si="10"/>
        <v>0</v>
      </c>
      <c r="AI22" s="135"/>
      <c r="AJ22" s="135"/>
      <c r="AK22" s="135"/>
      <c r="AL22" s="135"/>
      <c r="AM22" s="135"/>
      <c r="AN22" s="135"/>
      <c r="AO22" s="339">
        <f t="shared" si="11"/>
        <v>0</v>
      </c>
      <c r="AP22" s="100"/>
      <c r="AQ22" s="178">
        <f t="shared" ref="AQ22:AQ24" si="23">SUM(AS22:AW22)</f>
        <v>0</v>
      </c>
      <c r="AR22" s="178">
        <f t="shared" si="13"/>
        <v>0</v>
      </c>
      <c r="AS22" s="135"/>
      <c r="AT22" s="135"/>
      <c r="AU22" s="135"/>
      <c r="AV22" s="135"/>
      <c r="AW22" s="135"/>
      <c r="AX22" s="135"/>
      <c r="AY22" s="339">
        <f t="shared" si="14"/>
        <v>0</v>
      </c>
      <c r="AZ22" s="100"/>
      <c r="BA22" s="178">
        <f t="shared" si="15"/>
        <v>0</v>
      </c>
      <c r="BB22" s="178">
        <f t="shared" si="16"/>
        <v>0</v>
      </c>
      <c r="BC22" s="135"/>
      <c r="BD22" s="135"/>
      <c r="BE22" s="135"/>
      <c r="BF22" s="135"/>
      <c r="BG22" s="135"/>
      <c r="BH22" s="135"/>
      <c r="BI22" s="339">
        <f t="shared" si="17"/>
        <v>0</v>
      </c>
      <c r="BJ22" s="100"/>
      <c r="BK22" s="178">
        <f t="shared" si="18"/>
        <v>0</v>
      </c>
      <c r="BL22" s="178">
        <f t="shared" si="19"/>
        <v>0</v>
      </c>
      <c r="BM22" s="135"/>
      <c r="BN22" s="135"/>
      <c r="BO22" s="135"/>
      <c r="BP22" s="135"/>
      <c r="BQ22" s="135"/>
      <c r="BR22" s="135"/>
      <c r="BS22" s="339">
        <f t="shared" si="20"/>
        <v>0</v>
      </c>
    </row>
    <row r="23" spans="1:71" s="101" customFormat="1" ht="15.95" customHeight="1">
      <c r="A23" s="99"/>
      <c r="B23" s="100"/>
      <c r="C23" s="178">
        <f t="shared" si="22"/>
        <v>0</v>
      </c>
      <c r="D23" s="178">
        <f t="shared" si="1"/>
        <v>0</v>
      </c>
      <c r="E23" s="135"/>
      <c r="F23" s="135"/>
      <c r="G23" s="135"/>
      <c r="H23" s="135"/>
      <c r="I23" s="135"/>
      <c r="J23" s="135"/>
      <c r="K23" s="339">
        <f t="shared" si="2"/>
        <v>0</v>
      </c>
      <c r="L23" s="100"/>
      <c r="M23" s="178">
        <f t="shared" si="3"/>
        <v>0</v>
      </c>
      <c r="N23" s="178">
        <f t="shared" si="4"/>
        <v>0</v>
      </c>
      <c r="O23" s="135"/>
      <c r="P23" s="135"/>
      <c r="Q23" s="135"/>
      <c r="R23" s="135"/>
      <c r="S23" s="135"/>
      <c r="T23" s="135"/>
      <c r="U23" s="339">
        <f t="shared" si="5"/>
        <v>0</v>
      </c>
      <c r="V23" s="100"/>
      <c r="W23" s="178">
        <f t="shared" si="6"/>
        <v>0</v>
      </c>
      <c r="X23" s="178">
        <f t="shared" si="7"/>
        <v>0</v>
      </c>
      <c r="Y23" s="135"/>
      <c r="Z23" s="135"/>
      <c r="AA23" s="135"/>
      <c r="AB23" s="135"/>
      <c r="AC23" s="135"/>
      <c r="AD23" s="135"/>
      <c r="AE23" s="339">
        <f t="shared" si="8"/>
        <v>0</v>
      </c>
      <c r="AF23" s="100"/>
      <c r="AG23" s="178">
        <f t="shared" si="9"/>
        <v>0</v>
      </c>
      <c r="AH23" s="178">
        <f t="shared" si="10"/>
        <v>0</v>
      </c>
      <c r="AI23" s="135"/>
      <c r="AJ23" s="135"/>
      <c r="AK23" s="135"/>
      <c r="AL23" s="135"/>
      <c r="AM23" s="135"/>
      <c r="AN23" s="135"/>
      <c r="AO23" s="339">
        <f t="shared" si="11"/>
        <v>0</v>
      </c>
      <c r="AP23" s="100"/>
      <c r="AQ23" s="178">
        <f t="shared" si="23"/>
        <v>0</v>
      </c>
      <c r="AR23" s="178">
        <f t="shared" si="13"/>
        <v>0</v>
      </c>
      <c r="AS23" s="135"/>
      <c r="AT23" s="135"/>
      <c r="AU23" s="135"/>
      <c r="AV23" s="135"/>
      <c r="AW23" s="135"/>
      <c r="AX23" s="135"/>
      <c r="AY23" s="339">
        <f t="shared" si="14"/>
        <v>0</v>
      </c>
      <c r="AZ23" s="100"/>
      <c r="BA23" s="178">
        <f t="shared" si="15"/>
        <v>0</v>
      </c>
      <c r="BB23" s="178">
        <f t="shared" si="16"/>
        <v>0</v>
      </c>
      <c r="BC23" s="135"/>
      <c r="BD23" s="135"/>
      <c r="BE23" s="135"/>
      <c r="BF23" s="135"/>
      <c r="BG23" s="135"/>
      <c r="BH23" s="135"/>
      <c r="BI23" s="339">
        <f t="shared" si="17"/>
        <v>0</v>
      </c>
      <c r="BJ23" s="100"/>
      <c r="BK23" s="178">
        <f t="shared" si="18"/>
        <v>0</v>
      </c>
      <c r="BL23" s="178">
        <f t="shared" si="19"/>
        <v>0</v>
      </c>
      <c r="BM23" s="135"/>
      <c r="BN23" s="135"/>
      <c r="BO23" s="135"/>
      <c r="BP23" s="135"/>
      <c r="BQ23" s="135"/>
      <c r="BR23" s="135"/>
      <c r="BS23" s="339">
        <f t="shared" si="20"/>
        <v>0</v>
      </c>
    </row>
    <row r="24" spans="1:71" s="101" customFormat="1" ht="15.95" customHeight="1">
      <c r="A24" s="99"/>
      <c r="B24" s="100"/>
      <c r="C24" s="178">
        <f t="shared" si="22"/>
        <v>0</v>
      </c>
      <c r="D24" s="178">
        <f t="shared" si="1"/>
        <v>0</v>
      </c>
      <c r="E24" s="135"/>
      <c r="F24" s="135"/>
      <c r="G24" s="135"/>
      <c r="H24" s="135"/>
      <c r="I24" s="135"/>
      <c r="J24" s="135"/>
      <c r="K24" s="339">
        <f t="shared" si="2"/>
        <v>0</v>
      </c>
      <c r="L24" s="100"/>
      <c r="M24" s="178">
        <f t="shared" si="3"/>
        <v>0</v>
      </c>
      <c r="N24" s="178">
        <f t="shared" si="4"/>
        <v>0</v>
      </c>
      <c r="O24" s="135"/>
      <c r="P24" s="135"/>
      <c r="Q24" s="135"/>
      <c r="R24" s="135"/>
      <c r="S24" s="135"/>
      <c r="T24" s="135"/>
      <c r="U24" s="339">
        <f t="shared" si="5"/>
        <v>0</v>
      </c>
      <c r="V24" s="100"/>
      <c r="W24" s="178">
        <f t="shared" si="6"/>
        <v>0</v>
      </c>
      <c r="X24" s="178">
        <f t="shared" si="7"/>
        <v>0</v>
      </c>
      <c r="Y24" s="135"/>
      <c r="Z24" s="135"/>
      <c r="AA24" s="135"/>
      <c r="AB24" s="135"/>
      <c r="AC24" s="135"/>
      <c r="AD24" s="135"/>
      <c r="AE24" s="339">
        <f t="shared" si="8"/>
        <v>0</v>
      </c>
      <c r="AF24" s="100"/>
      <c r="AG24" s="178">
        <f t="shared" si="9"/>
        <v>0</v>
      </c>
      <c r="AH24" s="178">
        <f t="shared" si="10"/>
        <v>0</v>
      </c>
      <c r="AI24" s="135"/>
      <c r="AJ24" s="135"/>
      <c r="AK24" s="135"/>
      <c r="AL24" s="135"/>
      <c r="AM24" s="135"/>
      <c r="AN24" s="135"/>
      <c r="AO24" s="339">
        <f t="shared" si="11"/>
        <v>0</v>
      </c>
      <c r="AP24" s="100"/>
      <c r="AQ24" s="178">
        <f t="shared" si="23"/>
        <v>0</v>
      </c>
      <c r="AR24" s="178">
        <f t="shared" si="13"/>
        <v>0</v>
      </c>
      <c r="AS24" s="135"/>
      <c r="AT24" s="135"/>
      <c r="AU24" s="135"/>
      <c r="AV24" s="135"/>
      <c r="AW24" s="135"/>
      <c r="AX24" s="135"/>
      <c r="AY24" s="339">
        <f t="shared" si="14"/>
        <v>0</v>
      </c>
      <c r="AZ24" s="100"/>
      <c r="BA24" s="178">
        <f t="shared" si="15"/>
        <v>0</v>
      </c>
      <c r="BB24" s="178">
        <f t="shared" si="16"/>
        <v>0</v>
      </c>
      <c r="BC24" s="135"/>
      <c r="BD24" s="135"/>
      <c r="BE24" s="135"/>
      <c r="BF24" s="135"/>
      <c r="BG24" s="135"/>
      <c r="BH24" s="135"/>
      <c r="BI24" s="339">
        <f t="shared" si="17"/>
        <v>0</v>
      </c>
      <c r="BJ24" s="100"/>
      <c r="BK24" s="178">
        <f t="shared" si="18"/>
        <v>0</v>
      </c>
      <c r="BL24" s="178">
        <f t="shared" si="19"/>
        <v>0</v>
      </c>
      <c r="BM24" s="135"/>
      <c r="BN24" s="135"/>
      <c r="BO24" s="135"/>
      <c r="BP24" s="135"/>
      <c r="BQ24" s="135"/>
      <c r="BR24" s="135"/>
      <c r="BS24" s="339">
        <f t="shared" si="20"/>
        <v>0</v>
      </c>
    </row>
    <row r="25" spans="1:71" s="101" customFormat="1" ht="15.95" customHeight="1">
      <c r="A25" s="99"/>
      <c r="B25" s="100"/>
      <c r="C25" s="178">
        <f t="shared" ref="C25" si="24">SUM(E25:I25)</f>
        <v>0</v>
      </c>
      <c r="D25" s="178">
        <f t="shared" si="1"/>
        <v>0</v>
      </c>
      <c r="E25" s="135"/>
      <c r="F25" s="135"/>
      <c r="G25" s="135"/>
      <c r="H25" s="135"/>
      <c r="I25" s="135"/>
      <c r="J25" s="135"/>
      <c r="K25" s="339">
        <f t="shared" si="2"/>
        <v>0</v>
      </c>
      <c r="L25" s="100"/>
      <c r="M25" s="178">
        <f t="shared" ref="M25:M26" si="25">SUM(O25:S25)</f>
        <v>0</v>
      </c>
      <c r="N25" s="178">
        <f t="shared" si="4"/>
        <v>0</v>
      </c>
      <c r="O25" s="135"/>
      <c r="P25" s="135"/>
      <c r="Q25" s="135"/>
      <c r="R25" s="135"/>
      <c r="S25" s="135"/>
      <c r="T25" s="135"/>
      <c r="U25" s="339">
        <f t="shared" si="5"/>
        <v>0</v>
      </c>
      <c r="V25" s="100"/>
      <c r="W25" s="178">
        <f t="shared" ref="W25:W26" si="26">SUM(Y25:AC25)</f>
        <v>0</v>
      </c>
      <c r="X25" s="178">
        <f t="shared" si="7"/>
        <v>0</v>
      </c>
      <c r="Y25" s="135"/>
      <c r="Z25" s="135"/>
      <c r="AA25" s="135"/>
      <c r="AB25" s="135"/>
      <c r="AC25" s="135"/>
      <c r="AD25" s="135"/>
      <c r="AE25" s="339">
        <f t="shared" si="8"/>
        <v>0</v>
      </c>
      <c r="AF25" s="100"/>
      <c r="AG25" s="178">
        <f t="shared" si="9"/>
        <v>0</v>
      </c>
      <c r="AH25" s="178">
        <f t="shared" si="10"/>
        <v>0</v>
      </c>
      <c r="AI25" s="135"/>
      <c r="AJ25" s="135"/>
      <c r="AK25" s="135"/>
      <c r="AL25" s="135"/>
      <c r="AM25" s="135"/>
      <c r="AN25" s="135"/>
      <c r="AO25" s="339">
        <f t="shared" si="11"/>
        <v>0</v>
      </c>
      <c r="AP25" s="100"/>
      <c r="AQ25" s="178">
        <f t="shared" si="12"/>
        <v>0</v>
      </c>
      <c r="AR25" s="178">
        <f t="shared" si="13"/>
        <v>0</v>
      </c>
      <c r="AS25" s="135"/>
      <c r="AT25" s="135"/>
      <c r="AU25" s="135"/>
      <c r="AV25" s="135"/>
      <c r="AW25" s="135"/>
      <c r="AX25" s="135"/>
      <c r="AY25" s="339">
        <f t="shared" si="14"/>
        <v>0</v>
      </c>
      <c r="AZ25" s="100"/>
      <c r="BA25" s="178">
        <f t="shared" si="15"/>
        <v>0</v>
      </c>
      <c r="BB25" s="178">
        <f t="shared" si="16"/>
        <v>0</v>
      </c>
      <c r="BC25" s="135"/>
      <c r="BD25" s="135"/>
      <c r="BE25" s="135"/>
      <c r="BF25" s="135"/>
      <c r="BG25" s="135"/>
      <c r="BH25" s="135"/>
      <c r="BI25" s="339">
        <f t="shared" si="17"/>
        <v>0</v>
      </c>
      <c r="BJ25" s="100"/>
      <c r="BK25" s="178">
        <f t="shared" si="18"/>
        <v>0</v>
      </c>
      <c r="BL25" s="178">
        <f t="shared" si="19"/>
        <v>0</v>
      </c>
      <c r="BM25" s="135"/>
      <c r="BN25" s="135"/>
      <c r="BO25" s="135"/>
      <c r="BP25" s="135"/>
      <c r="BQ25" s="135"/>
      <c r="BR25" s="135"/>
      <c r="BS25" s="339">
        <f t="shared" si="20"/>
        <v>0</v>
      </c>
    </row>
    <row r="26" spans="1:71" s="101" customFormat="1" ht="15.95" customHeight="1">
      <c r="A26" s="99"/>
      <c r="B26" s="100"/>
      <c r="C26" s="178">
        <f t="shared" ref="C26" si="27">SUM(E26:I26)</f>
        <v>0</v>
      </c>
      <c r="D26" s="178">
        <f t="shared" si="1"/>
        <v>0</v>
      </c>
      <c r="E26" s="135"/>
      <c r="F26" s="135"/>
      <c r="G26" s="135"/>
      <c r="H26" s="135"/>
      <c r="I26" s="135"/>
      <c r="J26" s="135"/>
      <c r="K26" s="339">
        <f t="shared" si="2"/>
        <v>0</v>
      </c>
      <c r="L26" s="100"/>
      <c r="M26" s="178">
        <f t="shared" si="25"/>
        <v>0</v>
      </c>
      <c r="N26" s="178">
        <f t="shared" si="4"/>
        <v>0</v>
      </c>
      <c r="O26" s="135"/>
      <c r="P26" s="135"/>
      <c r="Q26" s="135"/>
      <c r="R26" s="135"/>
      <c r="S26" s="135"/>
      <c r="T26" s="135"/>
      <c r="U26" s="339">
        <f t="shared" si="5"/>
        <v>0</v>
      </c>
      <c r="V26" s="100"/>
      <c r="W26" s="178">
        <f t="shared" si="26"/>
        <v>0</v>
      </c>
      <c r="X26" s="178">
        <f t="shared" si="7"/>
        <v>0</v>
      </c>
      <c r="Y26" s="135"/>
      <c r="Z26" s="135"/>
      <c r="AA26" s="135"/>
      <c r="AB26" s="135"/>
      <c r="AC26" s="135"/>
      <c r="AD26" s="135"/>
      <c r="AE26" s="339">
        <f t="shared" si="8"/>
        <v>0</v>
      </c>
      <c r="AF26" s="100"/>
      <c r="AG26" s="178">
        <f t="shared" si="9"/>
        <v>0</v>
      </c>
      <c r="AH26" s="178">
        <f t="shared" si="10"/>
        <v>0</v>
      </c>
      <c r="AI26" s="135"/>
      <c r="AJ26" s="135"/>
      <c r="AK26" s="135"/>
      <c r="AL26" s="135"/>
      <c r="AM26" s="135"/>
      <c r="AN26" s="135"/>
      <c r="AO26" s="339">
        <f t="shared" si="11"/>
        <v>0</v>
      </c>
      <c r="AP26" s="100"/>
      <c r="AQ26" s="178">
        <f t="shared" si="12"/>
        <v>0</v>
      </c>
      <c r="AR26" s="178">
        <f t="shared" si="13"/>
        <v>0</v>
      </c>
      <c r="AS26" s="135"/>
      <c r="AT26" s="135"/>
      <c r="AU26" s="135"/>
      <c r="AV26" s="135"/>
      <c r="AW26" s="135"/>
      <c r="AX26" s="135"/>
      <c r="AY26" s="339">
        <f t="shared" si="14"/>
        <v>0</v>
      </c>
      <c r="AZ26" s="100"/>
      <c r="BA26" s="178">
        <f t="shared" si="15"/>
        <v>0</v>
      </c>
      <c r="BB26" s="178">
        <f t="shared" si="16"/>
        <v>0</v>
      </c>
      <c r="BC26" s="135"/>
      <c r="BD26" s="135"/>
      <c r="BE26" s="135"/>
      <c r="BF26" s="135"/>
      <c r="BG26" s="135"/>
      <c r="BH26" s="135"/>
      <c r="BI26" s="339">
        <f t="shared" si="17"/>
        <v>0</v>
      </c>
      <c r="BJ26" s="100"/>
      <c r="BK26" s="178">
        <f t="shared" si="18"/>
        <v>0</v>
      </c>
      <c r="BL26" s="178">
        <f t="shared" si="19"/>
        <v>0</v>
      </c>
      <c r="BM26" s="135"/>
      <c r="BN26" s="135"/>
      <c r="BO26" s="135"/>
      <c r="BP26" s="135"/>
      <c r="BQ26" s="135"/>
      <c r="BR26" s="135"/>
      <c r="BS26" s="339">
        <f t="shared" si="20"/>
        <v>0</v>
      </c>
    </row>
    <row r="27" spans="1:71" s="101" customFormat="1" ht="15.95" customHeight="1">
      <c r="A27" s="99"/>
      <c r="B27" s="100"/>
      <c r="C27" s="178">
        <f t="shared" si="0"/>
        <v>0</v>
      </c>
      <c r="D27" s="178">
        <f t="shared" si="1"/>
        <v>0</v>
      </c>
      <c r="E27" s="135"/>
      <c r="F27" s="135"/>
      <c r="G27" s="135"/>
      <c r="H27" s="135"/>
      <c r="I27" s="135"/>
      <c r="J27" s="135"/>
      <c r="K27" s="339">
        <f t="shared" si="2"/>
        <v>0</v>
      </c>
      <c r="L27" s="100"/>
      <c r="M27" s="178">
        <f t="shared" si="3"/>
        <v>0</v>
      </c>
      <c r="N27" s="178">
        <f t="shared" si="4"/>
        <v>0</v>
      </c>
      <c r="O27" s="135"/>
      <c r="P27" s="135"/>
      <c r="Q27" s="135"/>
      <c r="R27" s="135"/>
      <c r="S27" s="135"/>
      <c r="T27" s="135"/>
      <c r="U27" s="339">
        <f t="shared" si="5"/>
        <v>0</v>
      </c>
      <c r="V27" s="100"/>
      <c r="W27" s="178">
        <f t="shared" si="6"/>
        <v>0</v>
      </c>
      <c r="X27" s="178">
        <f t="shared" si="7"/>
        <v>0</v>
      </c>
      <c r="Y27" s="135"/>
      <c r="Z27" s="135"/>
      <c r="AA27" s="135"/>
      <c r="AB27" s="135"/>
      <c r="AC27" s="135"/>
      <c r="AD27" s="135"/>
      <c r="AE27" s="339">
        <f t="shared" si="8"/>
        <v>0</v>
      </c>
      <c r="AF27" s="100"/>
      <c r="AG27" s="178">
        <f t="shared" si="9"/>
        <v>0</v>
      </c>
      <c r="AH27" s="178">
        <f t="shared" si="10"/>
        <v>0</v>
      </c>
      <c r="AI27" s="135"/>
      <c r="AJ27" s="135"/>
      <c r="AK27" s="135"/>
      <c r="AL27" s="135"/>
      <c r="AM27" s="135"/>
      <c r="AN27" s="135"/>
      <c r="AO27" s="339">
        <f t="shared" si="11"/>
        <v>0</v>
      </c>
      <c r="AP27" s="100"/>
      <c r="AQ27" s="178">
        <f t="shared" si="12"/>
        <v>0</v>
      </c>
      <c r="AR27" s="178">
        <f t="shared" si="13"/>
        <v>0</v>
      </c>
      <c r="AS27" s="135"/>
      <c r="AT27" s="135"/>
      <c r="AU27" s="135"/>
      <c r="AV27" s="135"/>
      <c r="AW27" s="135"/>
      <c r="AX27" s="135"/>
      <c r="AY27" s="339">
        <f t="shared" si="14"/>
        <v>0</v>
      </c>
      <c r="AZ27" s="100"/>
      <c r="BA27" s="178">
        <f t="shared" si="15"/>
        <v>0</v>
      </c>
      <c r="BB27" s="178">
        <f t="shared" si="16"/>
        <v>0</v>
      </c>
      <c r="BC27" s="135"/>
      <c r="BD27" s="135"/>
      <c r="BE27" s="135"/>
      <c r="BF27" s="135"/>
      <c r="BG27" s="135"/>
      <c r="BH27" s="135"/>
      <c r="BI27" s="339">
        <f t="shared" si="17"/>
        <v>0</v>
      </c>
      <c r="BJ27" s="100"/>
      <c r="BK27" s="178">
        <f t="shared" si="18"/>
        <v>0</v>
      </c>
      <c r="BL27" s="178">
        <f t="shared" si="19"/>
        <v>0</v>
      </c>
      <c r="BM27" s="135"/>
      <c r="BN27" s="135"/>
      <c r="BO27" s="135"/>
      <c r="BP27" s="135"/>
      <c r="BQ27" s="135"/>
      <c r="BR27" s="135"/>
      <c r="BS27" s="339">
        <f t="shared" si="20"/>
        <v>0</v>
      </c>
    </row>
    <row r="28" spans="1:71" ht="15.95" customHeight="1">
      <c r="A28" s="215" t="s">
        <v>122</v>
      </c>
      <c r="B28" s="105"/>
      <c r="C28" s="134"/>
      <c r="D28" s="134"/>
      <c r="E28" s="138"/>
      <c r="F28" s="138"/>
      <c r="G28" s="138"/>
      <c r="H28" s="138"/>
      <c r="I28" s="138"/>
      <c r="J28" s="138"/>
      <c r="K28" s="137"/>
      <c r="L28" s="93"/>
      <c r="M28" s="131"/>
      <c r="N28" s="134"/>
      <c r="O28" s="138"/>
      <c r="P28" s="138"/>
      <c r="Q28" s="138"/>
      <c r="R28" s="138"/>
      <c r="S28" s="138"/>
      <c r="T28" s="138"/>
      <c r="U28" s="137"/>
      <c r="V28" s="105"/>
      <c r="W28" s="134"/>
      <c r="X28" s="134"/>
      <c r="Y28" s="138"/>
      <c r="Z28" s="138"/>
      <c r="AA28" s="138"/>
      <c r="AB28" s="138"/>
      <c r="AC28" s="138"/>
      <c r="AD28" s="138"/>
      <c r="AE28" s="137"/>
      <c r="AF28" s="105"/>
      <c r="AG28" s="134"/>
      <c r="AH28" s="134"/>
      <c r="AI28" s="138"/>
      <c r="AJ28" s="138"/>
      <c r="AK28" s="138"/>
      <c r="AL28" s="138"/>
      <c r="AM28" s="138"/>
      <c r="AN28" s="138"/>
      <c r="AO28" s="137"/>
      <c r="AP28" s="105"/>
      <c r="AQ28" s="134"/>
      <c r="AR28" s="134"/>
      <c r="AS28" s="138"/>
      <c r="AT28" s="138"/>
      <c r="AU28" s="138"/>
      <c r="AV28" s="138"/>
      <c r="AW28" s="138"/>
      <c r="AX28" s="138"/>
      <c r="AY28" s="137"/>
      <c r="AZ28" s="105"/>
      <c r="BA28" s="134"/>
      <c r="BB28" s="134"/>
      <c r="BC28" s="138"/>
      <c r="BD28" s="138"/>
      <c r="BE28" s="138"/>
      <c r="BF28" s="138"/>
      <c r="BG28" s="138"/>
      <c r="BH28" s="138"/>
      <c r="BI28" s="137"/>
      <c r="BJ28" s="105"/>
      <c r="BK28" s="134"/>
      <c r="BL28" s="134"/>
      <c r="BM28" s="138"/>
      <c r="BN28" s="138"/>
      <c r="BO28" s="138"/>
      <c r="BP28" s="138"/>
      <c r="BQ28" s="138"/>
      <c r="BR28" s="138"/>
      <c r="BS28" s="137"/>
    </row>
    <row r="29" spans="1:71" s="104" customFormat="1" ht="15.95" customHeight="1">
      <c r="A29" s="102" t="s">
        <v>45</v>
      </c>
      <c r="B29" s="103">
        <f>SUM(B$10:B28)</f>
        <v>1805</v>
      </c>
      <c r="C29" s="134">
        <f>SUM(C$10:C28)</f>
        <v>3755003</v>
      </c>
      <c r="D29" s="134">
        <f>IFERROR(C29/B29,0)</f>
        <v>2080.3340720221609</v>
      </c>
      <c r="E29" s="136">
        <f>SUM(E$10:E28)</f>
        <v>0</v>
      </c>
      <c r="F29" s="136">
        <f>SUM(F$10:F28)</f>
        <v>0</v>
      </c>
      <c r="G29" s="136">
        <f>SUM(G$10:G28)</f>
        <v>174572</v>
      </c>
      <c r="H29" s="136">
        <f>SUM(H$10:H28)</f>
        <v>3498775</v>
      </c>
      <c r="I29" s="136">
        <f>SUM(I$10:I28)</f>
        <v>81656</v>
      </c>
      <c r="J29" s="136">
        <f>SUM(J$10:J28)</f>
        <v>3253618</v>
      </c>
      <c r="K29" s="137">
        <f>SUM(K$10:K28)</f>
        <v>0</v>
      </c>
      <c r="L29" s="103">
        <f>SUM(L$10:L28)</f>
        <v>2116</v>
      </c>
      <c r="M29" s="134">
        <f>SUM(M$10:M28)</f>
        <v>3835840</v>
      </c>
      <c r="N29" s="134">
        <f>IFERROR(M29/L29,0)</f>
        <v>1812.7788279773156</v>
      </c>
      <c r="O29" s="136">
        <f>SUM(O$10:O28)</f>
        <v>0</v>
      </c>
      <c r="P29" s="136">
        <f>SUM(P$10:P28)</f>
        <v>0</v>
      </c>
      <c r="Q29" s="136">
        <f>SUM(Q$10:Q28)</f>
        <v>169080</v>
      </c>
      <c r="R29" s="136">
        <f>SUM(R$10:R28)</f>
        <v>3588690</v>
      </c>
      <c r="S29" s="136">
        <f>SUM(S$10:S28)</f>
        <v>78070</v>
      </c>
      <c r="T29" s="136">
        <f>SUM(T$10:T28)</f>
        <v>3270467</v>
      </c>
      <c r="U29" s="137">
        <f>SUM(U$10:U28)</f>
        <v>0</v>
      </c>
      <c r="V29" s="103">
        <f>SUM(V$10:V28)</f>
        <v>1744</v>
      </c>
      <c r="W29" s="134">
        <f>SUM(W$10:W28)</f>
        <v>3596952</v>
      </c>
      <c r="X29" s="134">
        <f>IFERROR(W29/V29,0)</f>
        <v>2062.4724770642201</v>
      </c>
      <c r="Y29" s="136">
        <f>SUM(Y$10:Y28)</f>
        <v>0</v>
      </c>
      <c r="Z29" s="136">
        <f>SUM(Z$10:Z28)</f>
        <v>0</v>
      </c>
      <c r="AA29" s="136">
        <f>SUM(AA$10:AA28)</f>
        <v>197200</v>
      </c>
      <c r="AB29" s="136">
        <f>SUM(AB$10:AB28)</f>
        <v>3308862</v>
      </c>
      <c r="AC29" s="136">
        <f>SUM(AC$10:AC28)</f>
        <v>90890</v>
      </c>
      <c r="AD29" s="136">
        <f>SUM(AD$10:AD28)</f>
        <v>3065666</v>
      </c>
      <c r="AE29" s="137">
        <f>SUM(AE$10:AE28)</f>
        <v>0</v>
      </c>
      <c r="AF29" s="103">
        <f>SUM(AF$10:AF28)</f>
        <v>1655</v>
      </c>
      <c r="AG29" s="134">
        <f>SUM(AG$10:AG28)</f>
        <v>3382328</v>
      </c>
      <c r="AH29" s="134">
        <f>IFERROR(AG29/AF29,0)</f>
        <v>2043.7027190332326</v>
      </c>
      <c r="AI29" s="136">
        <f>SUM(AI$10:AI28)</f>
        <v>0</v>
      </c>
      <c r="AJ29" s="136">
        <f>SUM(AJ$10:AJ28)</f>
        <v>11203</v>
      </c>
      <c r="AK29" s="136">
        <f>SUM(AK$10:AK28)</f>
        <v>196350</v>
      </c>
      <c r="AL29" s="136">
        <f>SUM(AL$10:AL28)</f>
        <v>3065675</v>
      </c>
      <c r="AM29" s="136">
        <f>SUM(AM$10:AM28)</f>
        <v>109100</v>
      </c>
      <c r="AN29" s="136">
        <f>SUM(AN$10:AN28)</f>
        <v>2863724</v>
      </c>
      <c r="AO29" s="137">
        <f>SUM(AO$10:AO28)</f>
        <v>0</v>
      </c>
      <c r="AP29" s="103">
        <f>SUM(AP$10:AP28)</f>
        <v>1567</v>
      </c>
      <c r="AQ29" s="134">
        <f>SUM(AQ$10:AQ28)</f>
        <v>3461483</v>
      </c>
      <c r="AR29" s="134">
        <f>IFERROR(AQ29/AP29,0)</f>
        <v>2208.9872367581365</v>
      </c>
      <c r="AS29" s="136">
        <f>SUM(AS$10:AS28)</f>
        <v>0</v>
      </c>
      <c r="AT29" s="136">
        <f>SUM(AT$10:AT28)</f>
        <v>11999</v>
      </c>
      <c r="AU29" s="136">
        <f>SUM(AU$10:AU28)</f>
        <v>176271</v>
      </c>
      <c r="AV29" s="136">
        <f>SUM(AV$10:AV28)</f>
        <v>3119353</v>
      </c>
      <c r="AW29" s="136">
        <f>SUM(AW$10:AW28)</f>
        <v>153860</v>
      </c>
      <c r="AX29" s="136">
        <f>SUM(AX$10:AX28)</f>
        <v>3019701</v>
      </c>
      <c r="AY29" s="137">
        <f>SUM(AY$10:AY28)</f>
        <v>0</v>
      </c>
      <c r="AZ29" s="103">
        <f>SUM(AZ$10:AZ28)</f>
        <v>2435</v>
      </c>
      <c r="BA29" s="134">
        <f>SUM(BA$10:BA28)</f>
        <v>4031343.85</v>
      </c>
      <c r="BB29" s="134">
        <f>IFERROR(BA29/AZ29,0)</f>
        <v>1655.5826899383983</v>
      </c>
      <c r="BC29" s="136">
        <f>SUM(BC$10:BC28)</f>
        <v>0</v>
      </c>
      <c r="BD29" s="136">
        <f>SUM(BD$10:BD28)</f>
        <v>15105</v>
      </c>
      <c r="BE29" s="136">
        <f>SUM(BE$10:BE28)</f>
        <v>252623.85</v>
      </c>
      <c r="BF29" s="136">
        <f>SUM(BF$10:BF28)</f>
        <v>3600865</v>
      </c>
      <c r="BG29" s="136">
        <f>SUM(BG$10:BG28)</f>
        <v>162750</v>
      </c>
      <c r="BH29" s="136">
        <f>SUM(BH$10:BH28)</f>
        <v>3483282.85</v>
      </c>
      <c r="BI29" s="137">
        <f>SUM(BI$10:BI28)</f>
        <v>0</v>
      </c>
      <c r="BJ29" s="103">
        <f>SUM(BJ$10:BJ28)</f>
        <v>2556</v>
      </c>
      <c r="BK29" s="134">
        <f>SUM(BK$10:BK28)</f>
        <v>4659424.25</v>
      </c>
      <c r="BL29" s="134">
        <f>IFERROR(BK29/BJ29,0)</f>
        <v>1822.9359350547732</v>
      </c>
      <c r="BM29" s="136">
        <f>SUM(BM$10:BM28)</f>
        <v>0</v>
      </c>
      <c r="BN29" s="136">
        <f>SUM(BN$10:BN28)</f>
        <v>13638</v>
      </c>
      <c r="BO29" s="136">
        <f>SUM(BO$10:BO28)</f>
        <v>311896.25</v>
      </c>
      <c r="BP29" s="136">
        <f>SUM(BP$10:BP28)</f>
        <v>4185120</v>
      </c>
      <c r="BQ29" s="136">
        <f>SUM(BQ$10:BQ28)</f>
        <v>148770</v>
      </c>
      <c r="BR29" s="136">
        <f>SUM(BR$10:BR28)</f>
        <v>3915821.25</v>
      </c>
      <c r="BS29" s="137">
        <f>SUM(BS$10:BS28)</f>
        <v>0</v>
      </c>
    </row>
    <row r="30" spans="1:71" ht="15.95" customHeight="1">
      <c r="A30" s="97"/>
      <c r="B30" s="105"/>
      <c r="C30" s="134"/>
      <c r="D30" s="134"/>
      <c r="E30" s="138"/>
      <c r="F30" s="138"/>
      <c r="G30" s="138"/>
      <c r="H30" s="138"/>
      <c r="I30" s="138"/>
      <c r="J30" s="138"/>
      <c r="K30" s="137"/>
      <c r="L30" s="93"/>
      <c r="M30" s="131"/>
      <c r="N30" s="134"/>
      <c r="O30" s="138"/>
      <c r="P30" s="138"/>
      <c r="Q30" s="138"/>
      <c r="R30" s="138"/>
      <c r="S30" s="138"/>
      <c r="T30" s="138"/>
      <c r="U30" s="137"/>
      <c r="V30" s="105"/>
      <c r="W30" s="134"/>
      <c r="X30" s="134"/>
      <c r="Y30" s="138"/>
      <c r="Z30" s="138"/>
      <c r="AA30" s="138"/>
      <c r="AB30" s="138"/>
      <c r="AC30" s="138"/>
      <c r="AD30" s="138"/>
      <c r="AE30" s="137"/>
      <c r="AF30" s="105"/>
      <c r="AG30" s="134"/>
      <c r="AH30" s="134"/>
      <c r="AI30" s="138"/>
      <c r="AJ30" s="138"/>
      <c r="AK30" s="138"/>
      <c r="AL30" s="138"/>
      <c r="AM30" s="138"/>
      <c r="AN30" s="138"/>
      <c r="AO30" s="137"/>
      <c r="AP30" s="105"/>
      <c r="AQ30" s="134"/>
      <c r="AR30" s="134"/>
      <c r="AS30" s="138"/>
      <c r="AT30" s="138"/>
      <c r="AU30" s="138"/>
      <c r="AV30" s="138"/>
      <c r="AW30" s="138"/>
      <c r="AX30" s="138"/>
      <c r="AY30" s="137"/>
      <c r="AZ30" s="105"/>
      <c r="BA30" s="134"/>
      <c r="BB30" s="134"/>
      <c r="BC30" s="138"/>
      <c r="BD30" s="138"/>
      <c r="BE30" s="138"/>
      <c r="BF30" s="138"/>
      <c r="BG30" s="138"/>
      <c r="BH30" s="138"/>
      <c r="BI30" s="137"/>
      <c r="BJ30" s="105"/>
      <c r="BK30" s="134"/>
      <c r="BL30" s="134"/>
      <c r="BM30" s="138"/>
      <c r="BN30" s="138"/>
      <c r="BO30" s="138"/>
      <c r="BP30" s="138"/>
      <c r="BQ30" s="138"/>
      <c r="BR30" s="138"/>
      <c r="BS30" s="137"/>
    </row>
    <row r="31" spans="1:71" ht="15.95" customHeight="1">
      <c r="A31" s="98" t="s">
        <v>46</v>
      </c>
      <c r="B31" s="105"/>
      <c r="C31" s="134"/>
      <c r="D31" s="134"/>
      <c r="E31" s="138"/>
      <c r="F31" s="138"/>
      <c r="G31" s="138"/>
      <c r="H31" s="138"/>
      <c r="I31" s="138"/>
      <c r="J31" s="138"/>
      <c r="K31" s="137"/>
      <c r="L31" s="93"/>
      <c r="M31" s="131"/>
      <c r="N31" s="134"/>
      <c r="O31" s="138"/>
      <c r="P31" s="138"/>
      <c r="Q31" s="138"/>
      <c r="R31" s="138"/>
      <c r="S31" s="138"/>
      <c r="T31" s="138"/>
      <c r="U31" s="137"/>
      <c r="V31" s="105"/>
      <c r="W31" s="134"/>
      <c r="X31" s="134"/>
      <c r="Y31" s="138"/>
      <c r="Z31" s="138"/>
      <c r="AA31" s="138"/>
      <c r="AB31" s="138"/>
      <c r="AC31" s="138"/>
      <c r="AD31" s="138"/>
      <c r="AE31" s="137"/>
      <c r="AF31" s="105"/>
      <c r="AG31" s="134"/>
      <c r="AH31" s="134"/>
      <c r="AI31" s="138"/>
      <c r="AJ31" s="138"/>
      <c r="AK31" s="138"/>
      <c r="AL31" s="138"/>
      <c r="AM31" s="138"/>
      <c r="AN31" s="138"/>
      <c r="AO31" s="137"/>
      <c r="AP31" s="105"/>
      <c r="AQ31" s="134"/>
      <c r="AR31" s="134"/>
      <c r="AS31" s="138"/>
      <c r="AT31" s="138"/>
      <c r="AU31" s="138"/>
      <c r="AV31" s="138"/>
      <c r="AW31" s="138"/>
      <c r="AX31" s="138"/>
      <c r="AY31" s="137"/>
      <c r="AZ31" s="105"/>
      <c r="BA31" s="134"/>
      <c r="BB31" s="134"/>
      <c r="BC31" s="138"/>
      <c r="BD31" s="138"/>
      <c r="BE31" s="138"/>
      <c r="BF31" s="138"/>
      <c r="BG31" s="138"/>
      <c r="BH31" s="138"/>
      <c r="BI31" s="137"/>
      <c r="BJ31" s="105"/>
      <c r="BK31" s="134"/>
      <c r="BL31" s="134"/>
      <c r="BM31" s="138"/>
      <c r="BN31" s="138"/>
      <c r="BO31" s="138"/>
      <c r="BP31" s="138"/>
      <c r="BQ31" s="138"/>
      <c r="BR31" s="138"/>
      <c r="BS31" s="137"/>
    </row>
    <row r="32" spans="1:71" s="104" customFormat="1" ht="15.95" customHeight="1">
      <c r="A32" s="285" t="s">
        <v>47</v>
      </c>
      <c r="B32" s="105">
        <v>434</v>
      </c>
      <c r="C32" s="134">
        <f>SUM(E32:I32)</f>
        <v>587944</v>
      </c>
      <c r="D32" s="134">
        <f>IFERROR(C32/B32,0)</f>
        <v>1354.7096774193549</v>
      </c>
      <c r="E32" s="138">
        <v>329111</v>
      </c>
      <c r="F32" s="138"/>
      <c r="G32" s="138"/>
      <c r="H32" s="138">
        <v>2622</v>
      </c>
      <c r="I32" s="138">
        <v>256211</v>
      </c>
      <c r="J32" s="138">
        <v>309425</v>
      </c>
      <c r="K32" s="137">
        <f t="shared" ref="K32:K43" si="28">IF(J32=0,0,(IF(E32&lt;=J32,E32,J32)))</f>
        <v>309425</v>
      </c>
      <c r="L32" s="105">
        <v>329</v>
      </c>
      <c r="M32" s="134">
        <f>SUM(O32:S32)</f>
        <v>359398</v>
      </c>
      <c r="N32" s="134">
        <f>IFERROR(M32/L32,0)</f>
        <v>1092.3951367781156</v>
      </c>
      <c r="O32" s="138">
        <v>133877</v>
      </c>
      <c r="P32" s="138">
        <v>67646</v>
      </c>
      <c r="Q32" s="138"/>
      <c r="R32" s="138"/>
      <c r="S32" s="138">
        <v>157875</v>
      </c>
      <c r="T32" s="138">
        <v>291379</v>
      </c>
      <c r="U32" s="137">
        <f t="shared" ref="U32:U43" si="29">IF(T32=0,0,(IF(O32&lt;=T32,O32,T32)))</f>
        <v>133877</v>
      </c>
      <c r="V32" s="105">
        <v>393</v>
      </c>
      <c r="W32" s="134">
        <f>SUM(Y32:AC32)</f>
        <v>334360</v>
      </c>
      <c r="X32" s="134">
        <f>IFERROR(W32/V32,0)</f>
        <v>850.78880407124677</v>
      </c>
      <c r="Y32" s="138">
        <v>116812</v>
      </c>
      <c r="Z32" s="138">
        <v>64712</v>
      </c>
      <c r="AA32" s="138"/>
      <c r="AB32" s="138"/>
      <c r="AC32" s="138">
        <v>152836</v>
      </c>
      <c r="AD32" s="138">
        <v>313330</v>
      </c>
      <c r="AE32" s="137">
        <f t="shared" ref="AE32:AE43" si="30">IF(AD32=0,0,(IF(Y32&lt;=AD32,Y32,AD32)))</f>
        <v>116812</v>
      </c>
      <c r="AF32" s="105">
        <v>413</v>
      </c>
      <c r="AG32" s="134">
        <f>SUM(AI32:AM32)</f>
        <v>351218</v>
      </c>
      <c r="AH32" s="134">
        <f>IFERROR(AG32/AF32,0)</f>
        <v>850.40677966101691</v>
      </c>
      <c r="AI32" s="138">
        <v>153192</v>
      </c>
      <c r="AJ32" s="138">
        <v>72364</v>
      </c>
      <c r="AK32" s="138"/>
      <c r="AL32" s="138"/>
      <c r="AM32" s="138">
        <v>125662</v>
      </c>
      <c r="AN32" s="138">
        <v>292778</v>
      </c>
      <c r="AO32" s="137">
        <f t="shared" ref="AO32:AO43" si="31">IF(AN32=0,0,(IF(AI32&lt;=AN32,AI32,AN32)))</f>
        <v>153192</v>
      </c>
      <c r="AP32" s="105">
        <v>428</v>
      </c>
      <c r="AQ32" s="134">
        <f>SUM(AS32:AW32)</f>
        <v>419343</v>
      </c>
      <c r="AR32" s="134">
        <f>IFERROR(AQ32/AP32,0)</f>
        <v>979.77336448598135</v>
      </c>
      <c r="AS32" s="138">
        <v>136879</v>
      </c>
      <c r="AT32" s="138">
        <v>69700</v>
      </c>
      <c r="AU32" s="138"/>
      <c r="AV32" s="138"/>
      <c r="AW32" s="138">
        <v>212764</v>
      </c>
      <c r="AX32" s="138">
        <v>380538</v>
      </c>
      <c r="AY32" s="137">
        <f t="shared" ref="AY32:AY43" si="32">IF(AX32=0,0,(IF(AS32&lt;=AX32,AS32,AX32)))</f>
        <v>136879</v>
      </c>
      <c r="AZ32" s="105">
        <v>225</v>
      </c>
      <c r="BA32" s="134">
        <f>SUM(BC32:BG32)</f>
        <v>250382</v>
      </c>
      <c r="BB32" s="134">
        <f>IFERROR(BA32/AZ32,0)</f>
        <v>1112.808888888889</v>
      </c>
      <c r="BC32" s="138"/>
      <c r="BD32" s="138"/>
      <c r="BE32" s="138"/>
      <c r="BF32" s="138"/>
      <c r="BG32" s="138">
        <v>250382</v>
      </c>
      <c r="BH32" s="138">
        <v>244557</v>
      </c>
      <c r="BI32" s="137">
        <f t="shared" ref="BI32:BI43" si="33">IF(BH32=0,0,(IF(BC32&lt;=BH32,BC32,BH32)))</f>
        <v>0</v>
      </c>
      <c r="BJ32" s="100">
        <v>261</v>
      </c>
      <c r="BK32" s="134">
        <f t="shared" ref="BK32:BK43" si="34">SUM(BM32:BQ32)</f>
        <v>250678</v>
      </c>
      <c r="BL32" s="134">
        <f t="shared" ref="BL32:BL43" si="35">IFERROR(BK32/BJ32,0)</f>
        <v>960.45210727969345</v>
      </c>
      <c r="BM32" s="135"/>
      <c r="BN32" s="135"/>
      <c r="BO32" s="135"/>
      <c r="BP32" s="135"/>
      <c r="BQ32" s="135">
        <v>250678</v>
      </c>
      <c r="BR32" s="135">
        <v>243284</v>
      </c>
      <c r="BS32" s="339">
        <f t="shared" ref="BS32:BS43" si="36">IF(BR32=0,0,(IF(BM32&lt;=BR32,BM32,BR32)))</f>
        <v>0</v>
      </c>
    </row>
    <row r="33" spans="1:71" s="104" customFormat="1" ht="15.95" customHeight="1">
      <c r="A33" s="285" t="s">
        <v>163</v>
      </c>
      <c r="B33" s="105">
        <v>4</v>
      </c>
      <c r="C33" s="134">
        <f>SUM(E33:I33)</f>
        <v>6764</v>
      </c>
      <c r="D33" s="134">
        <f>IFERROR(C33/B33,0)</f>
        <v>1691</v>
      </c>
      <c r="E33" s="138">
        <v>6764</v>
      </c>
      <c r="F33" s="138"/>
      <c r="G33" s="138"/>
      <c r="H33" s="138"/>
      <c r="I33" s="138"/>
      <c r="J33" s="138">
        <v>5549</v>
      </c>
      <c r="K33" s="137">
        <f t="shared" si="28"/>
        <v>5549</v>
      </c>
      <c r="L33" s="105">
        <v>54</v>
      </c>
      <c r="M33" s="134">
        <f>SUM(O33:S33)</f>
        <v>115802</v>
      </c>
      <c r="N33" s="134">
        <f>IFERROR(M33/L33,0)</f>
        <v>2144.4814814814813</v>
      </c>
      <c r="O33" s="138">
        <v>54818</v>
      </c>
      <c r="P33" s="138"/>
      <c r="Q33" s="138"/>
      <c r="R33" s="138"/>
      <c r="S33" s="138">
        <v>60984</v>
      </c>
      <c r="T33" s="138">
        <v>85478</v>
      </c>
      <c r="U33" s="137">
        <f t="shared" si="29"/>
        <v>54818</v>
      </c>
      <c r="V33" s="105">
        <v>87</v>
      </c>
      <c r="W33" s="134">
        <f>SUM(Y33:AC33)</f>
        <v>210975</v>
      </c>
      <c r="X33" s="134">
        <f>IFERROR(W33/V33,0)</f>
        <v>2425</v>
      </c>
      <c r="Y33" s="138">
        <v>115477</v>
      </c>
      <c r="Z33" s="138"/>
      <c r="AA33" s="138"/>
      <c r="AB33" s="138"/>
      <c r="AC33" s="138">
        <v>95498</v>
      </c>
      <c r="AD33" s="138">
        <v>199761</v>
      </c>
      <c r="AE33" s="137">
        <f t="shared" si="30"/>
        <v>115477</v>
      </c>
      <c r="AF33" s="105">
        <v>101</v>
      </c>
      <c r="AG33" s="134">
        <f>SUM(AI33:AM33)</f>
        <v>241583</v>
      </c>
      <c r="AH33" s="134">
        <f>IFERROR(AG33/AF33,0)</f>
        <v>2391.9108910891091</v>
      </c>
      <c r="AI33" s="138">
        <v>152913</v>
      </c>
      <c r="AJ33" s="138"/>
      <c r="AK33" s="138"/>
      <c r="AL33" s="138"/>
      <c r="AM33" s="138">
        <v>88670</v>
      </c>
      <c r="AN33" s="138">
        <v>218629</v>
      </c>
      <c r="AO33" s="137">
        <f t="shared" si="31"/>
        <v>152913</v>
      </c>
      <c r="AP33" s="105">
        <v>79</v>
      </c>
      <c r="AQ33" s="134">
        <f>SUM(AS33:AW33)</f>
        <v>193121</v>
      </c>
      <c r="AR33" s="134">
        <f>IFERROR(AQ33/AP33,0)</f>
        <v>2444.5696202531644</v>
      </c>
      <c r="AS33" s="138">
        <v>148161</v>
      </c>
      <c r="AT33" s="138"/>
      <c r="AU33" s="138"/>
      <c r="AV33" s="138"/>
      <c r="AW33" s="138">
        <v>44960</v>
      </c>
      <c r="AX33" s="138">
        <v>191211</v>
      </c>
      <c r="AY33" s="137">
        <f t="shared" si="32"/>
        <v>148161</v>
      </c>
      <c r="AZ33" s="105">
        <v>100</v>
      </c>
      <c r="BA33" s="134">
        <f>SUM(BC33:BG33)</f>
        <v>237746</v>
      </c>
      <c r="BB33" s="134">
        <f>IFERROR(BA33/AZ33,0)</f>
        <v>2377.46</v>
      </c>
      <c r="BC33" s="138">
        <v>225510</v>
      </c>
      <c r="BD33" s="138"/>
      <c r="BE33" s="138"/>
      <c r="BF33" s="138"/>
      <c r="BG33" s="138">
        <v>12236</v>
      </c>
      <c r="BH33" s="138">
        <v>228178</v>
      </c>
      <c r="BI33" s="137">
        <f t="shared" si="33"/>
        <v>225510</v>
      </c>
      <c r="BJ33" s="100">
        <v>86</v>
      </c>
      <c r="BK33" s="134">
        <f t="shared" si="34"/>
        <v>206004</v>
      </c>
      <c r="BL33" s="134">
        <f t="shared" si="35"/>
        <v>2395.3953488372094</v>
      </c>
      <c r="BM33" s="135">
        <v>151082</v>
      </c>
      <c r="BN33" s="135"/>
      <c r="BO33" s="135"/>
      <c r="BP33" s="135"/>
      <c r="BQ33" s="135">
        <v>54922</v>
      </c>
      <c r="BR33" s="135">
        <v>199438</v>
      </c>
      <c r="BS33" s="339">
        <f t="shared" si="36"/>
        <v>151082</v>
      </c>
    </row>
    <row r="34" spans="1:71" s="104" customFormat="1" ht="15.95" customHeight="1">
      <c r="A34" s="285" t="s">
        <v>189</v>
      </c>
      <c r="B34" s="105">
        <v>138</v>
      </c>
      <c r="C34" s="134">
        <f>SUM(E34:I34)</f>
        <v>58826</v>
      </c>
      <c r="D34" s="134">
        <f>IFERROR(C34/B34,0)</f>
        <v>426.27536231884056</v>
      </c>
      <c r="E34" s="138">
        <v>58826</v>
      </c>
      <c r="F34" s="138"/>
      <c r="G34" s="138"/>
      <c r="H34" s="138"/>
      <c r="I34" s="138"/>
      <c r="J34" s="138">
        <v>0</v>
      </c>
      <c r="K34" s="137">
        <f t="shared" si="28"/>
        <v>0</v>
      </c>
      <c r="L34" s="105">
        <v>132</v>
      </c>
      <c r="M34" s="134">
        <f>SUM(O34:S34)</f>
        <v>54126</v>
      </c>
      <c r="N34" s="134">
        <f>IFERROR(M34/L34,0)</f>
        <v>410.04545454545456</v>
      </c>
      <c r="O34" s="138">
        <v>54126</v>
      </c>
      <c r="P34" s="138"/>
      <c r="Q34" s="138"/>
      <c r="R34" s="138"/>
      <c r="S34" s="138"/>
      <c r="T34" s="138">
        <v>0</v>
      </c>
      <c r="U34" s="137">
        <f t="shared" si="29"/>
        <v>0</v>
      </c>
      <c r="V34" s="105">
        <v>124</v>
      </c>
      <c r="W34" s="134">
        <f>SUM(Y34:AC34)</f>
        <v>69246</v>
      </c>
      <c r="X34" s="134">
        <f>IFERROR(W34/V34,0)</f>
        <v>558.43548387096769</v>
      </c>
      <c r="Y34" s="138">
        <v>69246</v>
      </c>
      <c r="Z34" s="138"/>
      <c r="AA34" s="138"/>
      <c r="AB34" s="138"/>
      <c r="AC34" s="138"/>
      <c r="AD34" s="138">
        <v>0</v>
      </c>
      <c r="AE34" s="137">
        <f t="shared" si="30"/>
        <v>0</v>
      </c>
      <c r="AF34" s="105">
        <v>125</v>
      </c>
      <c r="AG34" s="134">
        <f>SUM(AI34:AM34)</f>
        <v>72954</v>
      </c>
      <c r="AH34" s="134">
        <f>IFERROR(AG34/AF34,0)</f>
        <v>583.63199999999995</v>
      </c>
      <c r="AI34" s="138">
        <v>72954</v>
      </c>
      <c r="AJ34" s="138"/>
      <c r="AK34" s="138"/>
      <c r="AL34" s="138"/>
      <c r="AM34" s="138"/>
      <c r="AN34" s="138">
        <v>0</v>
      </c>
      <c r="AO34" s="137">
        <f t="shared" si="31"/>
        <v>0</v>
      </c>
      <c r="AP34" s="105">
        <v>106</v>
      </c>
      <c r="AQ34" s="134">
        <f>SUM(AS34:AW34)</f>
        <v>59335</v>
      </c>
      <c r="AR34" s="134">
        <f>IFERROR(AQ34/AP34,0)</f>
        <v>559.7641509433962</v>
      </c>
      <c r="AS34" s="138">
        <v>59335</v>
      </c>
      <c r="AT34" s="138"/>
      <c r="AU34" s="138"/>
      <c r="AV34" s="138"/>
      <c r="AW34" s="138"/>
      <c r="AX34" s="138">
        <v>0</v>
      </c>
      <c r="AY34" s="137">
        <f t="shared" si="32"/>
        <v>0</v>
      </c>
      <c r="AZ34" s="105">
        <v>109</v>
      </c>
      <c r="BA34" s="134">
        <f>SUM(BC34:BG34)</f>
        <v>59232</v>
      </c>
      <c r="BB34" s="134">
        <f>IFERROR(BA34/AZ34,0)</f>
        <v>543.41284403669727</v>
      </c>
      <c r="BC34" s="138">
        <v>59232</v>
      </c>
      <c r="BD34" s="138"/>
      <c r="BE34" s="138"/>
      <c r="BF34" s="138"/>
      <c r="BG34" s="138"/>
      <c r="BH34" s="138">
        <v>0</v>
      </c>
      <c r="BI34" s="137">
        <f t="shared" si="33"/>
        <v>0</v>
      </c>
      <c r="BJ34" s="100">
        <v>85</v>
      </c>
      <c r="BK34" s="134">
        <f t="shared" si="34"/>
        <v>54831.92</v>
      </c>
      <c r="BL34" s="134">
        <f t="shared" si="35"/>
        <v>645.08141176470588</v>
      </c>
      <c r="BM34" s="135">
        <v>54831.92</v>
      </c>
      <c r="BN34" s="135"/>
      <c r="BO34" s="135"/>
      <c r="BP34" s="135"/>
      <c r="BQ34" s="135"/>
      <c r="BR34" s="135">
        <v>0</v>
      </c>
      <c r="BS34" s="339">
        <f t="shared" si="36"/>
        <v>0</v>
      </c>
    </row>
    <row r="35" spans="1:71" s="104" customFormat="1" ht="15.95" customHeight="1">
      <c r="A35" s="285" t="s">
        <v>193</v>
      </c>
      <c r="B35" s="105"/>
      <c r="C35" s="134">
        <f t="shared" ref="C35:C41" si="37">SUM(E35:I35)</f>
        <v>0</v>
      </c>
      <c r="D35" s="134">
        <f t="shared" ref="D35:D42" si="38">IFERROR(C35/B35,0)</f>
        <v>0</v>
      </c>
      <c r="E35" s="138"/>
      <c r="F35" s="138"/>
      <c r="G35" s="138"/>
      <c r="H35" s="138"/>
      <c r="I35" s="138"/>
      <c r="J35" s="138"/>
      <c r="K35" s="137">
        <f t="shared" si="28"/>
        <v>0</v>
      </c>
      <c r="L35" s="105"/>
      <c r="M35" s="134">
        <f t="shared" ref="M35:M42" si="39">SUM(O35:S35)</f>
        <v>0</v>
      </c>
      <c r="N35" s="134">
        <f t="shared" ref="N35:N42" si="40">IFERROR(M35/L35,0)</f>
        <v>0</v>
      </c>
      <c r="O35" s="138"/>
      <c r="P35" s="138"/>
      <c r="Q35" s="138"/>
      <c r="R35" s="138"/>
      <c r="S35" s="138"/>
      <c r="T35" s="138"/>
      <c r="U35" s="137">
        <f t="shared" si="29"/>
        <v>0</v>
      </c>
      <c r="V35" s="105"/>
      <c r="W35" s="134">
        <f t="shared" ref="W35:W42" si="41">SUM(Y35:AC35)</f>
        <v>0</v>
      </c>
      <c r="X35" s="134">
        <f t="shared" ref="X35:X42" si="42">IFERROR(W35/V35,0)</f>
        <v>0</v>
      </c>
      <c r="Y35" s="138"/>
      <c r="Z35" s="138"/>
      <c r="AA35" s="138"/>
      <c r="AB35" s="138"/>
      <c r="AC35" s="138"/>
      <c r="AD35" s="138"/>
      <c r="AE35" s="137">
        <f t="shared" si="30"/>
        <v>0</v>
      </c>
      <c r="AF35" s="105"/>
      <c r="AG35" s="134">
        <f t="shared" ref="AG35:AG42" si="43">SUM(AI35:AM35)</f>
        <v>0</v>
      </c>
      <c r="AH35" s="134">
        <f t="shared" ref="AH35:AH42" si="44">IFERROR(AG35/AF35,0)</f>
        <v>0</v>
      </c>
      <c r="AI35" s="138"/>
      <c r="AJ35" s="138"/>
      <c r="AK35" s="138"/>
      <c r="AL35" s="138"/>
      <c r="AM35" s="138"/>
      <c r="AN35" s="138"/>
      <c r="AO35" s="137">
        <f t="shared" si="31"/>
        <v>0</v>
      </c>
      <c r="AP35" s="105"/>
      <c r="AQ35" s="134">
        <f t="shared" ref="AQ35:AQ42" si="45">SUM(AS35:AW35)</f>
        <v>0</v>
      </c>
      <c r="AR35" s="134">
        <f t="shared" ref="AR35:AR42" si="46">IFERROR(AQ35/AP35,0)</f>
        <v>0</v>
      </c>
      <c r="AS35" s="138"/>
      <c r="AT35" s="138"/>
      <c r="AU35" s="138"/>
      <c r="AV35" s="138"/>
      <c r="AW35" s="138"/>
      <c r="AX35" s="138"/>
      <c r="AY35" s="137">
        <f t="shared" si="32"/>
        <v>0</v>
      </c>
      <c r="AZ35" s="105">
        <v>92</v>
      </c>
      <c r="BA35" s="134">
        <f t="shared" ref="BA35:BA42" si="47">SUM(BC35:BG35)</f>
        <v>88864</v>
      </c>
      <c r="BB35" s="134">
        <f t="shared" ref="BB35:BB42" si="48">IFERROR(BA35/AZ35,0)</f>
        <v>965.91304347826087</v>
      </c>
      <c r="BC35" s="138">
        <v>88864</v>
      </c>
      <c r="BD35" s="138"/>
      <c r="BE35" s="138"/>
      <c r="BF35" s="138"/>
      <c r="BG35" s="138"/>
      <c r="BH35" s="138">
        <v>85288</v>
      </c>
      <c r="BI35" s="137">
        <f t="shared" si="33"/>
        <v>85288</v>
      </c>
      <c r="BJ35" s="100">
        <v>130</v>
      </c>
      <c r="BK35" s="134">
        <f t="shared" si="34"/>
        <v>123467</v>
      </c>
      <c r="BL35" s="134">
        <f t="shared" si="35"/>
        <v>949.7461538461539</v>
      </c>
      <c r="BM35" s="135">
        <v>123467</v>
      </c>
      <c r="BN35" s="135"/>
      <c r="BO35" s="135"/>
      <c r="BP35" s="135"/>
      <c r="BQ35" s="135"/>
      <c r="BR35" s="135">
        <v>117733</v>
      </c>
      <c r="BS35" s="339">
        <f t="shared" si="36"/>
        <v>117733</v>
      </c>
    </row>
    <row r="36" spans="1:71" s="104" customFormat="1" ht="15.95" customHeight="1">
      <c r="A36" s="285" t="s">
        <v>194</v>
      </c>
      <c r="B36" s="105"/>
      <c r="C36" s="134">
        <f t="shared" si="37"/>
        <v>0</v>
      </c>
      <c r="D36" s="134">
        <f t="shared" si="38"/>
        <v>0</v>
      </c>
      <c r="E36" s="138"/>
      <c r="F36" s="138"/>
      <c r="G36" s="138"/>
      <c r="H36" s="138"/>
      <c r="I36" s="138"/>
      <c r="J36" s="138"/>
      <c r="K36" s="137">
        <f t="shared" si="28"/>
        <v>0</v>
      </c>
      <c r="L36" s="105"/>
      <c r="M36" s="134">
        <f t="shared" si="39"/>
        <v>0</v>
      </c>
      <c r="N36" s="134">
        <f t="shared" si="40"/>
        <v>0</v>
      </c>
      <c r="O36" s="138"/>
      <c r="P36" s="138"/>
      <c r="Q36" s="138"/>
      <c r="R36" s="138"/>
      <c r="S36" s="138"/>
      <c r="T36" s="138"/>
      <c r="U36" s="137">
        <f t="shared" si="29"/>
        <v>0</v>
      </c>
      <c r="V36" s="105"/>
      <c r="W36" s="134">
        <f t="shared" si="41"/>
        <v>0</v>
      </c>
      <c r="X36" s="134">
        <f t="shared" si="42"/>
        <v>0</v>
      </c>
      <c r="Y36" s="138"/>
      <c r="Z36" s="138"/>
      <c r="AA36" s="138"/>
      <c r="AB36" s="138"/>
      <c r="AC36" s="138"/>
      <c r="AD36" s="138"/>
      <c r="AE36" s="137">
        <f t="shared" si="30"/>
        <v>0</v>
      </c>
      <c r="AF36" s="105"/>
      <c r="AG36" s="134">
        <f t="shared" si="43"/>
        <v>0</v>
      </c>
      <c r="AH36" s="134">
        <f t="shared" si="44"/>
        <v>0</v>
      </c>
      <c r="AI36" s="138"/>
      <c r="AJ36" s="138"/>
      <c r="AK36" s="138"/>
      <c r="AL36" s="138"/>
      <c r="AM36" s="138"/>
      <c r="AN36" s="138"/>
      <c r="AO36" s="137">
        <f t="shared" si="31"/>
        <v>0</v>
      </c>
      <c r="AP36" s="105"/>
      <c r="AQ36" s="134">
        <f t="shared" si="45"/>
        <v>0</v>
      </c>
      <c r="AR36" s="134">
        <f t="shared" si="46"/>
        <v>0</v>
      </c>
      <c r="AS36" s="138"/>
      <c r="AT36" s="138"/>
      <c r="AU36" s="138"/>
      <c r="AV36" s="138"/>
      <c r="AW36" s="138"/>
      <c r="AX36" s="138"/>
      <c r="AY36" s="137">
        <f t="shared" si="32"/>
        <v>0</v>
      </c>
      <c r="AZ36" s="105">
        <v>9</v>
      </c>
      <c r="BA36" s="134">
        <f t="shared" si="47"/>
        <v>18192</v>
      </c>
      <c r="BB36" s="134">
        <f t="shared" si="48"/>
        <v>2021.3333333333333</v>
      </c>
      <c r="BC36" s="138">
        <v>18192</v>
      </c>
      <c r="BD36" s="138"/>
      <c r="BE36" s="138"/>
      <c r="BF36" s="138"/>
      <c r="BG36" s="138"/>
      <c r="BH36" s="138">
        <v>18192</v>
      </c>
      <c r="BI36" s="137">
        <f t="shared" si="33"/>
        <v>18192</v>
      </c>
      <c r="BJ36" s="100">
        <v>7</v>
      </c>
      <c r="BK36" s="134">
        <f t="shared" si="34"/>
        <v>15700</v>
      </c>
      <c r="BL36" s="134">
        <f t="shared" si="35"/>
        <v>2242.8571428571427</v>
      </c>
      <c r="BM36" s="135">
        <v>15700</v>
      </c>
      <c r="BN36" s="135"/>
      <c r="BO36" s="135"/>
      <c r="BP36" s="135"/>
      <c r="BQ36" s="135"/>
      <c r="BR36" s="135">
        <v>15700</v>
      </c>
      <c r="BS36" s="339">
        <f t="shared" si="36"/>
        <v>15700</v>
      </c>
    </row>
    <row r="37" spans="1:71" s="104" customFormat="1" ht="15.95" customHeight="1">
      <c r="A37" s="285" t="s">
        <v>195</v>
      </c>
      <c r="B37" s="105"/>
      <c r="C37" s="134">
        <f t="shared" si="37"/>
        <v>0</v>
      </c>
      <c r="D37" s="134">
        <f t="shared" si="38"/>
        <v>0</v>
      </c>
      <c r="E37" s="138"/>
      <c r="F37" s="138"/>
      <c r="G37" s="138"/>
      <c r="H37" s="138"/>
      <c r="I37" s="138"/>
      <c r="J37" s="138"/>
      <c r="K37" s="137">
        <f t="shared" si="28"/>
        <v>0</v>
      </c>
      <c r="L37" s="105"/>
      <c r="M37" s="134">
        <f t="shared" si="39"/>
        <v>0</v>
      </c>
      <c r="N37" s="134">
        <f t="shared" si="40"/>
        <v>0</v>
      </c>
      <c r="O37" s="138"/>
      <c r="P37" s="138"/>
      <c r="Q37" s="138"/>
      <c r="R37" s="138"/>
      <c r="S37" s="138"/>
      <c r="T37" s="138"/>
      <c r="U37" s="137">
        <f t="shared" si="29"/>
        <v>0</v>
      </c>
      <c r="V37" s="105"/>
      <c r="W37" s="134">
        <f t="shared" si="41"/>
        <v>0</v>
      </c>
      <c r="X37" s="134">
        <f t="shared" si="42"/>
        <v>0</v>
      </c>
      <c r="Y37" s="138"/>
      <c r="Z37" s="138"/>
      <c r="AA37" s="138"/>
      <c r="AB37" s="138"/>
      <c r="AC37" s="138"/>
      <c r="AD37" s="138"/>
      <c r="AE37" s="137">
        <f t="shared" si="30"/>
        <v>0</v>
      </c>
      <c r="AF37" s="105"/>
      <c r="AG37" s="134">
        <f t="shared" si="43"/>
        <v>0</v>
      </c>
      <c r="AH37" s="134">
        <f t="shared" si="44"/>
        <v>0</v>
      </c>
      <c r="AI37" s="138"/>
      <c r="AJ37" s="138"/>
      <c r="AK37" s="138"/>
      <c r="AL37" s="138"/>
      <c r="AM37" s="138"/>
      <c r="AN37" s="138"/>
      <c r="AO37" s="137">
        <f t="shared" si="31"/>
        <v>0</v>
      </c>
      <c r="AP37" s="105"/>
      <c r="AQ37" s="134">
        <f t="shared" si="45"/>
        <v>0</v>
      </c>
      <c r="AR37" s="134">
        <f t="shared" si="46"/>
        <v>0</v>
      </c>
      <c r="AS37" s="138"/>
      <c r="AT37" s="138"/>
      <c r="AU37" s="138"/>
      <c r="AV37" s="138"/>
      <c r="AW37" s="138"/>
      <c r="AX37" s="138"/>
      <c r="AY37" s="137">
        <f t="shared" si="32"/>
        <v>0</v>
      </c>
      <c r="AZ37" s="105">
        <v>10</v>
      </c>
      <c r="BA37" s="134">
        <f t="shared" si="47"/>
        <v>5502</v>
      </c>
      <c r="BB37" s="134">
        <f t="shared" si="48"/>
        <v>550.20000000000005</v>
      </c>
      <c r="BC37" s="138">
        <v>1344</v>
      </c>
      <c r="BD37" s="138">
        <v>3033</v>
      </c>
      <c r="BE37" s="138"/>
      <c r="BF37" s="138"/>
      <c r="BG37" s="138">
        <v>1125</v>
      </c>
      <c r="BH37" s="138">
        <v>3192</v>
      </c>
      <c r="BI37" s="137">
        <f t="shared" si="33"/>
        <v>1344</v>
      </c>
      <c r="BJ37" s="100">
        <v>7</v>
      </c>
      <c r="BK37" s="134">
        <f t="shared" si="34"/>
        <v>3615</v>
      </c>
      <c r="BL37" s="134">
        <f t="shared" si="35"/>
        <v>516.42857142857144</v>
      </c>
      <c r="BM37" s="135">
        <v>1710</v>
      </c>
      <c r="BN37" s="135">
        <v>680</v>
      </c>
      <c r="BO37" s="135"/>
      <c r="BP37" s="135"/>
      <c r="BQ37" s="135">
        <v>1225</v>
      </c>
      <c r="BR37" s="135">
        <v>2583</v>
      </c>
      <c r="BS37" s="339">
        <f t="shared" si="36"/>
        <v>1710</v>
      </c>
    </row>
    <row r="38" spans="1:71" s="101" customFormat="1" ht="15.95" customHeight="1">
      <c r="A38" s="99"/>
      <c r="B38" s="100"/>
      <c r="C38" s="178">
        <f t="shared" si="37"/>
        <v>0</v>
      </c>
      <c r="D38" s="178">
        <f t="shared" si="38"/>
        <v>0</v>
      </c>
      <c r="E38" s="135"/>
      <c r="F38" s="135"/>
      <c r="G38" s="135"/>
      <c r="H38" s="135"/>
      <c r="I38" s="135"/>
      <c r="J38" s="135"/>
      <c r="K38" s="339">
        <f t="shared" si="28"/>
        <v>0</v>
      </c>
      <c r="L38" s="100"/>
      <c r="M38" s="178">
        <f t="shared" si="39"/>
        <v>0</v>
      </c>
      <c r="N38" s="178">
        <f t="shared" si="40"/>
        <v>0</v>
      </c>
      <c r="O38" s="135"/>
      <c r="P38" s="135"/>
      <c r="Q38" s="135"/>
      <c r="R38" s="135"/>
      <c r="S38" s="135"/>
      <c r="T38" s="135"/>
      <c r="U38" s="339">
        <f t="shared" si="29"/>
        <v>0</v>
      </c>
      <c r="V38" s="100"/>
      <c r="W38" s="178">
        <f t="shared" si="41"/>
        <v>0</v>
      </c>
      <c r="X38" s="178">
        <f t="shared" si="42"/>
        <v>0</v>
      </c>
      <c r="Y38" s="135"/>
      <c r="Z38" s="135"/>
      <c r="AA38" s="135"/>
      <c r="AB38" s="135"/>
      <c r="AC38" s="135"/>
      <c r="AD38" s="135"/>
      <c r="AE38" s="339">
        <f t="shared" si="30"/>
        <v>0</v>
      </c>
      <c r="AF38" s="100"/>
      <c r="AG38" s="178">
        <f t="shared" si="43"/>
        <v>0</v>
      </c>
      <c r="AH38" s="178">
        <f t="shared" si="44"/>
        <v>0</v>
      </c>
      <c r="AI38" s="135"/>
      <c r="AJ38" s="135"/>
      <c r="AK38" s="135"/>
      <c r="AL38" s="135"/>
      <c r="AM38" s="135"/>
      <c r="AN38" s="135"/>
      <c r="AO38" s="339">
        <f t="shared" si="31"/>
        <v>0</v>
      </c>
      <c r="AP38" s="100"/>
      <c r="AQ38" s="178">
        <f t="shared" si="45"/>
        <v>0</v>
      </c>
      <c r="AR38" s="178">
        <f t="shared" si="46"/>
        <v>0</v>
      </c>
      <c r="AS38" s="135"/>
      <c r="AT38" s="135"/>
      <c r="AU38" s="135"/>
      <c r="AV38" s="135"/>
      <c r="AW38" s="135"/>
      <c r="AX38" s="135"/>
      <c r="AY38" s="339">
        <f t="shared" si="32"/>
        <v>0</v>
      </c>
      <c r="AZ38" s="100"/>
      <c r="BA38" s="178">
        <f t="shared" ref="BA38:BA41" si="49">SUM(BC38:BG38)</f>
        <v>0</v>
      </c>
      <c r="BB38" s="178">
        <f t="shared" si="48"/>
        <v>0</v>
      </c>
      <c r="BC38" s="135"/>
      <c r="BD38" s="135"/>
      <c r="BE38" s="135"/>
      <c r="BF38" s="135"/>
      <c r="BG38" s="135"/>
      <c r="BH38" s="135"/>
      <c r="BI38" s="339">
        <f t="shared" si="33"/>
        <v>0</v>
      </c>
      <c r="BJ38" s="100"/>
      <c r="BK38" s="178">
        <f t="shared" si="34"/>
        <v>0</v>
      </c>
      <c r="BL38" s="178">
        <f t="shared" si="35"/>
        <v>0</v>
      </c>
      <c r="BM38" s="135"/>
      <c r="BN38" s="135"/>
      <c r="BO38" s="135"/>
      <c r="BP38" s="135"/>
      <c r="BQ38" s="135"/>
      <c r="BR38" s="135"/>
      <c r="BS38" s="339">
        <f t="shared" si="36"/>
        <v>0</v>
      </c>
    </row>
    <row r="39" spans="1:71" s="101" customFormat="1" ht="15.95" customHeight="1">
      <c r="A39" s="99"/>
      <c r="B39" s="100"/>
      <c r="C39" s="178">
        <f t="shared" si="37"/>
        <v>0</v>
      </c>
      <c r="D39" s="178">
        <f t="shared" si="38"/>
        <v>0</v>
      </c>
      <c r="E39" s="135"/>
      <c r="F39" s="135"/>
      <c r="G39" s="135"/>
      <c r="H39" s="135"/>
      <c r="I39" s="135"/>
      <c r="J39" s="135"/>
      <c r="K39" s="339">
        <f t="shared" si="28"/>
        <v>0</v>
      </c>
      <c r="L39" s="100"/>
      <c r="M39" s="178">
        <f t="shared" si="39"/>
        <v>0</v>
      </c>
      <c r="N39" s="178">
        <f t="shared" si="40"/>
        <v>0</v>
      </c>
      <c r="O39" s="135"/>
      <c r="P39" s="135"/>
      <c r="Q39" s="135"/>
      <c r="R39" s="135"/>
      <c r="S39" s="135"/>
      <c r="T39" s="135"/>
      <c r="U39" s="339">
        <f t="shared" si="29"/>
        <v>0</v>
      </c>
      <c r="V39" s="100"/>
      <c r="W39" s="178">
        <f t="shared" si="41"/>
        <v>0</v>
      </c>
      <c r="X39" s="178">
        <f t="shared" si="42"/>
        <v>0</v>
      </c>
      <c r="Y39" s="135"/>
      <c r="Z39" s="135"/>
      <c r="AA39" s="135"/>
      <c r="AB39" s="135"/>
      <c r="AC39" s="135"/>
      <c r="AD39" s="135"/>
      <c r="AE39" s="339">
        <f t="shared" si="30"/>
        <v>0</v>
      </c>
      <c r="AF39" s="100"/>
      <c r="AG39" s="178">
        <f t="shared" si="43"/>
        <v>0</v>
      </c>
      <c r="AH39" s="178">
        <f t="shared" si="44"/>
        <v>0</v>
      </c>
      <c r="AI39" s="135"/>
      <c r="AJ39" s="135"/>
      <c r="AK39" s="135"/>
      <c r="AL39" s="135"/>
      <c r="AM39" s="135"/>
      <c r="AN39" s="135"/>
      <c r="AO39" s="339">
        <f t="shared" si="31"/>
        <v>0</v>
      </c>
      <c r="AP39" s="100"/>
      <c r="AQ39" s="178">
        <f t="shared" si="45"/>
        <v>0</v>
      </c>
      <c r="AR39" s="178">
        <f t="shared" si="46"/>
        <v>0</v>
      </c>
      <c r="AS39" s="135"/>
      <c r="AT39" s="135"/>
      <c r="AU39" s="135"/>
      <c r="AV39" s="135"/>
      <c r="AW39" s="135"/>
      <c r="AX39" s="135"/>
      <c r="AY39" s="339">
        <f t="shared" si="32"/>
        <v>0</v>
      </c>
      <c r="AZ39" s="100"/>
      <c r="BA39" s="178">
        <f t="shared" si="49"/>
        <v>0</v>
      </c>
      <c r="BB39" s="178">
        <f t="shared" si="48"/>
        <v>0</v>
      </c>
      <c r="BC39" s="135"/>
      <c r="BD39" s="135"/>
      <c r="BE39" s="135"/>
      <c r="BF39" s="135"/>
      <c r="BG39" s="135"/>
      <c r="BH39" s="135"/>
      <c r="BI39" s="339">
        <f t="shared" si="33"/>
        <v>0</v>
      </c>
      <c r="BJ39" s="100"/>
      <c r="BK39" s="178">
        <f t="shared" si="34"/>
        <v>0</v>
      </c>
      <c r="BL39" s="178">
        <f t="shared" si="35"/>
        <v>0</v>
      </c>
      <c r="BM39" s="135"/>
      <c r="BN39" s="135"/>
      <c r="BO39" s="135"/>
      <c r="BP39" s="135"/>
      <c r="BQ39" s="135"/>
      <c r="BR39" s="135"/>
      <c r="BS39" s="339">
        <f t="shared" si="36"/>
        <v>0</v>
      </c>
    </row>
    <row r="40" spans="1:71" s="101" customFormat="1" ht="15.95" customHeight="1">
      <c r="A40" s="99"/>
      <c r="B40" s="100"/>
      <c r="C40" s="178">
        <f t="shared" si="37"/>
        <v>0</v>
      </c>
      <c r="D40" s="178">
        <f t="shared" si="38"/>
        <v>0</v>
      </c>
      <c r="E40" s="135"/>
      <c r="F40" s="135"/>
      <c r="G40" s="135"/>
      <c r="H40" s="135"/>
      <c r="I40" s="135"/>
      <c r="J40" s="135"/>
      <c r="K40" s="339">
        <f t="shared" si="28"/>
        <v>0</v>
      </c>
      <c r="L40" s="100"/>
      <c r="M40" s="178">
        <f t="shared" si="39"/>
        <v>0</v>
      </c>
      <c r="N40" s="178">
        <f t="shared" si="40"/>
        <v>0</v>
      </c>
      <c r="O40" s="135"/>
      <c r="P40" s="135"/>
      <c r="Q40" s="135"/>
      <c r="R40" s="135"/>
      <c r="S40" s="135"/>
      <c r="T40" s="135"/>
      <c r="U40" s="339">
        <f t="shared" si="29"/>
        <v>0</v>
      </c>
      <c r="V40" s="100"/>
      <c r="W40" s="178">
        <f t="shared" si="41"/>
        <v>0</v>
      </c>
      <c r="X40" s="178">
        <f t="shared" si="42"/>
        <v>0</v>
      </c>
      <c r="Y40" s="135"/>
      <c r="Z40" s="135"/>
      <c r="AA40" s="135"/>
      <c r="AB40" s="135"/>
      <c r="AC40" s="135"/>
      <c r="AD40" s="135"/>
      <c r="AE40" s="339">
        <f t="shared" si="30"/>
        <v>0</v>
      </c>
      <c r="AF40" s="100"/>
      <c r="AG40" s="178">
        <f t="shared" si="43"/>
        <v>0</v>
      </c>
      <c r="AH40" s="178">
        <f t="shared" si="44"/>
        <v>0</v>
      </c>
      <c r="AI40" s="135"/>
      <c r="AJ40" s="135"/>
      <c r="AK40" s="135"/>
      <c r="AL40" s="135"/>
      <c r="AM40" s="135"/>
      <c r="AN40" s="135"/>
      <c r="AO40" s="339">
        <f t="shared" si="31"/>
        <v>0</v>
      </c>
      <c r="AP40" s="100"/>
      <c r="AQ40" s="178">
        <f t="shared" si="45"/>
        <v>0</v>
      </c>
      <c r="AR40" s="178">
        <f t="shared" si="46"/>
        <v>0</v>
      </c>
      <c r="AS40" s="135"/>
      <c r="AT40" s="135"/>
      <c r="AU40" s="135"/>
      <c r="AV40" s="135"/>
      <c r="AW40" s="135"/>
      <c r="AX40" s="135"/>
      <c r="AY40" s="339">
        <f t="shared" si="32"/>
        <v>0</v>
      </c>
      <c r="AZ40" s="100"/>
      <c r="BA40" s="178">
        <f t="shared" si="49"/>
        <v>0</v>
      </c>
      <c r="BB40" s="178">
        <f t="shared" si="48"/>
        <v>0</v>
      </c>
      <c r="BC40" s="135"/>
      <c r="BD40" s="135"/>
      <c r="BE40" s="135"/>
      <c r="BF40" s="135"/>
      <c r="BG40" s="135"/>
      <c r="BH40" s="135"/>
      <c r="BI40" s="339">
        <f t="shared" si="33"/>
        <v>0</v>
      </c>
      <c r="BJ40" s="100"/>
      <c r="BK40" s="178">
        <f t="shared" si="34"/>
        <v>0</v>
      </c>
      <c r="BL40" s="178">
        <f t="shared" si="35"/>
        <v>0</v>
      </c>
      <c r="BM40" s="135"/>
      <c r="BN40" s="135"/>
      <c r="BO40" s="135"/>
      <c r="BP40" s="135"/>
      <c r="BQ40" s="135"/>
      <c r="BR40" s="135"/>
      <c r="BS40" s="339">
        <f t="shared" si="36"/>
        <v>0</v>
      </c>
    </row>
    <row r="41" spans="1:71" s="101" customFormat="1" ht="15.95" customHeight="1">
      <c r="A41" s="99"/>
      <c r="B41" s="100"/>
      <c r="C41" s="178">
        <f t="shared" si="37"/>
        <v>0</v>
      </c>
      <c r="D41" s="178">
        <f t="shared" si="38"/>
        <v>0</v>
      </c>
      <c r="E41" s="135"/>
      <c r="F41" s="135"/>
      <c r="G41" s="135"/>
      <c r="H41" s="135"/>
      <c r="I41" s="135"/>
      <c r="J41" s="135"/>
      <c r="K41" s="339">
        <f t="shared" si="28"/>
        <v>0</v>
      </c>
      <c r="L41" s="100"/>
      <c r="M41" s="178">
        <f t="shared" si="39"/>
        <v>0</v>
      </c>
      <c r="N41" s="178">
        <f t="shared" si="40"/>
        <v>0</v>
      </c>
      <c r="O41" s="135"/>
      <c r="P41" s="135"/>
      <c r="Q41" s="135"/>
      <c r="R41" s="135"/>
      <c r="S41" s="135"/>
      <c r="T41" s="135"/>
      <c r="U41" s="339">
        <f t="shared" si="29"/>
        <v>0</v>
      </c>
      <c r="V41" s="100"/>
      <c r="W41" s="178">
        <f t="shared" si="41"/>
        <v>0</v>
      </c>
      <c r="X41" s="178">
        <f t="shared" si="42"/>
        <v>0</v>
      </c>
      <c r="Y41" s="135"/>
      <c r="Z41" s="135"/>
      <c r="AA41" s="135"/>
      <c r="AB41" s="135"/>
      <c r="AC41" s="135"/>
      <c r="AD41" s="135"/>
      <c r="AE41" s="339">
        <f t="shared" si="30"/>
        <v>0</v>
      </c>
      <c r="AF41" s="100"/>
      <c r="AG41" s="178">
        <f t="shared" si="43"/>
        <v>0</v>
      </c>
      <c r="AH41" s="178">
        <f t="shared" si="44"/>
        <v>0</v>
      </c>
      <c r="AI41" s="135"/>
      <c r="AJ41" s="135"/>
      <c r="AK41" s="135"/>
      <c r="AL41" s="135"/>
      <c r="AM41" s="135"/>
      <c r="AN41" s="135"/>
      <c r="AO41" s="339">
        <f t="shared" si="31"/>
        <v>0</v>
      </c>
      <c r="AP41" s="100"/>
      <c r="AQ41" s="178">
        <f t="shared" si="45"/>
        <v>0</v>
      </c>
      <c r="AR41" s="178">
        <f t="shared" si="46"/>
        <v>0</v>
      </c>
      <c r="AS41" s="135"/>
      <c r="AT41" s="135"/>
      <c r="AU41" s="135"/>
      <c r="AV41" s="135"/>
      <c r="AW41" s="135"/>
      <c r="AX41" s="135"/>
      <c r="AY41" s="339">
        <f t="shared" si="32"/>
        <v>0</v>
      </c>
      <c r="AZ41" s="100"/>
      <c r="BA41" s="178">
        <f t="shared" si="49"/>
        <v>0</v>
      </c>
      <c r="BB41" s="178">
        <f t="shared" si="48"/>
        <v>0</v>
      </c>
      <c r="BC41" s="135"/>
      <c r="BD41" s="135"/>
      <c r="BE41" s="135"/>
      <c r="BF41" s="135"/>
      <c r="BG41" s="135"/>
      <c r="BH41" s="135"/>
      <c r="BI41" s="339">
        <f t="shared" si="33"/>
        <v>0</v>
      </c>
      <c r="BJ41" s="100"/>
      <c r="BK41" s="178">
        <f t="shared" si="34"/>
        <v>0</v>
      </c>
      <c r="BL41" s="178">
        <f t="shared" si="35"/>
        <v>0</v>
      </c>
      <c r="BM41" s="135"/>
      <c r="BN41" s="135"/>
      <c r="BO41" s="135"/>
      <c r="BP41" s="135"/>
      <c r="BQ41" s="135"/>
      <c r="BR41" s="135"/>
      <c r="BS41" s="339">
        <f t="shared" si="36"/>
        <v>0</v>
      </c>
    </row>
    <row r="42" spans="1:71" s="101" customFormat="1" ht="15.95" customHeight="1">
      <c r="A42" s="99"/>
      <c r="B42" s="100"/>
      <c r="C42" s="178">
        <f t="shared" ref="C42" si="50">SUM(E42:I42)</f>
        <v>0</v>
      </c>
      <c r="D42" s="178">
        <f t="shared" si="38"/>
        <v>0</v>
      </c>
      <c r="E42" s="135"/>
      <c r="F42" s="135"/>
      <c r="G42" s="135"/>
      <c r="H42" s="135"/>
      <c r="I42" s="135"/>
      <c r="J42" s="135"/>
      <c r="K42" s="339">
        <f t="shared" si="28"/>
        <v>0</v>
      </c>
      <c r="L42" s="100"/>
      <c r="M42" s="178">
        <f t="shared" si="39"/>
        <v>0</v>
      </c>
      <c r="N42" s="178">
        <f t="shared" si="40"/>
        <v>0</v>
      </c>
      <c r="O42" s="135"/>
      <c r="P42" s="135"/>
      <c r="Q42" s="135"/>
      <c r="R42" s="135"/>
      <c r="S42" s="135"/>
      <c r="T42" s="135"/>
      <c r="U42" s="339">
        <f t="shared" si="29"/>
        <v>0</v>
      </c>
      <c r="V42" s="100"/>
      <c r="W42" s="178">
        <f t="shared" si="41"/>
        <v>0</v>
      </c>
      <c r="X42" s="178">
        <f t="shared" si="42"/>
        <v>0</v>
      </c>
      <c r="Y42" s="135"/>
      <c r="Z42" s="135"/>
      <c r="AA42" s="135"/>
      <c r="AB42" s="135"/>
      <c r="AC42" s="135"/>
      <c r="AD42" s="135"/>
      <c r="AE42" s="339">
        <f t="shared" si="30"/>
        <v>0</v>
      </c>
      <c r="AF42" s="100"/>
      <c r="AG42" s="178">
        <f t="shared" si="43"/>
        <v>0</v>
      </c>
      <c r="AH42" s="178">
        <f t="shared" si="44"/>
        <v>0</v>
      </c>
      <c r="AI42" s="135"/>
      <c r="AJ42" s="135"/>
      <c r="AK42" s="135"/>
      <c r="AL42" s="135"/>
      <c r="AM42" s="135"/>
      <c r="AN42" s="135"/>
      <c r="AO42" s="339">
        <f t="shared" si="31"/>
        <v>0</v>
      </c>
      <c r="AP42" s="100"/>
      <c r="AQ42" s="178">
        <f t="shared" si="45"/>
        <v>0</v>
      </c>
      <c r="AR42" s="178">
        <f t="shared" si="46"/>
        <v>0</v>
      </c>
      <c r="AS42" s="135"/>
      <c r="AT42" s="135"/>
      <c r="AU42" s="135"/>
      <c r="AV42" s="135"/>
      <c r="AW42" s="135"/>
      <c r="AX42" s="135"/>
      <c r="AY42" s="339">
        <f t="shared" si="32"/>
        <v>0</v>
      </c>
      <c r="AZ42" s="100"/>
      <c r="BA42" s="178">
        <f t="shared" si="47"/>
        <v>0</v>
      </c>
      <c r="BB42" s="178">
        <f t="shared" si="48"/>
        <v>0</v>
      </c>
      <c r="BC42" s="135"/>
      <c r="BD42" s="135"/>
      <c r="BE42" s="135"/>
      <c r="BF42" s="135"/>
      <c r="BG42" s="135"/>
      <c r="BH42" s="135"/>
      <c r="BI42" s="339">
        <f t="shared" si="33"/>
        <v>0</v>
      </c>
      <c r="BJ42" s="100"/>
      <c r="BK42" s="178">
        <f t="shared" si="34"/>
        <v>0</v>
      </c>
      <c r="BL42" s="178">
        <f t="shared" si="35"/>
        <v>0</v>
      </c>
      <c r="BM42" s="135"/>
      <c r="BN42" s="135"/>
      <c r="BO42" s="135"/>
      <c r="BP42" s="135"/>
      <c r="BQ42" s="135"/>
      <c r="BR42" s="135"/>
      <c r="BS42" s="339">
        <f t="shared" si="36"/>
        <v>0</v>
      </c>
    </row>
    <row r="43" spans="1:71" s="101" customFormat="1" ht="15.95" customHeight="1">
      <c r="A43" s="99"/>
      <c r="B43" s="100"/>
      <c r="C43" s="178">
        <f>SUM(E43:I43)</f>
        <v>0</v>
      </c>
      <c r="D43" s="178">
        <f>IFERROR(C43/B43,0)</f>
        <v>0</v>
      </c>
      <c r="E43" s="135"/>
      <c r="F43" s="135"/>
      <c r="G43" s="135"/>
      <c r="H43" s="135"/>
      <c r="I43" s="135"/>
      <c r="J43" s="135"/>
      <c r="K43" s="339">
        <f t="shared" si="28"/>
        <v>0</v>
      </c>
      <c r="L43" s="100"/>
      <c r="M43" s="178">
        <f>SUM(O43:S43)</f>
        <v>0</v>
      </c>
      <c r="N43" s="178">
        <f>IFERROR(M43/L43,0)</f>
        <v>0</v>
      </c>
      <c r="O43" s="135"/>
      <c r="P43" s="135"/>
      <c r="Q43" s="135"/>
      <c r="R43" s="135"/>
      <c r="S43" s="135"/>
      <c r="T43" s="135"/>
      <c r="U43" s="339">
        <f t="shared" si="29"/>
        <v>0</v>
      </c>
      <c r="V43" s="100"/>
      <c r="W43" s="178">
        <f>SUM(Y43:AC43)</f>
        <v>0</v>
      </c>
      <c r="X43" s="178">
        <f>IFERROR(W43/V43,0)</f>
        <v>0</v>
      </c>
      <c r="Y43" s="135"/>
      <c r="Z43" s="135"/>
      <c r="AA43" s="135"/>
      <c r="AB43" s="135"/>
      <c r="AC43" s="135"/>
      <c r="AD43" s="135"/>
      <c r="AE43" s="339">
        <f t="shared" si="30"/>
        <v>0</v>
      </c>
      <c r="AF43" s="100"/>
      <c r="AG43" s="178">
        <f>SUM(AI43:AM43)</f>
        <v>0</v>
      </c>
      <c r="AH43" s="178">
        <f>IFERROR(AG43/AF43,0)</f>
        <v>0</v>
      </c>
      <c r="AI43" s="135"/>
      <c r="AJ43" s="135"/>
      <c r="AK43" s="135"/>
      <c r="AL43" s="135"/>
      <c r="AM43" s="135"/>
      <c r="AN43" s="135"/>
      <c r="AO43" s="339">
        <f t="shared" si="31"/>
        <v>0</v>
      </c>
      <c r="AP43" s="100"/>
      <c r="AQ43" s="178">
        <f>SUM(AS43:AW43)</f>
        <v>0</v>
      </c>
      <c r="AR43" s="178">
        <f>IFERROR(AQ43/AP43,0)</f>
        <v>0</v>
      </c>
      <c r="AS43" s="135"/>
      <c r="AT43" s="135"/>
      <c r="AU43" s="135"/>
      <c r="AV43" s="135"/>
      <c r="AW43" s="135"/>
      <c r="AX43" s="135"/>
      <c r="AY43" s="339">
        <f t="shared" si="32"/>
        <v>0</v>
      </c>
      <c r="AZ43" s="100"/>
      <c r="BA43" s="178">
        <f>SUM(BC43:BG43)</f>
        <v>0</v>
      </c>
      <c r="BB43" s="178">
        <f>IFERROR(BA43/AZ43,0)</f>
        <v>0</v>
      </c>
      <c r="BC43" s="135"/>
      <c r="BD43" s="135"/>
      <c r="BE43" s="135"/>
      <c r="BF43" s="135"/>
      <c r="BG43" s="135"/>
      <c r="BH43" s="135"/>
      <c r="BI43" s="339">
        <f t="shared" si="33"/>
        <v>0</v>
      </c>
      <c r="BJ43" s="100"/>
      <c r="BK43" s="178">
        <f t="shared" si="34"/>
        <v>0</v>
      </c>
      <c r="BL43" s="178">
        <f t="shared" si="35"/>
        <v>0</v>
      </c>
      <c r="BM43" s="135"/>
      <c r="BN43" s="135"/>
      <c r="BO43" s="135"/>
      <c r="BP43" s="135"/>
      <c r="BQ43" s="135"/>
      <c r="BR43" s="135"/>
      <c r="BS43" s="339">
        <f t="shared" si="36"/>
        <v>0</v>
      </c>
    </row>
    <row r="44" spans="1:71" ht="15.95" customHeight="1">
      <c r="A44" s="215" t="s">
        <v>122</v>
      </c>
      <c r="B44" s="105"/>
      <c r="C44" s="134"/>
      <c r="D44" s="134"/>
      <c r="E44" s="138"/>
      <c r="F44" s="138"/>
      <c r="G44" s="138"/>
      <c r="H44" s="138"/>
      <c r="I44" s="138"/>
      <c r="J44" s="138"/>
      <c r="K44" s="137"/>
      <c r="L44" s="93"/>
      <c r="M44" s="131"/>
      <c r="N44" s="134"/>
      <c r="O44" s="138"/>
      <c r="P44" s="138"/>
      <c r="Q44" s="138"/>
      <c r="R44" s="138"/>
      <c r="S44" s="138"/>
      <c r="T44" s="138"/>
      <c r="U44" s="137"/>
      <c r="V44" s="105"/>
      <c r="W44" s="134"/>
      <c r="X44" s="134"/>
      <c r="Y44" s="138"/>
      <c r="Z44" s="138"/>
      <c r="AA44" s="138"/>
      <c r="AB44" s="138"/>
      <c r="AC44" s="138"/>
      <c r="AD44" s="138"/>
      <c r="AE44" s="137"/>
      <c r="AF44" s="105"/>
      <c r="AG44" s="134"/>
      <c r="AH44" s="134"/>
      <c r="AI44" s="138"/>
      <c r="AJ44" s="138"/>
      <c r="AK44" s="138"/>
      <c r="AL44" s="138"/>
      <c r="AM44" s="138"/>
      <c r="AN44" s="138"/>
      <c r="AO44" s="137"/>
      <c r="AP44" s="105"/>
      <c r="AQ44" s="134"/>
      <c r="AR44" s="134"/>
      <c r="AS44" s="138"/>
      <c r="AT44" s="138"/>
      <c r="AU44" s="138"/>
      <c r="AV44" s="138"/>
      <c r="AW44" s="138"/>
      <c r="AX44" s="138"/>
      <c r="AY44" s="137"/>
      <c r="AZ44" s="105"/>
      <c r="BA44" s="134"/>
      <c r="BB44" s="134"/>
      <c r="BC44" s="138"/>
      <c r="BD44" s="138"/>
      <c r="BE44" s="138"/>
      <c r="BF44" s="138"/>
      <c r="BG44" s="138"/>
      <c r="BH44" s="138"/>
      <c r="BI44" s="137"/>
      <c r="BJ44" s="105"/>
      <c r="BK44" s="134"/>
      <c r="BL44" s="134"/>
      <c r="BM44" s="138"/>
      <c r="BN44" s="138"/>
      <c r="BO44" s="138"/>
      <c r="BP44" s="138"/>
      <c r="BQ44" s="138"/>
      <c r="BR44" s="138"/>
      <c r="BS44" s="137"/>
    </row>
    <row r="45" spans="1:71" s="104" customFormat="1" ht="15.95" customHeight="1">
      <c r="A45" s="102" t="s">
        <v>48</v>
      </c>
      <c r="B45" s="103">
        <f>SUM(B$31:B44)</f>
        <v>576</v>
      </c>
      <c r="C45" s="134">
        <f>SUM(C$31:C44)</f>
        <v>653534</v>
      </c>
      <c r="D45" s="134">
        <f>IFERROR(C45/B45,0)</f>
        <v>1134.6076388888889</v>
      </c>
      <c r="E45" s="136">
        <f>SUM(E$31:E44)</f>
        <v>394701</v>
      </c>
      <c r="F45" s="136">
        <f>SUM(F$31:F44)</f>
        <v>0</v>
      </c>
      <c r="G45" s="136">
        <f>SUM(G$31:G44)</f>
        <v>0</v>
      </c>
      <c r="H45" s="136">
        <f>SUM(H$31:H44)</f>
        <v>2622</v>
      </c>
      <c r="I45" s="136">
        <f>SUM(I$31:I44)</f>
        <v>256211</v>
      </c>
      <c r="J45" s="136">
        <f>SUM(J$31:J44)</f>
        <v>314974</v>
      </c>
      <c r="K45" s="137">
        <f>SUM(K$31:K44)</f>
        <v>314974</v>
      </c>
      <c r="L45" s="103">
        <f>SUM(L$31:L44)</f>
        <v>515</v>
      </c>
      <c r="M45" s="134">
        <f>SUM(M$31:M44)</f>
        <v>529326</v>
      </c>
      <c r="N45" s="134">
        <f>IFERROR(M45/L45,0)</f>
        <v>1027.8174757281554</v>
      </c>
      <c r="O45" s="136">
        <f>SUM(O$31:O44)</f>
        <v>242821</v>
      </c>
      <c r="P45" s="136">
        <f>SUM(P$31:P44)</f>
        <v>67646</v>
      </c>
      <c r="Q45" s="136">
        <f>SUM(Q$31:Q44)</f>
        <v>0</v>
      </c>
      <c r="R45" s="136">
        <f>SUM(R$31:R44)</f>
        <v>0</v>
      </c>
      <c r="S45" s="136">
        <f>SUM(S$31:S44)</f>
        <v>218859</v>
      </c>
      <c r="T45" s="136">
        <f>SUM(T$31:T44)</f>
        <v>376857</v>
      </c>
      <c r="U45" s="137">
        <f>SUM(U$31:U44)</f>
        <v>188695</v>
      </c>
      <c r="V45" s="103">
        <f>SUM(V$31:V44)</f>
        <v>604</v>
      </c>
      <c r="W45" s="134">
        <f>SUM(W$31:W44)</f>
        <v>614581</v>
      </c>
      <c r="X45" s="134">
        <f>IFERROR(W45/V45,0)</f>
        <v>1017.5182119205298</v>
      </c>
      <c r="Y45" s="136">
        <f>SUM(Y$31:Y44)</f>
        <v>301535</v>
      </c>
      <c r="Z45" s="136">
        <f>SUM(Z$31:Z44)</f>
        <v>64712</v>
      </c>
      <c r="AA45" s="136">
        <f>SUM(AA$31:AA44)</f>
        <v>0</v>
      </c>
      <c r="AB45" s="136">
        <f>SUM(AB$31:AB44)</f>
        <v>0</v>
      </c>
      <c r="AC45" s="136">
        <f>SUM(AC$31:AC44)</f>
        <v>248334</v>
      </c>
      <c r="AD45" s="136">
        <f>SUM(AD$31:AD44)</f>
        <v>513091</v>
      </c>
      <c r="AE45" s="137">
        <f>SUM(AE$31:AE44)</f>
        <v>232289</v>
      </c>
      <c r="AF45" s="103">
        <f>SUM(AF$31:AF44)</f>
        <v>639</v>
      </c>
      <c r="AG45" s="134">
        <f>SUM(AG$31:AG44)</f>
        <v>665755</v>
      </c>
      <c r="AH45" s="134">
        <f>IFERROR(AG45/AF45,0)</f>
        <v>1041.8701095461658</v>
      </c>
      <c r="AI45" s="136">
        <f>SUM(AI$31:AI44)</f>
        <v>379059</v>
      </c>
      <c r="AJ45" s="136">
        <f>SUM(AJ$31:AJ44)</f>
        <v>72364</v>
      </c>
      <c r="AK45" s="136">
        <f>SUM(AK$31:AK44)</f>
        <v>0</v>
      </c>
      <c r="AL45" s="136">
        <f>SUM(AL$31:AL44)</f>
        <v>0</v>
      </c>
      <c r="AM45" s="136">
        <f>SUM(AM$31:AM44)</f>
        <v>214332</v>
      </c>
      <c r="AN45" s="136">
        <f>SUM(AN$31:AN44)</f>
        <v>511407</v>
      </c>
      <c r="AO45" s="137">
        <f>SUM(AO$31:AO44)</f>
        <v>306105</v>
      </c>
      <c r="AP45" s="103">
        <f>SUM(AP$31:AP44)</f>
        <v>613</v>
      </c>
      <c r="AQ45" s="134">
        <f>SUM(AQ$31:AQ44)</f>
        <v>671799</v>
      </c>
      <c r="AR45" s="134">
        <f>IFERROR(AQ45/AP45,0)</f>
        <v>1095.9200652528548</v>
      </c>
      <c r="AS45" s="136">
        <f>SUM(AS$31:AS44)</f>
        <v>344375</v>
      </c>
      <c r="AT45" s="136">
        <f>SUM(AT$31:AT44)</f>
        <v>69700</v>
      </c>
      <c r="AU45" s="136">
        <f>SUM(AU$31:AU44)</f>
        <v>0</v>
      </c>
      <c r="AV45" s="136">
        <f>SUM(AV$31:AV44)</f>
        <v>0</v>
      </c>
      <c r="AW45" s="136">
        <f>SUM(AW$31:AW44)</f>
        <v>257724</v>
      </c>
      <c r="AX45" s="136">
        <f>SUM(AX$31:AX44)</f>
        <v>571749</v>
      </c>
      <c r="AY45" s="137">
        <f>SUM(AY$31:AY44)</f>
        <v>285040</v>
      </c>
      <c r="AZ45" s="103">
        <f>SUM(AZ$31:AZ44)</f>
        <v>545</v>
      </c>
      <c r="BA45" s="134">
        <f>SUM(BA$31:BA44)</f>
        <v>659918</v>
      </c>
      <c r="BB45" s="134">
        <f>IFERROR(BA45/AZ45,0)</f>
        <v>1210.8587155963303</v>
      </c>
      <c r="BC45" s="136">
        <f>SUM(BC$31:BC44)</f>
        <v>393142</v>
      </c>
      <c r="BD45" s="136">
        <f>SUM(BD$31:BD44)</f>
        <v>3033</v>
      </c>
      <c r="BE45" s="136">
        <f>SUM(BE$31:BE44)</f>
        <v>0</v>
      </c>
      <c r="BF45" s="136">
        <f>SUM(BF$31:BF44)</f>
        <v>0</v>
      </c>
      <c r="BG45" s="136">
        <f>SUM(BG$31:BG44)</f>
        <v>263743</v>
      </c>
      <c r="BH45" s="136">
        <f>SUM(BH$31:BH44)</f>
        <v>579407</v>
      </c>
      <c r="BI45" s="137">
        <f>SUM(BI$31:BI44)</f>
        <v>330334</v>
      </c>
      <c r="BJ45" s="103">
        <f>SUM(BJ$31:BJ44)</f>
        <v>576</v>
      </c>
      <c r="BK45" s="134">
        <f>SUM(BK$31:BK44)</f>
        <v>654295.91999999993</v>
      </c>
      <c r="BL45" s="134">
        <f>IFERROR(BK45/BJ45,0)</f>
        <v>1135.9304166666666</v>
      </c>
      <c r="BM45" s="136">
        <f>SUM(BM$31:BM44)</f>
        <v>346790.92</v>
      </c>
      <c r="BN45" s="136">
        <f>SUM(BN$31:BN44)</f>
        <v>680</v>
      </c>
      <c r="BO45" s="136">
        <f>SUM(BO$31:BO44)</f>
        <v>0</v>
      </c>
      <c r="BP45" s="136">
        <f>SUM(BP$31:BP44)</f>
        <v>0</v>
      </c>
      <c r="BQ45" s="136">
        <f>SUM(BQ$31:BQ44)</f>
        <v>306825</v>
      </c>
      <c r="BR45" s="136">
        <f>SUM(BR$31:BR44)</f>
        <v>578738</v>
      </c>
      <c r="BS45" s="137">
        <f>SUM(BS$31:BS44)</f>
        <v>286225</v>
      </c>
    </row>
    <row r="46" spans="1:71" ht="15.95" customHeight="1">
      <c r="A46" s="97"/>
      <c r="B46" s="105"/>
      <c r="C46" s="134"/>
      <c r="D46" s="134"/>
      <c r="E46" s="138"/>
      <c r="F46" s="138"/>
      <c r="G46" s="138"/>
      <c r="H46" s="138"/>
      <c r="I46" s="138"/>
      <c r="J46" s="138"/>
      <c r="K46" s="137"/>
      <c r="L46" s="93"/>
      <c r="M46" s="131"/>
      <c r="N46" s="134"/>
      <c r="O46" s="138"/>
      <c r="P46" s="138"/>
      <c r="Q46" s="138"/>
      <c r="R46" s="138"/>
      <c r="S46" s="138"/>
      <c r="T46" s="138"/>
      <c r="U46" s="137"/>
      <c r="V46" s="105"/>
      <c r="W46" s="134"/>
      <c r="X46" s="134"/>
      <c r="Y46" s="138"/>
      <c r="Z46" s="138"/>
      <c r="AA46" s="138"/>
      <c r="AB46" s="138"/>
      <c r="AC46" s="138"/>
      <c r="AD46" s="138"/>
      <c r="AE46" s="137"/>
      <c r="AF46" s="105"/>
      <c r="AG46" s="134"/>
      <c r="AH46" s="134"/>
      <c r="AI46" s="138"/>
      <c r="AJ46" s="138"/>
      <c r="AK46" s="138"/>
      <c r="AL46" s="138"/>
      <c r="AM46" s="138"/>
      <c r="AN46" s="138"/>
      <c r="AO46" s="137"/>
      <c r="AP46" s="105"/>
      <c r="AQ46" s="134"/>
      <c r="AR46" s="134"/>
      <c r="AS46" s="138"/>
      <c r="AT46" s="138"/>
      <c r="AU46" s="138"/>
      <c r="AV46" s="138"/>
      <c r="AW46" s="138"/>
      <c r="AX46" s="138"/>
      <c r="AY46" s="137"/>
      <c r="AZ46" s="105"/>
      <c r="BA46" s="134"/>
      <c r="BB46" s="134"/>
      <c r="BC46" s="138"/>
      <c r="BD46" s="138"/>
      <c r="BE46" s="138"/>
      <c r="BF46" s="138"/>
      <c r="BG46" s="138"/>
      <c r="BH46" s="138"/>
      <c r="BI46" s="137"/>
      <c r="BJ46" s="105"/>
      <c r="BK46" s="134"/>
      <c r="BL46" s="134"/>
      <c r="BM46" s="138"/>
      <c r="BN46" s="138"/>
      <c r="BO46" s="138"/>
      <c r="BP46" s="138"/>
      <c r="BQ46" s="138"/>
      <c r="BR46" s="138"/>
      <c r="BS46" s="137"/>
    </row>
    <row r="47" spans="1:71" ht="15.95" customHeight="1">
      <c r="A47" s="98" t="s">
        <v>49</v>
      </c>
      <c r="B47" s="105"/>
      <c r="C47" s="134"/>
      <c r="D47" s="134"/>
      <c r="E47" s="138"/>
      <c r="F47" s="138"/>
      <c r="G47" s="138"/>
      <c r="H47" s="138"/>
      <c r="I47" s="138"/>
      <c r="J47" s="138"/>
      <c r="K47" s="137"/>
      <c r="L47" s="93"/>
      <c r="M47" s="131"/>
      <c r="N47" s="134"/>
      <c r="O47" s="138"/>
      <c r="P47" s="138"/>
      <c r="Q47" s="138"/>
      <c r="R47" s="138"/>
      <c r="S47" s="138"/>
      <c r="T47" s="138"/>
      <c r="U47" s="137"/>
      <c r="V47" s="105"/>
      <c r="W47" s="134"/>
      <c r="X47" s="134"/>
      <c r="Y47" s="138"/>
      <c r="Z47" s="138"/>
      <c r="AA47" s="138"/>
      <c r="AB47" s="138"/>
      <c r="AC47" s="138"/>
      <c r="AD47" s="138"/>
      <c r="AE47" s="137"/>
      <c r="AF47" s="105"/>
      <c r="AG47" s="134"/>
      <c r="AH47" s="134"/>
      <c r="AI47" s="138"/>
      <c r="AJ47" s="138"/>
      <c r="AK47" s="138"/>
      <c r="AL47" s="138"/>
      <c r="AM47" s="138"/>
      <c r="AN47" s="138"/>
      <c r="AO47" s="137"/>
      <c r="AP47" s="105"/>
      <c r="AQ47" s="134"/>
      <c r="AR47" s="134"/>
      <c r="AS47" s="138"/>
      <c r="AT47" s="138"/>
      <c r="AU47" s="138"/>
      <c r="AV47" s="138"/>
      <c r="AW47" s="138"/>
      <c r="AX47" s="138"/>
      <c r="AY47" s="137"/>
      <c r="AZ47" s="105"/>
      <c r="BA47" s="134"/>
      <c r="BB47" s="134"/>
      <c r="BC47" s="138"/>
      <c r="BD47" s="138"/>
      <c r="BE47" s="138"/>
      <c r="BF47" s="138"/>
      <c r="BG47" s="138"/>
      <c r="BH47" s="138"/>
      <c r="BI47" s="137"/>
      <c r="BJ47" s="105"/>
      <c r="BK47" s="134"/>
      <c r="BL47" s="134"/>
      <c r="BM47" s="138"/>
      <c r="BN47" s="138"/>
      <c r="BO47" s="138"/>
      <c r="BP47" s="138"/>
      <c r="BQ47" s="138"/>
      <c r="BR47" s="138"/>
      <c r="BS47" s="137"/>
    </row>
    <row r="48" spans="1:71" s="104" customFormat="1" ht="15.95" customHeight="1">
      <c r="A48" s="285" t="s">
        <v>50</v>
      </c>
      <c r="B48" s="105">
        <v>31</v>
      </c>
      <c r="C48" s="134">
        <f t="shared" ref="C48:C57" si="51">SUM(E48:I48)</f>
        <v>3707</v>
      </c>
      <c r="D48" s="134">
        <f t="shared" ref="D48:D57" si="52">IFERROR(C48/B48,0)</f>
        <v>119.58064516129032</v>
      </c>
      <c r="E48" s="138">
        <v>3707</v>
      </c>
      <c r="F48" s="138"/>
      <c r="G48" s="138"/>
      <c r="H48" s="138"/>
      <c r="I48" s="138"/>
      <c r="J48" s="138">
        <v>3707</v>
      </c>
      <c r="K48" s="137">
        <f t="shared" ref="K48:K57" si="53">IF(J48=0,0,(IF(E48&lt;=J48,E48,J48)))</f>
        <v>3707</v>
      </c>
      <c r="L48" s="105">
        <v>20</v>
      </c>
      <c r="M48" s="134">
        <f t="shared" ref="M48:M57" si="54">SUM(O48:S48)</f>
        <v>3822</v>
      </c>
      <c r="N48" s="134">
        <f t="shared" ref="N48:N57" si="55">IFERROR(M48/L48,0)</f>
        <v>191.1</v>
      </c>
      <c r="O48" s="138">
        <v>3822</v>
      </c>
      <c r="P48" s="138"/>
      <c r="Q48" s="138"/>
      <c r="R48" s="138"/>
      <c r="S48" s="138"/>
      <c r="T48" s="138">
        <v>3822</v>
      </c>
      <c r="U48" s="137">
        <f t="shared" ref="U48:U57" si="56">IF(T48=0,0,(IF(O48&lt;=T48,O48,T48)))</f>
        <v>3822</v>
      </c>
      <c r="V48" s="105">
        <v>14</v>
      </c>
      <c r="W48" s="134">
        <f t="shared" ref="W48:W57" si="57">SUM(Y48:AC48)</f>
        <v>7159</v>
      </c>
      <c r="X48" s="134">
        <f t="shared" ref="X48:X57" si="58">IFERROR(W48/V48,0)</f>
        <v>511.35714285714283</v>
      </c>
      <c r="Y48" s="138">
        <v>7159</v>
      </c>
      <c r="Z48" s="138"/>
      <c r="AA48" s="138"/>
      <c r="AB48" s="138"/>
      <c r="AC48" s="138"/>
      <c r="AD48" s="138">
        <v>6803</v>
      </c>
      <c r="AE48" s="137">
        <f t="shared" ref="AE48:AE57" si="59">IF(AD48=0,0,(IF(Y48&lt;=AD48,Y48,AD48)))</f>
        <v>6803</v>
      </c>
      <c r="AF48" s="105">
        <v>15</v>
      </c>
      <c r="AG48" s="134">
        <f t="shared" ref="AG48:AG57" si="60">SUM(AI48:AM48)</f>
        <v>7955</v>
      </c>
      <c r="AH48" s="134">
        <f t="shared" ref="AH48:AH57" si="61">IFERROR(AG48/AF48,0)</f>
        <v>530.33333333333337</v>
      </c>
      <c r="AI48" s="138">
        <v>7955</v>
      </c>
      <c r="AJ48" s="138"/>
      <c r="AK48" s="138"/>
      <c r="AL48" s="138"/>
      <c r="AM48" s="138"/>
      <c r="AN48" s="138">
        <v>7955</v>
      </c>
      <c r="AO48" s="137">
        <f t="shared" ref="AO48:AO57" si="62">IF(AN48=0,0,(IF(AI48&lt;=AN48,AI48,AN48)))</f>
        <v>7955</v>
      </c>
      <c r="AP48" s="105">
        <v>18</v>
      </c>
      <c r="AQ48" s="134">
        <f t="shared" ref="AQ48:AQ57" si="63">SUM(AS48:AW48)</f>
        <v>7313.2</v>
      </c>
      <c r="AR48" s="134">
        <f t="shared" ref="AR48:AR57" si="64">IFERROR(AQ48/AP48,0)</f>
        <v>406.28888888888889</v>
      </c>
      <c r="AS48" s="138">
        <v>7313.2</v>
      </c>
      <c r="AT48" s="138"/>
      <c r="AU48" s="138"/>
      <c r="AV48" s="138"/>
      <c r="AW48" s="138"/>
      <c r="AX48" s="138">
        <v>7313</v>
      </c>
      <c r="AY48" s="137">
        <f t="shared" ref="AY48:AY57" si="65">IF(AX48=0,0,(IF(AS48&lt;=AX48,AS48,AX48)))</f>
        <v>7313</v>
      </c>
      <c r="AZ48" s="105">
        <v>16</v>
      </c>
      <c r="BA48" s="134">
        <f t="shared" ref="BA48:BA57" si="66">SUM(BC48:BG48)</f>
        <v>9462</v>
      </c>
      <c r="BB48" s="134">
        <f t="shared" ref="BB48:BB57" si="67">IFERROR(BA48/AZ48,0)</f>
        <v>591.375</v>
      </c>
      <c r="BC48" s="138">
        <v>9462</v>
      </c>
      <c r="BD48" s="138"/>
      <c r="BE48" s="138"/>
      <c r="BF48" s="138"/>
      <c r="BG48" s="138"/>
      <c r="BH48" s="138">
        <v>9462</v>
      </c>
      <c r="BI48" s="137">
        <f t="shared" ref="BI48:BI57" si="68">IF(BH48=0,0,(IF(BC48&lt;=BH48,BC48,BH48)))</f>
        <v>9462</v>
      </c>
      <c r="BJ48" s="100">
        <v>29</v>
      </c>
      <c r="BK48" s="134">
        <f t="shared" ref="BK48:BK57" si="69">SUM(BM48:BQ48)</f>
        <v>10692</v>
      </c>
      <c r="BL48" s="134">
        <f t="shared" ref="BL48:BL57" si="70">IFERROR(BK48/BJ48,0)</f>
        <v>368.68965517241378</v>
      </c>
      <c r="BM48" s="135">
        <v>10692</v>
      </c>
      <c r="BN48" s="135"/>
      <c r="BO48" s="135"/>
      <c r="BP48" s="135"/>
      <c r="BQ48" s="135"/>
      <c r="BR48" s="135">
        <v>10692</v>
      </c>
      <c r="BS48" s="339">
        <f t="shared" ref="BS48:BS57" si="71">IF(BR48=0,0,(IF(BM48&lt;=BR48,BM48,BR48)))</f>
        <v>10692</v>
      </c>
    </row>
    <row r="49" spans="1:71" s="104" customFormat="1" ht="15.95" customHeight="1">
      <c r="A49" s="285" t="s">
        <v>51</v>
      </c>
      <c r="B49" s="105">
        <v>120</v>
      </c>
      <c r="C49" s="134">
        <f t="shared" si="51"/>
        <v>30352.91</v>
      </c>
      <c r="D49" s="134">
        <f t="shared" si="52"/>
        <v>252.94091666666665</v>
      </c>
      <c r="E49" s="138">
        <v>30352.91</v>
      </c>
      <c r="F49" s="138"/>
      <c r="G49" s="138"/>
      <c r="H49" s="138"/>
      <c r="I49" s="138"/>
      <c r="J49" s="138">
        <v>29879.06</v>
      </c>
      <c r="K49" s="137">
        <f t="shared" si="53"/>
        <v>29879.06</v>
      </c>
      <c r="L49" s="105">
        <v>134</v>
      </c>
      <c r="M49" s="134">
        <f t="shared" si="54"/>
        <v>32641.4</v>
      </c>
      <c r="N49" s="134">
        <f t="shared" si="55"/>
        <v>243.59253731343284</v>
      </c>
      <c r="O49" s="138">
        <v>32641.4</v>
      </c>
      <c r="P49" s="138"/>
      <c r="Q49" s="138"/>
      <c r="R49" s="138"/>
      <c r="S49" s="138"/>
      <c r="T49" s="138">
        <v>32175</v>
      </c>
      <c r="U49" s="137">
        <f t="shared" si="56"/>
        <v>32175</v>
      </c>
      <c r="V49" s="105">
        <v>115</v>
      </c>
      <c r="W49" s="134">
        <f t="shared" si="57"/>
        <v>31521</v>
      </c>
      <c r="X49" s="134">
        <f t="shared" si="58"/>
        <v>274.09565217391304</v>
      </c>
      <c r="Y49" s="138">
        <v>31521</v>
      </c>
      <c r="Z49" s="138"/>
      <c r="AA49" s="138"/>
      <c r="AB49" s="138"/>
      <c r="AC49" s="138"/>
      <c r="AD49" s="138">
        <v>30699</v>
      </c>
      <c r="AE49" s="137">
        <f t="shared" si="59"/>
        <v>30699</v>
      </c>
      <c r="AF49" s="105">
        <v>80</v>
      </c>
      <c r="AG49" s="134">
        <f t="shared" si="60"/>
        <v>24930</v>
      </c>
      <c r="AH49" s="134">
        <f t="shared" si="61"/>
        <v>311.625</v>
      </c>
      <c r="AI49" s="138">
        <v>24930</v>
      </c>
      <c r="AJ49" s="138"/>
      <c r="AK49" s="138"/>
      <c r="AL49" s="138"/>
      <c r="AM49" s="138"/>
      <c r="AN49" s="138">
        <v>24900</v>
      </c>
      <c r="AO49" s="137">
        <f t="shared" si="62"/>
        <v>24900</v>
      </c>
      <c r="AP49" s="105">
        <v>96</v>
      </c>
      <c r="AQ49" s="134">
        <f t="shared" si="63"/>
        <v>24288</v>
      </c>
      <c r="AR49" s="134">
        <f t="shared" si="64"/>
        <v>253</v>
      </c>
      <c r="AS49" s="138">
        <v>24288</v>
      </c>
      <c r="AT49" s="138"/>
      <c r="AU49" s="138"/>
      <c r="AV49" s="138"/>
      <c r="AW49" s="138"/>
      <c r="AX49" s="138">
        <v>22572</v>
      </c>
      <c r="AY49" s="137">
        <f t="shared" si="65"/>
        <v>22572</v>
      </c>
      <c r="AZ49" s="105">
        <v>72</v>
      </c>
      <c r="BA49" s="134">
        <f t="shared" si="66"/>
        <v>17160</v>
      </c>
      <c r="BB49" s="134">
        <f t="shared" si="67"/>
        <v>238.33333333333334</v>
      </c>
      <c r="BC49" s="138">
        <v>17160</v>
      </c>
      <c r="BD49" s="138"/>
      <c r="BE49" s="138"/>
      <c r="BF49" s="138"/>
      <c r="BG49" s="138"/>
      <c r="BH49" s="138">
        <v>16908</v>
      </c>
      <c r="BI49" s="137">
        <f t="shared" si="68"/>
        <v>16908</v>
      </c>
      <c r="BJ49" s="100">
        <v>70</v>
      </c>
      <c r="BK49" s="134">
        <f t="shared" si="69"/>
        <v>14450.86</v>
      </c>
      <c r="BL49" s="134">
        <f t="shared" si="70"/>
        <v>206.44085714285714</v>
      </c>
      <c r="BM49" s="135">
        <v>14450.86</v>
      </c>
      <c r="BN49" s="135"/>
      <c r="BO49" s="135"/>
      <c r="BP49" s="135"/>
      <c r="BQ49" s="135"/>
      <c r="BR49" s="135">
        <v>14450.86</v>
      </c>
      <c r="BS49" s="339">
        <f t="shared" si="71"/>
        <v>14450.86</v>
      </c>
    </row>
    <row r="50" spans="1:71" s="104" customFormat="1" ht="15.95" customHeight="1">
      <c r="A50" s="285" t="s">
        <v>52</v>
      </c>
      <c r="B50" s="105">
        <v>28</v>
      </c>
      <c r="C50" s="134">
        <f t="shared" si="51"/>
        <v>16170</v>
      </c>
      <c r="D50" s="134">
        <f t="shared" si="52"/>
        <v>577.5</v>
      </c>
      <c r="E50" s="138">
        <v>16170</v>
      </c>
      <c r="F50" s="138"/>
      <c r="G50" s="138"/>
      <c r="H50" s="138"/>
      <c r="I50" s="138"/>
      <c r="J50" s="138">
        <v>16170</v>
      </c>
      <c r="K50" s="137">
        <f t="shared" si="53"/>
        <v>16170</v>
      </c>
      <c r="L50" s="105">
        <v>40</v>
      </c>
      <c r="M50" s="134">
        <f t="shared" si="54"/>
        <v>46643</v>
      </c>
      <c r="N50" s="134">
        <f t="shared" si="55"/>
        <v>1166.075</v>
      </c>
      <c r="O50" s="138">
        <v>46643</v>
      </c>
      <c r="P50" s="138"/>
      <c r="Q50" s="138"/>
      <c r="R50" s="138"/>
      <c r="S50" s="138"/>
      <c r="T50" s="138">
        <v>46643</v>
      </c>
      <c r="U50" s="137">
        <f t="shared" si="56"/>
        <v>46643</v>
      </c>
      <c r="V50" s="105">
        <v>40</v>
      </c>
      <c r="W50" s="134">
        <f t="shared" si="57"/>
        <v>51376</v>
      </c>
      <c r="X50" s="134">
        <f t="shared" si="58"/>
        <v>1284.4000000000001</v>
      </c>
      <c r="Y50" s="138">
        <v>51376</v>
      </c>
      <c r="Z50" s="138"/>
      <c r="AA50" s="138"/>
      <c r="AB50" s="138"/>
      <c r="AC50" s="138"/>
      <c r="AD50" s="138">
        <v>51376</v>
      </c>
      <c r="AE50" s="137">
        <f t="shared" si="59"/>
        <v>51376</v>
      </c>
      <c r="AF50" s="105">
        <v>43</v>
      </c>
      <c r="AG50" s="134">
        <f t="shared" si="60"/>
        <v>48441</v>
      </c>
      <c r="AH50" s="134">
        <f t="shared" si="61"/>
        <v>1126.5348837209303</v>
      </c>
      <c r="AI50" s="138">
        <v>48441</v>
      </c>
      <c r="AJ50" s="138"/>
      <c r="AK50" s="138"/>
      <c r="AL50" s="138"/>
      <c r="AM50" s="138"/>
      <c r="AN50" s="138">
        <v>48441</v>
      </c>
      <c r="AO50" s="137">
        <f t="shared" si="62"/>
        <v>48441</v>
      </c>
      <c r="AP50" s="105">
        <v>38</v>
      </c>
      <c r="AQ50" s="134">
        <f t="shared" si="63"/>
        <v>41529.4</v>
      </c>
      <c r="AR50" s="134">
        <f t="shared" si="64"/>
        <v>1092.878947368421</v>
      </c>
      <c r="AS50" s="138">
        <v>41529.4</v>
      </c>
      <c r="AT50" s="138"/>
      <c r="AU50" s="138"/>
      <c r="AV50" s="138"/>
      <c r="AW50" s="138"/>
      <c r="AX50" s="138">
        <v>40683.4</v>
      </c>
      <c r="AY50" s="137">
        <f t="shared" si="65"/>
        <v>40683.4</v>
      </c>
      <c r="AZ50" s="105">
        <v>40</v>
      </c>
      <c r="BA50" s="134">
        <f t="shared" si="66"/>
        <v>44967.6</v>
      </c>
      <c r="BB50" s="134">
        <f t="shared" si="67"/>
        <v>1124.19</v>
      </c>
      <c r="BC50" s="138">
        <v>44967.6</v>
      </c>
      <c r="BD50" s="138"/>
      <c r="BE50" s="138"/>
      <c r="BF50" s="138"/>
      <c r="BG50" s="138"/>
      <c r="BH50" s="138">
        <v>44967.6</v>
      </c>
      <c r="BI50" s="137">
        <f t="shared" si="68"/>
        <v>44967.6</v>
      </c>
      <c r="BJ50" s="100">
        <v>42</v>
      </c>
      <c r="BK50" s="134">
        <f t="shared" si="69"/>
        <v>50713</v>
      </c>
      <c r="BL50" s="134">
        <f t="shared" si="70"/>
        <v>1207.452380952381</v>
      </c>
      <c r="BM50" s="135">
        <v>50713</v>
      </c>
      <c r="BN50" s="135"/>
      <c r="BO50" s="135"/>
      <c r="BP50" s="135"/>
      <c r="BQ50" s="135"/>
      <c r="BR50" s="135">
        <v>50713</v>
      </c>
      <c r="BS50" s="339">
        <f t="shared" si="71"/>
        <v>50713</v>
      </c>
    </row>
    <row r="51" spans="1:71" s="104" customFormat="1" ht="15.95" customHeight="1">
      <c r="A51" s="285" t="s">
        <v>168</v>
      </c>
      <c r="B51" s="105">
        <v>8</v>
      </c>
      <c r="C51" s="134">
        <f t="shared" si="51"/>
        <v>5935</v>
      </c>
      <c r="D51" s="134">
        <f t="shared" si="52"/>
        <v>741.875</v>
      </c>
      <c r="E51" s="138">
        <v>5935</v>
      </c>
      <c r="F51" s="138"/>
      <c r="G51" s="138"/>
      <c r="H51" s="138"/>
      <c r="I51" s="138"/>
      <c r="J51" s="138">
        <v>5935</v>
      </c>
      <c r="K51" s="137">
        <f t="shared" si="53"/>
        <v>5935</v>
      </c>
      <c r="L51" s="105">
        <v>2</v>
      </c>
      <c r="M51" s="134">
        <f t="shared" si="54"/>
        <v>8091</v>
      </c>
      <c r="N51" s="134">
        <f t="shared" si="55"/>
        <v>4045.5</v>
      </c>
      <c r="O51" s="138">
        <v>8091</v>
      </c>
      <c r="P51" s="138"/>
      <c r="Q51" s="138"/>
      <c r="R51" s="138"/>
      <c r="S51" s="138"/>
      <c r="T51" s="138">
        <v>8091</v>
      </c>
      <c r="U51" s="137">
        <f t="shared" si="56"/>
        <v>8091</v>
      </c>
      <c r="V51" s="105">
        <v>5</v>
      </c>
      <c r="W51" s="134">
        <f t="shared" si="57"/>
        <v>9568</v>
      </c>
      <c r="X51" s="134">
        <f t="shared" si="58"/>
        <v>1913.6</v>
      </c>
      <c r="Y51" s="138">
        <v>9568</v>
      </c>
      <c r="Z51" s="138"/>
      <c r="AA51" s="138"/>
      <c r="AB51" s="138"/>
      <c r="AC51" s="138"/>
      <c r="AD51" s="138">
        <v>9568</v>
      </c>
      <c r="AE51" s="137">
        <f t="shared" si="59"/>
        <v>9568</v>
      </c>
      <c r="AF51" s="105">
        <v>8</v>
      </c>
      <c r="AG51" s="134">
        <f t="shared" si="60"/>
        <v>12573</v>
      </c>
      <c r="AH51" s="134">
        <f t="shared" si="61"/>
        <v>1571.625</v>
      </c>
      <c r="AI51" s="138">
        <v>12573</v>
      </c>
      <c r="AJ51" s="138"/>
      <c r="AK51" s="138"/>
      <c r="AL51" s="138"/>
      <c r="AM51" s="138"/>
      <c r="AN51" s="138">
        <v>12573</v>
      </c>
      <c r="AO51" s="137">
        <f t="shared" si="62"/>
        <v>12573</v>
      </c>
      <c r="AP51" s="105">
        <v>5</v>
      </c>
      <c r="AQ51" s="134">
        <f t="shared" si="63"/>
        <v>13915</v>
      </c>
      <c r="AR51" s="134">
        <f t="shared" si="64"/>
        <v>2783</v>
      </c>
      <c r="AS51" s="138">
        <v>13915</v>
      </c>
      <c r="AT51" s="138"/>
      <c r="AU51" s="138"/>
      <c r="AV51" s="138"/>
      <c r="AW51" s="138"/>
      <c r="AX51" s="138">
        <v>13915</v>
      </c>
      <c r="AY51" s="137">
        <f t="shared" si="65"/>
        <v>13915</v>
      </c>
      <c r="AZ51" s="105">
        <v>5</v>
      </c>
      <c r="BA51" s="134">
        <f t="shared" si="66"/>
        <v>8797</v>
      </c>
      <c r="BB51" s="134">
        <f t="shared" si="67"/>
        <v>1759.4</v>
      </c>
      <c r="BC51" s="138">
        <v>8077</v>
      </c>
      <c r="BD51" s="138"/>
      <c r="BE51" s="138">
        <v>720</v>
      </c>
      <c r="BF51" s="138"/>
      <c r="BG51" s="138"/>
      <c r="BH51" s="138">
        <v>8797</v>
      </c>
      <c r="BI51" s="137">
        <f t="shared" si="68"/>
        <v>8077</v>
      </c>
      <c r="BJ51" s="100">
        <v>2</v>
      </c>
      <c r="BK51" s="134">
        <f t="shared" si="69"/>
        <v>7370</v>
      </c>
      <c r="BL51" s="134">
        <f t="shared" si="70"/>
        <v>3685</v>
      </c>
      <c r="BM51" s="135">
        <v>7370</v>
      </c>
      <c r="BN51" s="135"/>
      <c r="BO51" s="135"/>
      <c r="BP51" s="135"/>
      <c r="BQ51" s="135"/>
      <c r="BR51" s="135">
        <v>7370</v>
      </c>
      <c r="BS51" s="339">
        <f t="shared" si="71"/>
        <v>7370</v>
      </c>
    </row>
    <row r="52" spans="1:71" s="101" customFormat="1" ht="15.95" customHeight="1">
      <c r="A52" s="99"/>
      <c r="B52" s="100"/>
      <c r="C52" s="178">
        <f t="shared" si="51"/>
        <v>0</v>
      </c>
      <c r="D52" s="178">
        <f t="shared" si="52"/>
        <v>0</v>
      </c>
      <c r="E52" s="135"/>
      <c r="F52" s="135"/>
      <c r="G52" s="135"/>
      <c r="H52" s="135"/>
      <c r="I52" s="135"/>
      <c r="J52" s="135"/>
      <c r="K52" s="339">
        <f t="shared" si="53"/>
        <v>0</v>
      </c>
      <c r="L52" s="100"/>
      <c r="M52" s="178">
        <f t="shared" ref="M52:M54" si="72">SUM(O52:S52)</f>
        <v>0</v>
      </c>
      <c r="N52" s="178">
        <f t="shared" si="55"/>
        <v>0</v>
      </c>
      <c r="O52" s="135"/>
      <c r="P52" s="135"/>
      <c r="Q52" s="135"/>
      <c r="R52" s="135"/>
      <c r="S52" s="135"/>
      <c r="T52" s="135"/>
      <c r="U52" s="339">
        <f t="shared" si="56"/>
        <v>0</v>
      </c>
      <c r="V52" s="100"/>
      <c r="W52" s="178">
        <f t="shared" ref="W52:W54" si="73">SUM(Y52:AC52)</f>
        <v>0</v>
      </c>
      <c r="X52" s="178">
        <f t="shared" si="58"/>
        <v>0</v>
      </c>
      <c r="Y52" s="135"/>
      <c r="Z52" s="135"/>
      <c r="AA52" s="135"/>
      <c r="AB52" s="135"/>
      <c r="AC52" s="135"/>
      <c r="AD52" s="135"/>
      <c r="AE52" s="339">
        <f t="shared" si="59"/>
        <v>0</v>
      </c>
      <c r="AF52" s="100"/>
      <c r="AG52" s="178">
        <f t="shared" ref="AG52:AG54" si="74">SUM(AI52:AM52)</f>
        <v>0</v>
      </c>
      <c r="AH52" s="178">
        <f t="shared" si="61"/>
        <v>0</v>
      </c>
      <c r="AI52" s="135"/>
      <c r="AJ52" s="135"/>
      <c r="AK52" s="135"/>
      <c r="AL52" s="135"/>
      <c r="AM52" s="135"/>
      <c r="AN52" s="135"/>
      <c r="AO52" s="339">
        <f t="shared" si="62"/>
        <v>0</v>
      </c>
      <c r="AP52" s="100"/>
      <c r="AQ52" s="178">
        <f t="shared" ref="AQ52:AQ54" si="75">SUM(AS52:AW52)</f>
        <v>0</v>
      </c>
      <c r="AR52" s="178">
        <f t="shared" si="64"/>
        <v>0</v>
      </c>
      <c r="AS52" s="135"/>
      <c r="AT52" s="135"/>
      <c r="AU52" s="135"/>
      <c r="AV52" s="135"/>
      <c r="AW52" s="135"/>
      <c r="AX52" s="135"/>
      <c r="AY52" s="339">
        <f t="shared" si="65"/>
        <v>0</v>
      </c>
      <c r="AZ52" s="100"/>
      <c r="BA52" s="178">
        <f t="shared" si="66"/>
        <v>0</v>
      </c>
      <c r="BB52" s="178">
        <f t="shared" si="67"/>
        <v>0</v>
      </c>
      <c r="BC52" s="135"/>
      <c r="BD52" s="135"/>
      <c r="BE52" s="135"/>
      <c r="BF52" s="135"/>
      <c r="BG52" s="135"/>
      <c r="BH52" s="135"/>
      <c r="BI52" s="339">
        <f t="shared" si="68"/>
        <v>0</v>
      </c>
      <c r="BJ52" s="100"/>
      <c r="BK52" s="178">
        <f t="shared" si="69"/>
        <v>0</v>
      </c>
      <c r="BL52" s="178">
        <f t="shared" si="70"/>
        <v>0</v>
      </c>
      <c r="BM52" s="135"/>
      <c r="BN52" s="135"/>
      <c r="BO52" s="135"/>
      <c r="BP52" s="135"/>
      <c r="BQ52" s="135"/>
      <c r="BR52" s="135"/>
      <c r="BS52" s="339">
        <f t="shared" si="71"/>
        <v>0</v>
      </c>
    </row>
    <row r="53" spans="1:71" s="101" customFormat="1" ht="15.95" customHeight="1">
      <c r="A53" s="99"/>
      <c r="B53" s="100"/>
      <c r="C53" s="178">
        <f t="shared" si="51"/>
        <v>0</v>
      </c>
      <c r="D53" s="178">
        <f t="shared" si="52"/>
        <v>0</v>
      </c>
      <c r="E53" s="135"/>
      <c r="F53" s="135"/>
      <c r="G53" s="135"/>
      <c r="H53" s="135"/>
      <c r="I53" s="135"/>
      <c r="J53" s="135"/>
      <c r="K53" s="339">
        <f t="shared" si="53"/>
        <v>0</v>
      </c>
      <c r="L53" s="100"/>
      <c r="M53" s="178">
        <f t="shared" si="72"/>
        <v>0</v>
      </c>
      <c r="N53" s="178">
        <f t="shared" si="55"/>
        <v>0</v>
      </c>
      <c r="O53" s="135"/>
      <c r="P53" s="135"/>
      <c r="Q53" s="135"/>
      <c r="R53" s="135"/>
      <c r="S53" s="135"/>
      <c r="T53" s="135"/>
      <c r="U53" s="339">
        <f t="shared" si="56"/>
        <v>0</v>
      </c>
      <c r="V53" s="100"/>
      <c r="W53" s="178">
        <f t="shared" si="73"/>
        <v>0</v>
      </c>
      <c r="X53" s="178">
        <f t="shared" si="58"/>
        <v>0</v>
      </c>
      <c r="Y53" s="135"/>
      <c r="Z53" s="135"/>
      <c r="AA53" s="135"/>
      <c r="AB53" s="135"/>
      <c r="AC53" s="135"/>
      <c r="AD53" s="135"/>
      <c r="AE53" s="339">
        <f t="shared" si="59"/>
        <v>0</v>
      </c>
      <c r="AF53" s="100"/>
      <c r="AG53" s="178">
        <f t="shared" si="74"/>
        <v>0</v>
      </c>
      <c r="AH53" s="178">
        <f t="shared" si="61"/>
        <v>0</v>
      </c>
      <c r="AI53" s="135"/>
      <c r="AJ53" s="135"/>
      <c r="AK53" s="135"/>
      <c r="AL53" s="135"/>
      <c r="AM53" s="135"/>
      <c r="AN53" s="135"/>
      <c r="AO53" s="339">
        <f t="shared" si="62"/>
        <v>0</v>
      </c>
      <c r="AP53" s="100"/>
      <c r="AQ53" s="178">
        <f t="shared" si="75"/>
        <v>0</v>
      </c>
      <c r="AR53" s="178">
        <f t="shared" si="64"/>
        <v>0</v>
      </c>
      <c r="AS53" s="135"/>
      <c r="AT53" s="135"/>
      <c r="AU53" s="135"/>
      <c r="AV53" s="135"/>
      <c r="AW53" s="135"/>
      <c r="AX53" s="135"/>
      <c r="AY53" s="339">
        <f t="shared" si="65"/>
        <v>0</v>
      </c>
      <c r="AZ53" s="100"/>
      <c r="BA53" s="178">
        <f t="shared" si="66"/>
        <v>0</v>
      </c>
      <c r="BB53" s="178">
        <f t="shared" si="67"/>
        <v>0</v>
      </c>
      <c r="BC53" s="135"/>
      <c r="BD53" s="135"/>
      <c r="BE53" s="135"/>
      <c r="BF53" s="135"/>
      <c r="BG53" s="135"/>
      <c r="BH53" s="135"/>
      <c r="BI53" s="339">
        <f t="shared" si="68"/>
        <v>0</v>
      </c>
      <c r="BJ53" s="100"/>
      <c r="BK53" s="178">
        <f t="shared" si="69"/>
        <v>0</v>
      </c>
      <c r="BL53" s="178">
        <f t="shared" si="70"/>
        <v>0</v>
      </c>
      <c r="BM53" s="135"/>
      <c r="BN53" s="135"/>
      <c r="BO53" s="135"/>
      <c r="BP53" s="135"/>
      <c r="BQ53" s="135"/>
      <c r="BR53" s="135"/>
      <c r="BS53" s="339">
        <f t="shared" si="71"/>
        <v>0</v>
      </c>
    </row>
    <row r="54" spans="1:71" s="101" customFormat="1" ht="15.95" customHeight="1">
      <c r="A54" s="99"/>
      <c r="B54" s="100"/>
      <c r="C54" s="178">
        <f t="shared" si="51"/>
        <v>0</v>
      </c>
      <c r="D54" s="178">
        <f t="shared" si="52"/>
        <v>0</v>
      </c>
      <c r="E54" s="135"/>
      <c r="F54" s="135"/>
      <c r="G54" s="135"/>
      <c r="H54" s="135"/>
      <c r="I54" s="135"/>
      <c r="J54" s="135"/>
      <c r="K54" s="339">
        <f t="shared" si="53"/>
        <v>0</v>
      </c>
      <c r="L54" s="100"/>
      <c r="M54" s="178">
        <f t="shared" si="72"/>
        <v>0</v>
      </c>
      <c r="N54" s="178">
        <f t="shared" si="55"/>
        <v>0</v>
      </c>
      <c r="O54" s="135"/>
      <c r="P54" s="135"/>
      <c r="Q54" s="135"/>
      <c r="R54" s="135"/>
      <c r="S54" s="135"/>
      <c r="T54" s="135"/>
      <c r="U54" s="339">
        <f t="shared" si="56"/>
        <v>0</v>
      </c>
      <c r="V54" s="100"/>
      <c r="W54" s="178">
        <f t="shared" si="73"/>
        <v>0</v>
      </c>
      <c r="X54" s="178">
        <f t="shared" si="58"/>
        <v>0</v>
      </c>
      <c r="Y54" s="135"/>
      <c r="Z54" s="135"/>
      <c r="AA54" s="135"/>
      <c r="AB54" s="135"/>
      <c r="AC54" s="135"/>
      <c r="AD54" s="135"/>
      <c r="AE54" s="339">
        <f t="shared" si="59"/>
        <v>0</v>
      </c>
      <c r="AF54" s="100"/>
      <c r="AG54" s="178">
        <f t="shared" si="74"/>
        <v>0</v>
      </c>
      <c r="AH54" s="178">
        <f t="shared" si="61"/>
        <v>0</v>
      </c>
      <c r="AI54" s="135"/>
      <c r="AJ54" s="135"/>
      <c r="AK54" s="135"/>
      <c r="AL54" s="135"/>
      <c r="AM54" s="135"/>
      <c r="AN54" s="135"/>
      <c r="AO54" s="339">
        <f t="shared" si="62"/>
        <v>0</v>
      </c>
      <c r="AP54" s="100"/>
      <c r="AQ54" s="178">
        <f t="shared" si="75"/>
        <v>0</v>
      </c>
      <c r="AR54" s="178">
        <f t="shared" si="64"/>
        <v>0</v>
      </c>
      <c r="AS54" s="135"/>
      <c r="AT54" s="135"/>
      <c r="AU54" s="135"/>
      <c r="AV54" s="135"/>
      <c r="AW54" s="135"/>
      <c r="AX54" s="135"/>
      <c r="AY54" s="339">
        <f t="shared" si="65"/>
        <v>0</v>
      </c>
      <c r="AZ54" s="100"/>
      <c r="BA54" s="178">
        <f t="shared" si="66"/>
        <v>0</v>
      </c>
      <c r="BB54" s="178">
        <f t="shared" si="67"/>
        <v>0</v>
      </c>
      <c r="BC54" s="135"/>
      <c r="BD54" s="135"/>
      <c r="BE54" s="135"/>
      <c r="BF54" s="135"/>
      <c r="BG54" s="135"/>
      <c r="BH54" s="135"/>
      <c r="BI54" s="339">
        <f t="shared" si="68"/>
        <v>0</v>
      </c>
      <c r="BJ54" s="100"/>
      <c r="BK54" s="178">
        <f t="shared" si="69"/>
        <v>0</v>
      </c>
      <c r="BL54" s="178">
        <f t="shared" si="70"/>
        <v>0</v>
      </c>
      <c r="BM54" s="135"/>
      <c r="BN54" s="135"/>
      <c r="BO54" s="135"/>
      <c r="BP54" s="135"/>
      <c r="BQ54" s="135"/>
      <c r="BR54" s="135"/>
      <c r="BS54" s="339">
        <f t="shared" si="71"/>
        <v>0</v>
      </c>
    </row>
    <row r="55" spans="1:71" s="101" customFormat="1" ht="15.95" customHeight="1">
      <c r="A55" s="99"/>
      <c r="B55" s="100"/>
      <c r="C55" s="178">
        <f t="shared" ref="C55:C56" si="76">SUM(E55:I55)</f>
        <v>0</v>
      </c>
      <c r="D55" s="178">
        <f t="shared" si="52"/>
        <v>0</v>
      </c>
      <c r="E55" s="135"/>
      <c r="F55" s="135"/>
      <c r="G55" s="135"/>
      <c r="H55" s="135"/>
      <c r="I55" s="135"/>
      <c r="J55" s="135"/>
      <c r="K55" s="339">
        <f t="shared" si="53"/>
        <v>0</v>
      </c>
      <c r="L55" s="100"/>
      <c r="M55" s="178">
        <f t="shared" si="54"/>
        <v>0</v>
      </c>
      <c r="N55" s="178">
        <f t="shared" si="55"/>
        <v>0</v>
      </c>
      <c r="O55" s="135"/>
      <c r="P55" s="135"/>
      <c r="Q55" s="135"/>
      <c r="R55" s="135"/>
      <c r="S55" s="135"/>
      <c r="T55" s="135"/>
      <c r="U55" s="339">
        <f t="shared" si="56"/>
        <v>0</v>
      </c>
      <c r="V55" s="100"/>
      <c r="W55" s="178">
        <f t="shared" si="57"/>
        <v>0</v>
      </c>
      <c r="X55" s="178">
        <f t="shared" si="58"/>
        <v>0</v>
      </c>
      <c r="Y55" s="135"/>
      <c r="Z55" s="135"/>
      <c r="AA55" s="135"/>
      <c r="AB55" s="135"/>
      <c r="AC55" s="135"/>
      <c r="AD55" s="135"/>
      <c r="AE55" s="339">
        <f t="shared" si="59"/>
        <v>0</v>
      </c>
      <c r="AF55" s="100"/>
      <c r="AG55" s="178">
        <f t="shared" si="60"/>
        <v>0</v>
      </c>
      <c r="AH55" s="178">
        <f t="shared" si="61"/>
        <v>0</v>
      </c>
      <c r="AI55" s="135"/>
      <c r="AJ55" s="135"/>
      <c r="AK55" s="135"/>
      <c r="AL55" s="135"/>
      <c r="AM55" s="135"/>
      <c r="AN55" s="135"/>
      <c r="AO55" s="339">
        <f t="shared" si="62"/>
        <v>0</v>
      </c>
      <c r="AP55" s="100"/>
      <c r="AQ55" s="178">
        <f t="shared" si="63"/>
        <v>0</v>
      </c>
      <c r="AR55" s="178">
        <f t="shared" si="64"/>
        <v>0</v>
      </c>
      <c r="AS55" s="135"/>
      <c r="AT55" s="135"/>
      <c r="AU55" s="135"/>
      <c r="AV55" s="135"/>
      <c r="AW55" s="135"/>
      <c r="AX55" s="135"/>
      <c r="AY55" s="339">
        <f t="shared" si="65"/>
        <v>0</v>
      </c>
      <c r="AZ55" s="100"/>
      <c r="BA55" s="178">
        <f t="shared" si="66"/>
        <v>0</v>
      </c>
      <c r="BB55" s="178">
        <f t="shared" si="67"/>
        <v>0</v>
      </c>
      <c r="BC55" s="135"/>
      <c r="BD55" s="135"/>
      <c r="BE55" s="135"/>
      <c r="BF55" s="135"/>
      <c r="BG55" s="135"/>
      <c r="BH55" s="135"/>
      <c r="BI55" s="339">
        <f t="shared" si="68"/>
        <v>0</v>
      </c>
      <c r="BJ55" s="100"/>
      <c r="BK55" s="178">
        <f t="shared" si="69"/>
        <v>0</v>
      </c>
      <c r="BL55" s="178">
        <f t="shared" si="70"/>
        <v>0</v>
      </c>
      <c r="BM55" s="135"/>
      <c r="BN55" s="135"/>
      <c r="BO55" s="135"/>
      <c r="BP55" s="135"/>
      <c r="BQ55" s="135"/>
      <c r="BR55" s="135"/>
      <c r="BS55" s="339">
        <f t="shared" si="71"/>
        <v>0</v>
      </c>
    </row>
    <row r="56" spans="1:71" s="101" customFormat="1" ht="15.95" customHeight="1">
      <c r="A56" s="99"/>
      <c r="B56" s="100"/>
      <c r="C56" s="178">
        <f t="shared" si="76"/>
        <v>0</v>
      </c>
      <c r="D56" s="178">
        <f t="shared" si="52"/>
        <v>0</v>
      </c>
      <c r="E56" s="135"/>
      <c r="F56" s="135"/>
      <c r="G56" s="135"/>
      <c r="H56" s="135"/>
      <c r="I56" s="135"/>
      <c r="J56" s="135"/>
      <c r="K56" s="339">
        <f t="shared" si="53"/>
        <v>0</v>
      </c>
      <c r="L56" s="100"/>
      <c r="M56" s="178">
        <f t="shared" si="54"/>
        <v>0</v>
      </c>
      <c r="N56" s="178">
        <f t="shared" si="55"/>
        <v>0</v>
      </c>
      <c r="O56" s="135"/>
      <c r="P56" s="135"/>
      <c r="Q56" s="135"/>
      <c r="R56" s="135"/>
      <c r="S56" s="135"/>
      <c r="T56" s="135"/>
      <c r="U56" s="339">
        <f t="shared" si="56"/>
        <v>0</v>
      </c>
      <c r="V56" s="100"/>
      <c r="W56" s="178">
        <f t="shared" si="57"/>
        <v>0</v>
      </c>
      <c r="X56" s="178">
        <f t="shared" si="58"/>
        <v>0</v>
      </c>
      <c r="Y56" s="135"/>
      <c r="Z56" s="135"/>
      <c r="AA56" s="135"/>
      <c r="AB56" s="135"/>
      <c r="AC56" s="135"/>
      <c r="AD56" s="135"/>
      <c r="AE56" s="339">
        <f t="shared" si="59"/>
        <v>0</v>
      </c>
      <c r="AF56" s="100"/>
      <c r="AG56" s="178">
        <f t="shared" si="60"/>
        <v>0</v>
      </c>
      <c r="AH56" s="178">
        <f t="shared" si="61"/>
        <v>0</v>
      </c>
      <c r="AI56" s="135"/>
      <c r="AJ56" s="135"/>
      <c r="AK56" s="135"/>
      <c r="AL56" s="135"/>
      <c r="AM56" s="135"/>
      <c r="AN56" s="135"/>
      <c r="AO56" s="339">
        <f t="shared" si="62"/>
        <v>0</v>
      </c>
      <c r="AP56" s="100"/>
      <c r="AQ56" s="178">
        <f t="shared" si="63"/>
        <v>0</v>
      </c>
      <c r="AR56" s="178">
        <f t="shared" si="64"/>
        <v>0</v>
      </c>
      <c r="AS56" s="135"/>
      <c r="AT56" s="135"/>
      <c r="AU56" s="135"/>
      <c r="AV56" s="135"/>
      <c r="AW56" s="135"/>
      <c r="AX56" s="135"/>
      <c r="AY56" s="339">
        <f t="shared" si="65"/>
        <v>0</v>
      </c>
      <c r="AZ56" s="100"/>
      <c r="BA56" s="178">
        <f t="shared" si="66"/>
        <v>0</v>
      </c>
      <c r="BB56" s="178">
        <f t="shared" si="67"/>
        <v>0</v>
      </c>
      <c r="BC56" s="135"/>
      <c r="BD56" s="135"/>
      <c r="BE56" s="135"/>
      <c r="BF56" s="135"/>
      <c r="BG56" s="135"/>
      <c r="BH56" s="135"/>
      <c r="BI56" s="339">
        <f t="shared" si="68"/>
        <v>0</v>
      </c>
      <c r="BJ56" s="100"/>
      <c r="BK56" s="178">
        <f t="shared" si="69"/>
        <v>0</v>
      </c>
      <c r="BL56" s="178">
        <f t="shared" si="70"/>
        <v>0</v>
      </c>
      <c r="BM56" s="135"/>
      <c r="BN56" s="135"/>
      <c r="BO56" s="135"/>
      <c r="BP56" s="135"/>
      <c r="BQ56" s="135"/>
      <c r="BR56" s="135"/>
      <c r="BS56" s="339">
        <f t="shared" si="71"/>
        <v>0</v>
      </c>
    </row>
    <row r="57" spans="1:71" s="101" customFormat="1" ht="15.95" customHeight="1">
      <c r="A57" s="99"/>
      <c r="B57" s="100"/>
      <c r="C57" s="178">
        <f t="shared" si="51"/>
        <v>0</v>
      </c>
      <c r="D57" s="178">
        <f t="shared" si="52"/>
        <v>0</v>
      </c>
      <c r="E57" s="135"/>
      <c r="F57" s="135"/>
      <c r="G57" s="135"/>
      <c r="H57" s="135"/>
      <c r="I57" s="135"/>
      <c r="J57" s="135"/>
      <c r="K57" s="339">
        <f t="shared" si="53"/>
        <v>0</v>
      </c>
      <c r="L57" s="100"/>
      <c r="M57" s="178">
        <f t="shared" si="54"/>
        <v>0</v>
      </c>
      <c r="N57" s="178">
        <f t="shared" si="55"/>
        <v>0</v>
      </c>
      <c r="O57" s="135"/>
      <c r="P57" s="135"/>
      <c r="Q57" s="135"/>
      <c r="R57" s="135"/>
      <c r="S57" s="135"/>
      <c r="T57" s="135"/>
      <c r="U57" s="339">
        <f t="shared" si="56"/>
        <v>0</v>
      </c>
      <c r="V57" s="100"/>
      <c r="W57" s="178">
        <f t="shared" si="57"/>
        <v>0</v>
      </c>
      <c r="X57" s="178">
        <f t="shared" si="58"/>
        <v>0</v>
      </c>
      <c r="Y57" s="135"/>
      <c r="Z57" s="135"/>
      <c r="AA57" s="135"/>
      <c r="AB57" s="135"/>
      <c r="AC57" s="135"/>
      <c r="AD57" s="135"/>
      <c r="AE57" s="339">
        <f t="shared" si="59"/>
        <v>0</v>
      </c>
      <c r="AF57" s="100"/>
      <c r="AG57" s="178">
        <f t="shared" si="60"/>
        <v>0</v>
      </c>
      <c r="AH57" s="178">
        <f t="shared" si="61"/>
        <v>0</v>
      </c>
      <c r="AI57" s="135"/>
      <c r="AJ57" s="135"/>
      <c r="AK57" s="135"/>
      <c r="AL57" s="135"/>
      <c r="AM57" s="135"/>
      <c r="AN57" s="135"/>
      <c r="AO57" s="339">
        <f t="shared" si="62"/>
        <v>0</v>
      </c>
      <c r="AP57" s="100"/>
      <c r="AQ57" s="178">
        <f t="shared" si="63"/>
        <v>0</v>
      </c>
      <c r="AR57" s="178">
        <f t="shared" si="64"/>
        <v>0</v>
      </c>
      <c r="AS57" s="135"/>
      <c r="AT57" s="135"/>
      <c r="AU57" s="135"/>
      <c r="AV57" s="135"/>
      <c r="AW57" s="135"/>
      <c r="AX57" s="135"/>
      <c r="AY57" s="339">
        <f t="shared" si="65"/>
        <v>0</v>
      </c>
      <c r="AZ57" s="100"/>
      <c r="BA57" s="178">
        <f t="shared" si="66"/>
        <v>0</v>
      </c>
      <c r="BB57" s="178">
        <f t="shared" si="67"/>
        <v>0</v>
      </c>
      <c r="BC57" s="135"/>
      <c r="BD57" s="135"/>
      <c r="BE57" s="135"/>
      <c r="BF57" s="135"/>
      <c r="BG57" s="135"/>
      <c r="BH57" s="135"/>
      <c r="BI57" s="339">
        <f t="shared" si="68"/>
        <v>0</v>
      </c>
      <c r="BJ57" s="100"/>
      <c r="BK57" s="178">
        <f t="shared" si="69"/>
        <v>0</v>
      </c>
      <c r="BL57" s="178">
        <f t="shared" si="70"/>
        <v>0</v>
      </c>
      <c r="BM57" s="135"/>
      <c r="BN57" s="135"/>
      <c r="BO57" s="135"/>
      <c r="BP57" s="135"/>
      <c r="BQ57" s="135"/>
      <c r="BR57" s="135"/>
      <c r="BS57" s="339">
        <f t="shared" si="71"/>
        <v>0</v>
      </c>
    </row>
    <row r="58" spans="1:71" ht="15.95" customHeight="1">
      <c r="A58" s="215" t="s">
        <v>122</v>
      </c>
      <c r="B58" s="105"/>
      <c r="C58" s="134"/>
      <c r="D58" s="134"/>
      <c r="E58" s="138"/>
      <c r="F58" s="138"/>
      <c r="G58" s="138"/>
      <c r="H58" s="138"/>
      <c r="I58" s="138"/>
      <c r="J58" s="138"/>
      <c r="K58" s="137"/>
      <c r="L58" s="93"/>
      <c r="M58" s="131"/>
      <c r="N58" s="134"/>
      <c r="O58" s="138"/>
      <c r="P58" s="138"/>
      <c r="Q58" s="138"/>
      <c r="R58" s="138"/>
      <c r="S58" s="138"/>
      <c r="T58" s="138"/>
      <c r="U58" s="137"/>
      <c r="V58" s="105"/>
      <c r="W58" s="134"/>
      <c r="X58" s="134"/>
      <c r="Y58" s="138"/>
      <c r="Z58" s="138"/>
      <c r="AA58" s="138"/>
      <c r="AB58" s="138"/>
      <c r="AC58" s="138"/>
      <c r="AD58" s="138"/>
      <c r="AE58" s="137"/>
      <c r="AF58" s="105"/>
      <c r="AG58" s="134"/>
      <c r="AH58" s="134"/>
      <c r="AI58" s="138"/>
      <c r="AJ58" s="138"/>
      <c r="AK58" s="138"/>
      <c r="AL58" s="138"/>
      <c r="AM58" s="138"/>
      <c r="AN58" s="138"/>
      <c r="AO58" s="137"/>
      <c r="AP58" s="105"/>
      <c r="AQ58" s="134"/>
      <c r="AR58" s="134"/>
      <c r="AS58" s="138"/>
      <c r="AT58" s="138"/>
      <c r="AU58" s="138"/>
      <c r="AV58" s="138"/>
      <c r="AW58" s="138"/>
      <c r="AX58" s="138"/>
      <c r="AY58" s="137"/>
      <c r="AZ58" s="105"/>
      <c r="BA58" s="134"/>
      <c r="BB58" s="134"/>
      <c r="BC58" s="138"/>
      <c r="BD58" s="138"/>
      <c r="BE58" s="138"/>
      <c r="BF58" s="138"/>
      <c r="BG58" s="138"/>
      <c r="BH58" s="138"/>
      <c r="BI58" s="137"/>
      <c r="BJ58" s="105"/>
      <c r="BK58" s="134"/>
      <c r="BL58" s="134"/>
      <c r="BM58" s="138"/>
      <c r="BN58" s="138"/>
      <c r="BO58" s="138"/>
      <c r="BP58" s="138"/>
      <c r="BQ58" s="138"/>
      <c r="BR58" s="138"/>
      <c r="BS58" s="137"/>
    </row>
    <row r="59" spans="1:71" s="104" customFormat="1" ht="15.95" customHeight="1">
      <c r="A59" s="102" t="s">
        <v>53</v>
      </c>
      <c r="B59" s="103">
        <f>SUM(B$47:B58)</f>
        <v>187</v>
      </c>
      <c r="C59" s="134">
        <f>SUM(C$47:C58)</f>
        <v>56164.91</v>
      </c>
      <c r="D59" s="134">
        <f>IFERROR(C59/B59,0)</f>
        <v>300.34711229946527</v>
      </c>
      <c r="E59" s="136">
        <f>SUM(E$47:E58)</f>
        <v>56164.91</v>
      </c>
      <c r="F59" s="136">
        <f>SUM(F$47:F58)</f>
        <v>0</v>
      </c>
      <c r="G59" s="136">
        <f>SUM(G$47:G58)</f>
        <v>0</v>
      </c>
      <c r="H59" s="136">
        <f>SUM(H$47:H58)</f>
        <v>0</v>
      </c>
      <c r="I59" s="136">
        <f>SUM(I$47:I58)</f>
        <v>0</v>
      </c>
      <c r="J59" s="136">
        <f>SUM(J$47:J58)</f>
        <v>55691.06</v>
      </c>
      <c r="K59" s="137">
        <f>SUM(K$47:K58)</f>
        <v>55691.06</v>
      </c>
      <c r="L59" s="103">
        <f>SUM(L$47:L58)</f>
        <v>196</v>
      </c>
      <c r="M59" s="134">
        <f>SUM(M$47:M58)</f>
        <v>91197.4</v>
      </c>
      <c r="N59" s="134">
        <f>IFERROR(M59/L59,0)</f>
        <v>465.29285714285709</v>
      </c>
      <c r="O59" s="136">
        <f>SUM(O$47:O58)</f>
        <v>91197.4</v>
      </c>
      <c r="P59" s="136">
        <f>SUM(P$47:P58)</f>
        <v>0</v>
      </c>
      <c r="Q59" s="136">
        <f>SUM(Q$47:Q58)</f>
        <v>0</v>
      </c>
      <c r="R59" s="136">
        <f>SUM(R$47:R58)</f>
        <v>0</v>
      </c>
      <c r="S59" s="136">
        <f>SUM(S$47:S58)</f>
        <v>0</v>
      </c>
      <c r="T59" s="136">
        <f>SUM(T$47:T58)</f>
        <v>90731</v>
      </c>
      <c r="U59" s="137">
        <f>SUM(U$47:U58)</f>
        <v>90731</v>
      </c>
      <c r="V59" s="103">
        <f>SUM(V$47:V58)</f>
        <v>174</v>
      </c>
      <c r="W59" s="134">
        <f>SUM(W$47:W58)</f>
        <v>99624</v>
      </c>
      <c r="X59" s="134">
        <f>IFERROR(W59/V59,0)</f>
        <v>572.55172413793105</v>
      </c>
      <c r="Y59" s="136">
        <f>SUM(Y$47:Y58)</f>
        <v>99624</v>
      </c>
      <c r="Z59" s="136">
        <f>SUM(Z$47:Z58)</f>
        <v>0</v>
      </c>
      <c r="AA59" s="136">
        <f>SUM(AA$47:AA58)</f>
        <v>0</v>
      </c>
      <c r="AB59" s="136">
        <f>SUM(AB$47:AB58)</f>
        <v>0</v>
      </c>
      <c r="AC59" s="136">
        <f>SUM(AC$47:AC58)</f>
        <v>0</v>
      </c>
      <c r="AD59" s="136">
        <f>SUM(AD$47:AD58)</f>
        <v>98446</v>
      </c>
      <c r="AE59" s="137">
        <f>SUM(AE$47:AE58)</f>
        <v>98446</v>
      </c>
      <c r="AF59" s="103">
        <f>SUM(AF$47:AF58)</f>
        <v>146</v>
      </c>
      <c r="AG59" s="134">
        <f>SUM(AG$47:AG58)</f>
        <v>93899</v>
      </c>
      <c r="AH59" s="134">
        <f>IFERROR(AG59/AF59,0)</f>
        <v>643.14383561643831</v>
      </c>
      <c r="AI59" s="136">
        <f>SUM(AI$47:AI58)</f>
        <v>93899</v>
      </c>
      <c r="AJ59" s="136">
        <f>SUM(AJ$47:AJ58)</f>
        <v>0</v>
      </c>
      <c r="AK59" s="136">
        <f>SUM(AK$47:AK58)</f>
        <v>0</v>
      </c>
      <c r="AL59" s="136">
        <f>SUM(AL$47:AL58)</f>
        <v>0</v>
      </c>
      <c r="AM59" s="136">
        <f>SUM(AM$47:AM58)</f>
        <v>0</v>
      </c>
      <c r="AN59" s="136">
        <f>SUM(AN$47:AN58)</f>
        <v>93869</v>
      </c>
      <c r="AO59" s="137">
        <f>SUM(AO$47:AO58)</f>
        <v>93869</v>
      </c>
      <c r="AP59" s="103">
        <f>SUM(AP$47:AP58)</f>
        <v>157</v>
      </c>
      <c r="AQ59" s="134">
        <f>SUM(AQ$47:AQ58)</f>
        <v>87045.6</v>
      </c>
      <c r="AR59" s="134">
        <f>IFERROR(AQ59/AP59,0)</f>
        <v>554.43057324840765</v>
      </c>
      <c r="AS59" s="136">
        <f>SUM(AS$47:AS58)</f>
        <v>87045.6</v>
      </c>
      <c r="AT59" s="136">
        <f>SUM(AT$47:AT58)</f>
        <v>0</v>
      </c>
      <c r="AU59" s="136">
        <f>SUM(AU$47:AU58)</f>
        <v>0</v>
      </c>
      <c r="AV59" s="136">
        <f>SUM(AV$47:AV58)</f>
        <v>0</v>
      </c>
      <c r="AW59" s="136">
        <f>SUM(AW$47:AW58)</f>
        <v>0</v>
      </c>
      <c r="AX59" s="136">
        <f>SUM(AX$47:AX58)</f>
        <v>84483.4</v>
      </c>
      <c r="AY59" s="137">
        <f>SUM(AY$47:AY58)</f>
        <v>84483.4</v>
      </c>
      <c r="AZ59" s="103">
        <f>SUM(AZ$47:AZ58)</f>
        <v>133</v>
      </c>
      <c r="BA59" s="134">
        <f>SUM(BA$47:BA58)</f>
        <v>80386.600000000006</v>
      </c>
      <c r="BB59" s="134">
        <f>IFERROR(BA59/AZ59,0)</f>
        <v>604.41052631578953</v>
      </c>
      <c r="BC59" s="136">
        <f>SUM(BC$47:BC58)</f>
        <v>79666.600000000006</v>
      </c>
      <c r="BD59" s="136">
        <f>SUM(BD$47:BD58)</f>
        <v>0</v>
      </c>
      <c r="BE59" s="136">
        <f>SUM(BE$47:BE58)</f>
        <v>720</v>
      </c>
      <c r="BF59" s="136">
        <f>SUM(BF$47:BF58)</f>
        <v>0</v>
      </c>
      <c r="BG59" s="136">
        <f>SUM(BG$47:BG58)</f>
        <v>0</v>
      </c>
      <c r="BH59" s="136">
        <f>SUM(BH$47:BH58)</f>
        <v>80134.600000000006</v>
      </c>
      <c r="BI59" s="137">
        <f>SUM(BI$47:BI58)</f>
        <v>79414.600000000006</v>
      </c>
      <c r="BJ59" s="103">
        <f>SUM(BJ$47:BJ58)</f>
        <v>143</v>
      </c>
      <c r="BK59" s="134">
        <f>SUM(BK$47:BK58)</f>
        <v>83225.86</v>
      </c>
      <c r="BL59" s="134">
        <f>IFERROR(BK59/BJ59,0)</f>
        <v>581.999020979021</v>
      </c>
      <c r="BM59" s="136">
        <f>SUM(BM$47:BM58)</f>
        <v>83225.86</v>
      </c>
      <c r="BN59" s="136">
        <f>SUM(BN$47:BN58)</f>
        <v>0</v>
      </c>
      <c r="BO59" s="136">
        <f>SUM(BO$47:BO58)</f>
        <v>0</v>
      </c>
      <c r="BP59" s="136">
        <f>SUM(BP$47:BP58)</f>
        <v>0</v>
      </c>
      <c r="BQ59" s="136">
        <f>SUM(BQ$47:BQ58)</f>
        <v>0</v>
      </c>
      <c r="BR59" s="136">
        <f>SUM(BR$47:BR58)</f>
        <v>83225.86</v>
      </c>
      <c r="BS59" s="137">
        <f>SUM(BS$47:BS58)</f>
        <v>83225.86</v>
      </c>
    </row>
    <row r="60" spans="1:71" s="104" customFormat="1" ht="15.95" customHeight="1">
      <c r="A60" s="97"/>
      <c r="B60" s="105"/>
      <c r="C60" s="134"/>
      <c r="D60" s="134"/>
      <c r="E60" s="138"/>
      <c r="F60" s="138"/>
      <c r="G60" s="138"/>
      <c r="H60" s="138"/>
      <c r="I60" s="138"/>
      <c r="J60" s="138"/>
      <c r="K60" s="137"/>
      <c r="L60" s="105"/>
      <c r="M60" s="134"/>
      <c r="N60" s="134"/>
      <c r="O60" s="138"/>
      <c r="P60" s="138"/>
      <c r="Q60" s="138"/>
      <c r="R60" s="138"/>
      <c r="S60" s="138"/>
      <c r="T60" s="138"/>
      <c r="U60" s="137"/>
      <c r="V60" s="105"/>
      <c r="W60" s="134"/>
      <c r="X60" s="134"/>
      <c r="Y60" s="138"/>
      <c r="Z60" s="138"/>
      <c r="AA60" s="138"/>
      <c r="AB60" s="138"/>
      <c r="AC60" s="138"/>
      <c r="AD60" s="138"/>
      <c r="AE60" s="137"/>
      <c r="AF60" s="105"/>
      <c r="AG60" s="134"/>
      <c r="AH60" s="134"/>
      <c r="AI60" s="138"/>
      <c r="AJ60" s="138"/>
      <c r="AK60" s="138"/>
      <c r="AL60" s="138"/>
      <c r="AM60" s="138"/>
      <c r="AN60" s="138"/>
      <c r="AO60" s="137"/>
      <c r="AP60" s="105"/>
      <c r="AQ60" s="134"/>
      <c r="AR60" s="134"/>
      <c r="AS60" s="138"/>
      <c r="AT60" s="138"/>
      <c r="AU60" s="138"/>
      <c r="AV60" s="138"/>
      <c r="AW60" s="138"/>
      <c r="AX60" s="138"/>
      <c r="AY60" s="137"/>
      <c r="AZ60" s="105"/>
      <c r="BA60" s="134"/>
      <c r="BB60" s="134"/>
      <c r="BC60" s="138"/>
      <c r="BD60" s="138"/>
      <c r="BE60" s="138"/>
      <c r="BF60" s="138"/>
      <c r="BG60" s="138"/>
      <c r="BH60" s="138"/>
      <c r="BI60" s="137"/>
      <c r="BJ60" s="105"/>
      <c r="BK60" s="134"/>
      <c r="BL60" s="134"/>
      <c r="BM60" s="138"/>
      <c r="BN60" s="138"/>
      <c r="BO60" s="138"/>
      <c r="BP60" s="138"/>
      <c r="BQ60" s="138"/>
      <c r="BR60" s="138"/>
      <c r="BS60" s="137"/>
    </row>
    <row r="61" spans="1:71" s="104" customFormat="1" ht="15.95" customHeight="1">
      <c r="A61" s="102" t="s">
        <v>54</v>
      </c>
      <c r="B61" s="103">
        <f>SUM(B29+B45+B59)</f>
        <v>2568</v>
      </c>
      <c r="C61" s="134">
        <f>SUM(C29+C45+C59)</f>
        <v>4464701.91</v>
      </c>
      <c r="D61" s="134">
        <f>IFERROR(C61/B61,0)</f>
        <v>1738.5910864485982</v>
      </c>
      <c r="E61" s="136">
        <f t="shared" ref="E61:M61" si="77">SUM(E29+E45+E59)</f>
        <v>450865.91000000003</v>
      </c>
      <c r="F61" s="136">
        <f t="shared" si="77"/>
        <v>0</v>
      </c>
      <c r="G61" s="136">
        <f t="shared" si="77"/>
        <v>174572</v>
      </c>
      <c r="H61" s="136">
        <f t="shared" si="77"/>
        <v>3501397</v>
      </c>
      <c r="I61" s="136">
        <f t="shared" si="77"/>
        <v>337867</v>
      </c>
      <c r="J61" s="136">
        <f t="shared" si="77"/>
        <v>3624283.06</v>
      </c>
      <c r="K61" s="137">
        <f t="shared" si="77"/>
        <v>370665.06</v>
      </c>
      <c r="L61" s="103">
        <f t="shared" si="77"/>
        <v>2827</v>
      </c>
      <c r="M61" s="134">
        <f t="shared" si="77"/>
        <v>4456363.4000000004</v>
      </c>
      <c r="N61" s="134">
        <f>IFERROR(M61/L61,0)</f>
        <v>1576.3577644145739</v>
      </c>
      <c r="O61" s="136">
        <f t="shared" ref="O61:W61" si="78">SUM(O29+O45+O59)</f>
        <v>334018.40000000002</v>
      </c>
      <c r="P61" s="136">
        <f t="shared" si="78"/>
        <v>67646</v>
      </c>
      <c r="Q61" s="136">
        <f t="shared" si="78"/>
        <v>169080</v>
      </c>
      <c r="R61" s="136">
        <f t="shared" si="78"/>
        <v>3588690</v>
      </c>
      <c r="S61" s="136">
        <f t="shared" si="78"/>
        <v>296929</v>
      </c>
      <c r="T61" s="136">
        <f t="shared" si="78"/>
        <v>3738055</v>
      </c>
      <c r="U61" s="137">
        <f t="shared" si="78"/>
        <v>279426</v>
      </c>
      <c r="V61" s="103">
        <f t="shared" si="78"/>
        <v>2522</v>
      </c>
      <c r="W61" s="134">
        <f t="shared" si="78"/>
        <v>4311157</v>
      </c>
      <c r="X61" s="134">
        <f>IFERROR(W61/V61,0)</f>
        <v>1709.4199048374305</v>
      </c>
      <c r="Y61" s="136">
        <f t="shared" ref="Y61:AG61" si="79">SUM(Y29+Y45+Y59)</f>
        <v>401159</v>
      </c>
      <c r="Z61" s="136">
        <f t="shared" si="79"/>
        <v>64712</v>
      </c>
      <c r="AA61" s="136">
        <f t="shared" si="79"/>
        <v>197200</v>
      </c>
      <c r="AB61" s="136">
        <f t="shared" si="79"/>
        <v>3308862</v>
      </c>
      <c r="AC61" s="136">
        <f t="shared" si="79"/>
        <v>339224</v>
      </c>
      <c r="AD61" s="136">
        <f t="shared" si="79"/>
        <v>3677203</v>
      </c>
      <c r="AE61" s="137">
        <f t="shared" si="79"/>
        <v>330735</v>
      </c>
      <c r="AF61" s="103">
        <f t="shared" si="79"/>
        <v>2440</v>
      </c>
      <c r="AG61" s="134">
        <f t="shared" si="79"/>
        <v>4141982</v>
      </c>
      <c r="AH61" s="134">
        <f>IFERROR(AG61/AF61,0)</f>
        <v>1697.533606557377</v>
      </c>
      <c r="AI61" s="136">
        <f t="shared" ref="AI61:AQ61" si="80">SUM(AI29+AI45+AI59)</f>
        <v>472958</v>
      </c>
      <c r="AJ61" s="136">
        <f t="shared" si="80"/>
        <v>83567</v>
      </c>
      <c r="AK61" s="136">
        <f t="shared" si="80"/>
        <v>196350</v>
      </c>
      <c r="AL61" s="136">
        <f t="shared" si="80"/>
        <v>3065675</v>
      </c>
      <c r="AM61" s="136">
        <f t="shared" si="80"/>
        <v>323432</v>
      </c>
      <c r="AN61" s="136">
        <f t="shared" si="80"/>
        <v>3469000</v>
      </c>
      <c r="AO61" s="137">
        <f t="shared" si="80"/>
        <v>399974</v>
      </c>
      <c r="AP61" s="103">
        <f t="shared" si="80"/>
        <v>2337</v>
      </c>
      <c r="AQ61" s="134">
        <f t="shared" si="80"/>
        <v>4220327.5999999996</v>
      </c>
      <c r="AR61" s="134">
        <f>IFERROR(AQ61/AP61,0)</f>
        <v>1805.8740265297388</v>
      </c>
      <c r="AS61" s="136">
        <f t="shared" ref="AS61:AY61" si="81">SUM(AS29+AS45+AS59)</f>
        <v>431420.6</v>
      </c>
      <c r="AT61" s="136">
        <f t="shared" si="81"/>
        <v>81699</v>
      </c>
      <c r="AU61" s="136">
        <f t="shared" si="81"/>
        <v>176271</v>
      </c>
      <c r="AV61" s="136">
        <f t="shared" si="81"/>
        <v>3119353</v>
      </c>
      <c r="AW61" s="136">
        <f t="shared" si="81"/>
        <v>411584</v>
      </c>
      <c r="AX61" s="136">
        <f t="shared" si="81"/>
        <v>3675933.4</v>
      </c>
      <c r="AY61" s="137">
        <f t="shared" si="81"/>
        <v>369523.4</v>
      </c>
      <c r="AZ61" s="103">
        <f t="shared" ref="AZ61:BA61" si="82">SUM(AZ29+AZ45+AZ59)</f>
        <v>3113</v>
      </c>
      <c r="BA61" s="134">
        <f t="shared" si="82"/>
        <v>4771648.4499999993</v>
      </c>
      <c r="BB61" s="134">
        <f>IFERROR(BA61/AZ61,0)</f>
        <v>1532.8135078702214</v>
      </c>
      <c r="BC61" s="136">
        <f t="shared" ref="BC61:BI61" si="83">SUM(BC29+BC45+BC59)</f>
        <v>472808.6</v>
      </c>
      <c r="BD61" s="136">
        <f t="shared" si="83"/>
        <v>18138</v>
      </c>
      <c r="BE61" s="136">
        <f t="shared" si="83"/>
        <v>253343.85</v>
      </c>
      <c r="BF61" s="136">
        <f t="shared" si="83"/>
        <v>3600865</v>
      </c>
      <c r="BG61" s="136">
        <f t="shared" si="83"/>
        <v>426493</v>
      </c>
      <c r="BH61" s="136">
        <f t="shared" si="83"/>
        <v>4142824.45</v>
      </c>
      <c r="BI61" s="137">
        <f t="shared" si="83"/>
        <v>409748.6</v>
      </c>
      <c r="BJ61" s="103">
        <f t="shared" ref="BJ61:BK61" si="84">SUM(BJ29+BJ45+BJ59)</f>
        <v>3275</v>
      </c>
      <c r="BK61" s="134">
        <f t="shared" si="84"/>
        <v>5396946.0300000003</v>
      </c>
      <c r="BL61" s="134">
        <f>IFERROR(BK61/BJ61,0)</f>
        <v>1647.9224519083971</v>
      </c>
      <c r="BM61" s="136">
        <f t="shared" ref="BM61:BS61" si="85">SUM(BM29+BM45+BM59)</f>
        <v>430016.77999999997</v>
      </c>
      <c r="BN61" s="136">
        <f t="shared" si="85"/>
        <v>14318</v>
      </c>
      <c r="BO61" s="136">
        <f t="shared" si="85"/>
        <v>311896.25</v>
      </c>
      <c r="BP61" s="136">
        <f t="shared" si="85"/>
        <v>4185120</v>
      </c>
      <c r="BQ61" s="136">
        <f t="shared" si="85"/>
        <v>455595</v>
      </c>
      <c r="BR61" s="136">
        <f t="shared" si="85"/>
        <v>4577785.1100000003</v>
      </c>
      <c r="BS61" s="137">
        <f t="shared" si="85"/>
        <v>369450.86</v>
      </c>
    </row>
    <row r="62" spans="1:71" ht="15.95" customHeight="1">
      <c r="A62" s="97"/>
      <c r="B62" s="105"/>
      <c r="C62" s="134"/>
      <c r="D62" s="134"/>
      <c r="E62" s="138"/>
      <c r="F62" s="138"/>
      <c r="G62" s="138"/>
      <c r="H62" s="138"/>
      <c r="I62" s="138"/>
      <c r="J62" s="138"/>
      <c r="K62" s="137"/>
      <c r="L62" s="93"/>
      <c r="M62" s="131"/>
      <c r="N62" s="134"/>
      <c r="O62" s="138"/>
      <c r="P62" s="138"/>
      <c r="Q62" s="138"/>
      <c r="R62" s="138"/>
      <c r="S62" s="138"/>
      <c r="T62" s="138"/>
      <c r="U62" s="137"/>
      <c r="V62" s="105"/>
      <c r="W62" s="134"/>
      <c r="X62" s="134"/>
      <c r="Y62" s="138"/>
      <c r="Z62" s="138"/>
      <c r="AA62" s="138"/>
      <c r="AB62" s="138"/>
      <c r="AC62" s="138"/>
      <c r="AD62" s="138"/>
      <c r="AE62" s="137"/>
      <c r="AF62" s="105"/>
      <c r="AG62" s="134"/>
      <c r="AH62" s="134"/>
      <c r="AI62" s="138"/>
      <c r="AJ62" s="138"/>
      <c r="AK62" s="138"/>
      <c r="AL62" s="138"/>
      <c r="AM62" s="138"/>
      <c r="AN62" s="138"/>
      <c r="AO62" s="137"/>
      <c r="AP62" s="105"/>
      <c r="AQ62" s="134"/>
      <c r="AR62" s="134"/>
      <c r="AS62" s="138"/>
      <c r="AT62" s="138"/>
      <c r="AU62" s="138"/>
      <c r="AV62" s="138"/>
      <c r="AW62" s="138"/>
      <c r="AX62" s="138"/>
      <c r="AY62" s="137"/>
      <c r="AZ62" s="105"/>
      <c r="BA62" s="134"/>
      <c r="BB62" s="134"/>
      <c r="BC62" s="138"/>
      <c r="BD62" s="138"/>
      <c r="BE62" s="138"/>
      <c r="BF62" s="138"/>
      <c r="BG62" s="138"/>
      <c r="BH62" s="138"/>
      <c r="BI62" s="137"/>
      <c r="BJ62" s="105"/>
      <c r="BK62" s="134"/>
      <c r="BL62" s="134"/>
      <c r="BM62" s="138"/>
      <c r="BN62" s="138"/>
      <c r="BO62" s="138"/>
      <c r="BP62" s="138"/>
      <c r="BQ62" s="138"/>
      <c r="BR62" s="138"/>
      <c r="BS62" s="137"/>
    </row>
    <row r="63" spans="1:71" ht="15.95" customHeight="1">
      <c r="A63" s="94" t="s">
        <v>55</v>
      </c>
      <c r="B63" s="105"/>
      <c r="C63" s="134"/>
      <c r="D63" s="134"/>
      <c r="E63" s="138"/>
      <c r="F63" s="138"/>
      <c r="G63" s="138"/>
      <c r="H63" s="138"/>
      <c r="I63" s="138"/>
      <c r="J63" s="138"/>
      <c r="K63" s="137"/>
      <c r="L63" s="93"/>
      <c r="M63" s="131"/>
      <c r="N63" s="134"/>
      <c r="O63" s="138"/>
      <c r="P63" s="138"/>
      <c r="Q63" s="138"/>
      <c r="R63" s="138"/>
      <c r="S63" s="138"/>
      <c r="T63" s="138"/>
      <c r="U63" s="137"/>
      <c r="V63" s="105"/>
      <c r="W63" s="134"/>
      <c r="X63" s="134"/>
      <c r="Y63" s="138"/>
      <c r="Z63" s="138"/>
      <c r="AA63" s="138"/>
      <c r="AB63" s="138"/>
      <c r="AC63" s="138"/>
      <c r="AD63" s="138"/>
      <c r="AE63" s="137"/>
      <c r="AF63" s="105"/>
      <c r="AG63" s="134"/>
      <c r="AH63" s="134"/>
      <c r="AI63" s="138"/>
      <c r="AJ63" s="138"/>
      <c r="AK63" s="138"/>
      <c r="AL63" s="138"/>
      <c r="AM63" s="138"/>
      <c r="AN63" s="138"/>
      <c r="AO63" s="137"/>
      <c r="AP63" s="105"/>
      <c r="AQ63" s="134"/>
      <c r="AR63" s="134"/>
      <c r="AS63" s="138"/>
      <c r="AT63" s="138"/>
      <c r="AU63" s="138"/>
      <c r="AV63" s="138"/>
      <c r="AW63" s="138"/>
      <c r="AX63" s="138"/>
      <c r="AY63" s="137"/>
      <c r="AZ63" s="105"/>
      <c r="BA63" s="134"/>
      <c r="BB63" s="134"/>
      <c r="BC63" s="138"/>
      <c r="BD63" s="138"/>
      <c r="BE63" s="138"/>
      <c r="BF63" s="138"/>
      <c r="BG63" s="138"/>
      <c r="BH63" s="138"/>
      <c r="BI63" s="137"/>
      <c r="BJ63" s="105"/>
      <c r="BK63" s="134"/>
      <c r="BL63" s="134"/>
      <c r="BM63" s="138"/>
      <c r="BN63" s="138"/>
      <c r="BO63" s="138"/>
      <c r="BP63" s="138"/>
      <c r="BQ63" s="138"/>
      <c r="BR63" s="138"/>
      <c r="BS63" s="137"/>
    </row>
    <row r="64" spans="1:71" ht="15.95" customHeight="1">
      <c r="A64" s="97"/>
      <c r="B64" s="105"/>
      <c r="C64" s="134"/>
      <c r="D64" s="134"/>
      <c r="E64" s="138"/>
      <c r="F64" s="138"/>
      <c r="G64" s="138"/>
      <c r="H64" s="138"/>
      <c r="I64" s="138"/>
      <c r="J64" s="138"/>
      <c r="K64" s="137"/>
      <c r="L64" s="93"/>
      <c r="M64" s="131"/>
      <c r="N64" s="134"/>
      <c r="O64" s="138"/>
      <c r="P64" s="138"/>
      <c r="Q64" s="138"/>
      <c r="R64" s="138"/>
      <c r="S64" s="138"/>
      <c r="T64" s="138"/>
      <c r="U64" s="137"/>
      <c r="V64" s="105"/>
      <c r="W64" s="134"/>
      <c r="X64" s="134"/>
      <c r="Y64" s="138"/>
      <c r="Z64" s="138"/>
      <c r="AA64" s="138"/>
      <c r="AB64" s="138"/>
      <c r="AC64" s="138"/>
      <c r="AD64" s="138"/>
      <c r="AE64" s="137"/>
      <c r="AF64" s="105"/>
      <c r="AG64" s="134"/>
      <c r="AH64" s="134"/>
      <c r="AI64" s="138"/>
      <c r="AJ64" s="138"/>
      <c r="AK64" s="138"/>
      <c r="AL64" s="138"/>
      <c r="AM64" s="138"/>
      <c r="AN64" s="138"/>
      <c r="AO64" s="137"/>
      <c r="AP64" s="105"/>
      <c r="AQ64" s="134"/>
      <c r="AR64" s="134"/>
      <c r="AS64" s="138"/>
      <c r="AT64" s="138"/>
      <c r="AU64" s="138"/>
      <c r="AV64" s="138"/>
      <c r="AW64" s="138"/>
      <c r="AX64" s="138"/>
      <c r="AY64" s="137"/>
      <c r="AZ64" s="105"/>
      <c r="BA64" s="134"/>
      <c r="BB64" s="134"/>
      <c r="BC64" s="138"/>
      <c r="BD64" s="138"/>
      <c r="BE64" s="138"/>
      <c r="BF64" s="138"/>
      <c r="BG64" s="138"/>
      <c r="BH64" s="138"/>
      <c r="BI64" s="137"/>
      <c r="BJ64" s="105"/>
      <c r="BK64" s="134"/>
      <c r="BL64" s="134"/>
      <c r="BM64" s="138"/>
      <c r="BN64" s="138"/>
      <c r="BO64" s="138"/>
      <c r="BP64" s="138"/>
      <c r="BQ64" s="138"/>
      <c r="BR64" s="138"/>
      <c r="BS64" s="137"/>
    </row>
    <row r="65" spans="1:71" ht="15.95" customHeight="1">
      <c r="A65" s="98" t="s">
        <v>37</v>
      </c>
      <c r="B65" s="105"/>
      <c r="C65" s="134"/>
      <c r="D65" s="134"/>
      <c r="E65" s="138"/>
      <c r="F65" s="138"/>
      <c r="G65" s="138"/>
      <c r="H65" s="138"/>
      <c r="I65" s="138"/>
      <c r="J65" s="138"/>
      <c r="K65" s="137"/>
      <c r="L65" s="93"/>
      <c r="M65" s="131"/>
      <c r="N65" s="134"/>
      <c r="O65" s="138"/>
      <c r="P65" s="138"/>
      <c r="Q65" s="138"/>
      <c r="R65" s="138"/>
      <c r="S65" s="138"/>
      <c r="T65" s="138"/>
      <c r="U65" s="137"/>
      <c r="V65" s="105"/>
      <c r="W65" s="134"/>
      <c r="X65" s="134"/>
      <c r="Y65" s="138"/>
      <c r="Z65" s="138"/>
      <c r="AA65" s="138"/>
      <c r="AB65" s="138"/>
      <c r="AC65" s="138"/>
      <c r="AD65" s="138"/>
      <c r="AE65" s="137"/>
      <c r="AF65" s="105"/>
      <c r="AG65" s="134"/>
      <c r="AH65" s="134"/>
      <c r="AI65" s="138"/>
      <c r="AJ65" s="138"/>
      <c r="AK65" s="138"/>
      <c r="AL65" s="138"/>
      <c r="AM65" s="138"/>
      <c r="AN65" s="138"/>
      <c r="AO65" s="137"/>
      <c r="AP65" s="105"/>
      <c r="AQ65" s="134"/>
      <c r="AR65" s="134"/>
      <c r="AS65" s="138"/>
      <c r="AT65" s="138"/>
      <c r="AU65" s="138"/>
      <c r="AV65" s="138"/>
      <c r="AW65" s="138"/>
      <c r="AX65" s="138"/>
      <c r="AY65" s="137"/>
      <c r="AZ65" s="105"/>
      <c r="BA65" s="134"/>
      <c r="BB65" s="134"/>
      <c r="BC65" s="138"/>
      <c r="BD65" s="138"/>
      <c r="BE65" s="138"/>
      <c r="BF65" s="138"/>
      <c r="BG65" s="138"/>
      <c r="BH65" s="138"/>
      <c r="BI65" s="137"/>
      <c r="BJ65" s="105"/>
      <c r="BK65" s="134"/>
      <c r="BL65" s="134"/>
      <c r="BM65" s="138"/>
      <c r="BN65" s="138"/>
      <c r="BO65" s="138"/>
      <c r="BP65" s="138"/>
      <c r="BQ65" s="138"/>
      <c r="BR65" s="138"/>
      <c r="BS65" s="137"/>
    </row>
    <row r="66" spans="1:71" s="104" customFormat="1" ht="15.95" customHeight="1">
      <c r="A66" s="285" t="s">
        <v>56</v>
      </c>
      <c r="B66" s="105">
        <v>30</v>
      </c>
      <c r="C66" s="134">
        <f>SUM(E66:I66)</f>
        <v>30744</v>
      </c>
      <c r="D66" s="134">
        <f>IFERROR(C66/B66,0)</f>
        <v>1024.8</v>
      </c>
      <c r="E66" s="138"/>
      <c r="F66" s="138"/>
      <c r="G66" s="138"/>
      <c r="H66" s="138">
        <v>30744</v>
      </c>
      <c r="I66" s="138"/>
      <c r="J66" s="138">
        <v>18189</v>
      </c>
      <c r="K66" s="137">
        <f t="shared" ref="K66:K71" si="86">IF(J66=0,0,(IF(E66&lt;=J66,E66,J66)))</f>
        <v>0</v>
      </c>
      <c r="L66" s="105">
        <v>36</v>
      </c>
      <c r="M66" s="134">
        <f>SUM(O66:S66)</f>
        <v>36626</v>
      </c>
      <c r="N66" s="134">
        <f>IFERROR(M66/L66,0)</f>
        <v>1017.3888888888889</v>
      </c>
      <c r="O66" s="138"/>
      <c r="P66" s="138"/>
      <c r="Q66" s="138"/>
      <c r="R66" s="138">
        <v>36626</v>
      </c>
      <c r="S66" s="138"/>
      <c r="T66" s="138">
        <v>27494</v>
      </c>
      <c r="U66" s="137">
        <f t="shared" ref="U66:U71" si="87">IF(T66=0,0,(IF(O66&lt;=T66,O66,T66)))</f>
        <v>0</v>
      </c>
      <c r="V66" s="105">
        <v>39</v>
      </c>
      <c r="W66" s="134">
        <f>SUM(Y66:AC66)</f>
        <v>38823.449999999997</v>
      </c>
      <c r="X66" s="134">
        <f>IFERROR(W66/V66,0)</f>
        <v>995.47307692307686</v>
      </c>
      <c r="Y66" s="138"/>
      <c r="Z66" s="138"/>
      <c r="AA66" s="138"/>
      <c r="AB66" s="138">
        <v>38823.449999999997</v>
      </c>
      <c r="AC66" s="138"/>
      <c r="AD66" s="138">
        <v>24204.45</v>
      </c>
      <c r="AE66" s="137">
        <f t="shared" ref="AE66:AE71" si="88">IF(AD66=0,0,(IF(Y66&lt;=AD66,Y66,AD66)))</f>
        <v>0</v>
      </c>
      <c r="AF66" s="105">
        <v>36</v>
      </c>
      <c r="AG66" s="134">
        <f>SUM(AI66:AM66)</f>
        <v>43488</v>
      </c>
      <c r="AH66" s="134">
        <f>IFERROR(AG66/AF66,0)</f>
        <v>1208</v>
      </c>
      <c r="AI66" s="138"/>
      <c r="AJ66" s="138">
        <v>10872</v>
      </c>
      <c r="AK66" s="138"/>
      <c r="AL66" s="138">
        <v>32616</v>
      </c>
      <c r="AM66" s="138"/>
      <c r="AN66" s="138">
        <v>25491</v>
      </c>
      <c r="AO66" s="137">
        <f t="shared" ref="AO66:AO71" si="89">IF(AN66=0,0,(IF(AI66&lt;=AN66,AI66,AN66)))</f>
        <v>0</v>
      </c>
      <c r="AP66" s="105">
        <v>32</v>
      </c>
      <c r="AQ66" s="134">
        <f>SUM(AS66:AW66)</f>
        <v>39932</v>
      </c>
      <c r="AR66" s="134">
        <f>IFERROR(AQ66/AP66,0)</f>
        <v>1247.875</v>
      </c>
      <c r="AS66" s="138"/>
      <c r="AT66" s="138">
        <v>9983</v>
      </c>
      <c r="AU66" s="138"/>
      <c r="AV66" s="138">
        <v>29949</v>
      </c>
      <c r="AW66" s="138"/>
      <c r="AX66" s="138">
        <v>28656</v>
      </c>
      <c r="AY66" s="137">
        <f t="shared" ref="AY66:AY71" si="90">IF(AX66=0,0,(IF(AS66&lt;=AX66,AS66,AX66)))</f>
        <v>0</v>
      </c>
      <c r="AZ66" s="105">
        <v>27</v>
      </c>
      <c r="BA66" s="134">
        <f>SUM(BC66:BG66)</f>
        <v>24975</v>
      </c>
      <c r="BB66" s="134">
        <f>IFERROR(BA66/AZ66,0)</f>
        <v>925</v>
      </c>
      <c r="BC66" s="138"/>
      <c r="BD66" s="138">
        <v>6244</v>
      </c>
      <c r="BE66" s="138"/>
      <c r="BF66" s="138">
        <v>18731</v>
      </c>
      <c r="BG66" s="138"/>
      <c r="BH66" s="138">
        <v>15982.6</v>
      </c>
      <c r="BI66" s="137">
        <f t="shared" ref="BI66:BI71" si="91">IF(BH66=0,0,(IF(BC66&lt;=BH66,BC66,BH66)))</f>
        <v>0</v>
      </c>
      <c r="BJ66" s="100">
        <v>28</v>
      </c>
      <c r="BK66" s="134">
        <f t="shared" ref="BK66:BK71" si="92">SUM(BM66:BQ66)</f>
        <v>36642</v>
      </c>
      <c r="BL66" s="134">
        <f t="shared" ref="BL66:BL71" si="93">IFERROR(BK66/BJ66,0)</f>
        <v>1308.6428571428571</v>
      </c>
      <c r="BM66" s="135"/>
      <c r="BN66" s="135">
        <v>9161</v>
      </c>
      <c r="BO66" s="135"/>
      <c r="BP66" s="135">
        <v>27481</v>
      </c>
      <c r="BQ66" s="135"/>
      <c r="BR66" s="135">
        <v>22797.27</v>
      </c>
      <c r="BS66" s="339">
        <f t="shared" ref="BS66:BS71" si="94">IF(BR66=0,0,(IF(BM66&lt;=BR66,BM66,BR66)))</f>
        <v>0</v>
      </c>
    </row>
    <row r="67" spans="1:71" s="104" customFormat="1" ht="15.95" customHeight="1">
      <c r="A67" s="285" t="s">
        <v>196</v>
      </c>
      <c r="B67" s="105"/>
      <c r="C67" s="134">
        <f t="shared" ref="C67:C68" si="95">SUM(E67:I67)</f>
        <v>0</v>
      </c>
      <c r="D67" s="134">
        <f t="shared" ref="D67:D70" si="96">IFERROR(C67/B67,0)</f>
        <v>0</v>
      </c>
      <c r="E67" s="138"/>
      <c r="F67" s="138"/>
      <c r="G67" s="138"/>
      <c r="H67" s="138"/>
      <c r="I67" s="138"/>
      <c r="J67" s="138"/>
      <c r="K67" s="137">
        <f t="shared" si="86"/>
        <v>0</v>
      </c>
      <c r="L67" s="105"/>
      <c r="M67" s="134">
        <f t="shared" ref="M67:M70" si="97">SUM(O67:S67)</f>
        <v>0</v>
      </c>
      <c r="N67" s="134">
        <f t="shared" ref="N67:N70" si="98">IFERROR(M67/L67,0)</f>
        <v>0</v>
      </c>
      <c r="O67" s="138"/>
      <c r="P67" s="138"/>
      <c r="Q67" s="138"/>
      <c r="R67" s="138"/>
      <c r="S67" s="138"/>
      <c r="T67" s="138"/>
      <c r="U67" s="137">
        <f t="shared" si="87"/>
        <v>0</v>
      </c>
      <c r="V67" s="105"/>
      <c r="W67" s="134">
        <f t="shared" ref="W67:W70" si="99">SUM(Y67:AC67)</f>
        <v>0</v>
      </c>
      <c r="X67" s="134">
        <f t="shared" ref="X67:X70" si="100">IFERROR(W67/V67,0)</f>
        <v>0</v>
      </c>
      <c r="Y67" s="138"/>
      <c r="Z67" s="138"/>
      <c r="AA67" s="138"/>
      <c r="AB67" s="138"/>
      <c r="AC67" s="138"/>
      <c r="AD67" s="138"/>
      <c r="AE67" s="137">
        <f t="shared" si="88"/>
        <v>0</v>
      </c>
      <c r="AF67" s="105"/>
      <c r="AG67" s="134">
        <f t="shared" ref="AG67:AG70" si="101">SUM(AI67:AM67)</f>
        <v>0</v>
      </c>
      <c r="AH67" s="134">
        <f t="shared" ref="AH67:AH70" si="102">IFERROR(AG67/AF67,0)</f>
        <v>0</v>
      </c>
      <c r="AI67" s="138"/>
      <c r="AJ67" s="138"/>
      <c r="AK67" s="138"/>
      <c r="AL67" s="138"/>
      <c r="AM67" s="138"/>
      <c r="AN67" s="138"/>
      <c r="AO67" s="137">
        <f t="shared" si="89"/>
        <v>0</v>
      </c>
      <c r="AP67" s="105"/>
      <c r="AQ67" s="134">
        <f t="shared" ref="AQ67:AQ70" si="103">SUM(AS67:AW67)</f>
        <v>0</v>
      </c>
      <c r="AR67" s="134">
        <f t="shared" ref="AR67:AR70" si="104">IFERROR(AQ67/AP67,0)</f>
        <v>0</v>
      </c>
      <c r="AS67" s="138"/>
      <c r="AT67" s="138"/>
      <c r="AU67" s="138"/>
      <c r="AV67" s="138"/>
      <c r="AW67" s="138"/>
      <c r="AX67" s="138"/>
      <c r="AY67" s="137">
        <f t="shared" si="90"/>
        <v>0</v>
      </c>
      <c r="AZ67" s="105">
        <v>3</v>
      </c>
      <c r="BA67" s="134">
        <f t="shared" ref="BA67:BA70" si="105">SUM(BC67:BG67)</f>
        <v>9398.4500000000007</v>
      </c>
      <c r="BB67" s="134">
        <f t="shared" ref="BB67:BB70" si="106">IFERROR(BA67/AZ67,0)</f>
        <v>3132.8166666666671</v>
      </c>
      <c r="BC67" s="138"/>
      <c r="BD67" s="138"/>
      <c r="BE67" s="138">
        <v>9398.4500000000007</v>
      </c>
      <c r="BF67" s="138"/>
      <c r="BG67" s="138"/>
      <c r="BH67" s="138">
        <v>9398.4500000000007</v>
      </c>
      <c r="BI67" s="137">
        <f t="shared" si="91"/>
        <v>0</v>
      </c>
      <c r="BJ67" s="100">
        <v>0</v>
      </c>
      <c r="BK67" s="134">
        <f t="shared" si="92"/>
        <v>0</v>
      </c>
      <c r="BL67" s="134">
        <f t="shared" si="93"/>
        <v>0</v>
      </c>
      <c r="BM67" s="135"/>
      <c r="BN67" s="135"/>
      <c r="BO67" s="135"/>
      <c r="BP67" s="135"/>
      <c r="BQ67" s="135"/>
      <c r="BR67" s="135">
        <v>0</v>
      </c>
      <c r="BS67" s="339">
        <f t="shared" si="94"/>
        <v>0</v>
      </c>
    </row>
    <row r="68" spans="1:71" s="101" customFormat="1" ht="15.95" customHeight="1">
      <c r="A68" s="99"/>
      <c r="B68" s="100"/>
      <c r="C68" s="178">
        <f t="shared" si="95"/>
        <v>0</v>
      </c>
      <c r="D68" s="178">
        <f t="shared" si="96"/>
        <v>0</v>
      </c>
      <c r="E68" s="135"/>
      <c r="F68" s="135"/>
      <c r="G68" s="135"/>
      <c r="H68" s="135"/>
      <c r="I68" s="135"/>
      <c r="J68" s="135"/>
      <c r="K68" s="339">
        <f t="shared" si="86"/>
        <v>0</v>
      </c>
      <c r="L68" s="100"/>
      <c r="M68" s="178">
        <f t="shared" si="97"/>
        <v>0</v>
      </c>
      <c r="N68" s="178">
        <f t="shared" si="98"/>
        <v>0</v>
      </c>
      <c r="O68" s="135"/>
      <c r="P68" s="135"/>
      <c r="Q68" s="135"/>
      <c r="R68" s="135"/>
      <c r="S68" s="135"/>
      <c r="T68" s="135"/>
      <c r="U68" s="339">
        <f t="shared" si="87"/>
        <v>0</v>
      </c>
      <c r="V68" s="100"/>
      <c r="W68" s="178">
        <f t="shared" si="99"/>
        <v>0</v>
      </c>
      <c r="X68" s="178">
        <f t="shared" si="100"/>
        <v>0</v>
      </c>
      <c r="Y68" s="135"/>
      <c r="Z68" s="135"/>
      <c r="AA68" s="135"/>
      <c r="AB68" s="135"/>
      <c r="AC68" s="135"/>
      <c r="AD68" s="135"/>
      <c r="AE68" s="339">
        <f t="shared" si="88"/>
        <v>0</v>
      </c>
      <c r="AF68" s="100"/>
      <c r="AG68" s="178">
        <f t="shared" si="101"/>
        <v>0</v>
      </c>
      <c r="AH68" s="178">
        <f t="shared" si="102"/>
        <v>0</v>
      </c>
      <c r="AI68" s="135"/>
      <c r="AJ68" s="135"/>
      <c r="AK68" s="135"/>
      <c r="AL68" s="135"/>
      <c r="AM68" s="135"/>
      <c r="AN68" s="135"/>
      <c r="AO68" s="339">
        <f t="shared" si="89"/>
        <v>0</v>
      </c>
      <c r="AP68" s="100"/>
      <c r="AQ68" s="178">
        <f t="shared" si="103"/>
        <v>0</v>
      </c>
      <c r="AR68" s="178">
        <f t="shared" si="104"/>
        <v>0</v>
      </c>
      <c r="AS68" s="135"/>
      <c r="AT68" s="135"/>
      <c r="AU68" s="135"/>
      <c r="AV68" s="135"/>
      <c r="AW68" s="135"/>
      <c r="AX68" s="135"/>
      <c r="AY68" s="339">
        <f t="shared" si="90"/>
        <v>0</v>
      </c>
      <c r="AZ68" s="100"/>
      <c r="BA68" s="178">
        <f t="shared" si="105"/>
        <v>0</v>
      </c>
      <c r="BB68" s="178">
        <f t="shared" si="106"/>
        <v>0</v>
      </c>
      <c r="BC68" s="135"/>
      <c r="BD68" s="135"/>
      <c r="BE68" s="135"/>
      <c r="BF68" s="135"/>
      <c r="BG68" s="135"/>
      <c r="BH68" s="135"/>
      <c r="BI68" s="339">
        <f t="shared" si="91"/>
        <v>0</v>
      </c>
      <c r="BJ68" s="100"/>
      <c r="BK68" s="178">
        <f t="shared" si="92"/>
        <v>0</v>
      </c>
      <c r="BL68" s="178">
        <f t="shared" si="93"/>
        <v>0</v>
      </c>
      <c r="BM68" s="135"/>
      <c r="BN68" s="135"/>
      <c r="BO68" s="135"/>
      <c r="BP68" s="135"/>
      <c r="BQ68" s="135"/>
      <c r="BR68" s="135"/>
      <c r="BS68" s="339">
        <f t="shared" si="94"/>
        <v>0</v>
      </c>
    </row>
    <row r="69" spans="1:71" s="101" customFormat="1" ht="15.95" customHeight="1">
      <c r="A69" s="99"/>
      <c r="B69" s="100"/>
      <c r="C69" s="178">
        <f t="shared" ref="C69:C70" si="107">SUM(E69:I69)</f>
        <v>0</v>
      </c>
      <c r="D69" s="178">
        <f t="shared" si="96"/>
        <v>0</v>
      </c>
      <c r="E69" s="135"/>
      <c r="F69" s="135"/>
      <c r="G69" s="135"/>
      <c r="H69" s="135"/>
      <c r="I69" s="135"/>
      <c r="J69" s="135"/>
      <c r="K69" s="339">
        <f t="shared" si="86"/>
        <v>0</v>
      </c>
      <c r="L69" s="100"/>
      <c r="M69" s="178">
        <f t="shared" si="97"/>
        <v>0</v>
      </c>
      <c r="N69" s="178">
        <f t="shared" si="98"/>
        <v>0</v>
      </c>
      <c r="O69" s="135"/>
      <c r="P69" s="135"/>
      <c r="Q69" s="135"/>
      <c r="R69" s="135"/>
      <c r="S69" s="135"/>
      <c r="T69" s="135"/>
      <c r="U69" s="339">
        <f t="shared" si="87"/>
        <v>0</v>
      </c>
      <c r="V69" s="100"/>
      <c r="W69" s="178">
        <f t="shared" si="99"/>
        <v>0</v>
      </c>
      <c r="X69" s="178">
        <f t="shared" si="100"/>
        <v>0</v>
      </c>
      <c r="Y69" s="135"/>
      <c r="Z69" s="135"/>
      <c r="AA69" s="135"/>
      <c r="AB69" s="135"/>
      <c r="AC69" s="135"/>
      <c r="AD69" s="135"/>
      <c r="AE69" s="339">
        <f t="shared" si="88"/>
        <v>0</v>
      </c>
      <c r="AF69" s="100"/>
      <c r="AG69" s="178">
        <f t="shared" si="101"/>
        <v>0</v>
      </c>
      <c r="AH69" s="178">
        <f t="shared" si="102"/>
        <v>0</v>
      </c>
      <c r="AI69" s="135"/>
      <c r="AJ69" s="135"/>
      <c r="AK69" s="135"/>
      <c r="AL69" s="135"/>
      <c r="AM69" s="135"/>
      <c r="AN69" s="135"/>
      <c r="AO69" s="339">
        <f t="shared" si="89"/>
        <v>0</v>
      </c>
      <c r="AP69" s="100"/>
      <c r="AQ69" s="178">
        <f t="shared" si="103"/>
        <v>0</v>
      </c>
      <c r="AR69" s="178">
        <f t="shared" si="104"/>
        <v>0</v>
      </c>
      <c r="AS69" s="135"/>
      <c r="AT69" s="135"/>
      <c r="AU69" s="135"/>
      <c r="AV69" s="135"/>
      <c r="AW69" s="135"/>
      <c r="AX69" s="135"/>
      <c r="AY69" s="339">
        <f t="shared" si="90"/>
        <v>0</v>
      </c>
      <c r="AZ69" s="100"/>
      <c r="BA69" s="178">
        <f t="shared" si="105"/>
        <v>0</v>
      </c>
      <c r="BB69" s="178">
        <f t="shared" si="106"/>
        <v>0</v>
      </c>
      <c r="BC69" s="135"/>
      <c r="BD69" s="135"/>
      <c r="BE69" s="135"/>
      <c r="BF69" s="135"/>
      <c r="BG69" s="135"/>
      <c r="BH69" s="135"/>
      <c r="BI69" s="339">
        <f t="shared" si="91"/>
        <v>0</v>
      </c>
      <c r="BJ69" s="100"/>
      <c r="BK69" s="178">
        <f t="shared" si="92"/>
        <v>0</v>
      </c>
      <c r="BL69" s="178">
        <f t="shared" si="93"/>
        <v>0</v>
      </c>
      <c r="BM69" s="135"/>
      <c r="BN69" s="135"/>
      <c r="BO69" s="135"/>
      <c r="BP69" s="135"/>
      <c r="BQ69" s="135"/>
      <c r="BR69" s="135"/>
      <c r="BS69" s="339">
        <f t="shared" si="94"/>
        <v>0</v>
      </c>
    </row>
    <row r="70" spans="1:71" s="101" customFormat="1" ht="15.95" customHeight="1">
      <c r="A70" s="99"/>
      <c r="B70" s="100"/>
      <c r="C70" s="178">
        <f t="shared" si="107"/>
        <v>0</v>
      </c>
      <c r="D70" s="178">
        <f t="shared" si="96"/>
        <v>0</v>
      </c>
      <c r="E70" s="135"/>
      <c r="F70" s="135"/>
      <c r="G70" s="135"/>
      <c r="H70" s="135"/>
      <c r="I70" s="135"/>
      <c r="J70" s="135"/>
      <c r="K70" s="339">
        <f t="shared" si="86"/>
        <v>0</v>
      </c>
      <c r="L70" s="100"/>
      <c r="M70" s="178">
        <f t="shared" si="97"/>
        <v>0</v>
      </c>
      <c r="N70" s="178">
        <f t="shared" si="98"/>
        <v>0</v>
      </c>
      <c r="O70" s="135"/>
      <c r="P70" s="135"/>
      <c r="Q70" s="135"/>
      <c r="R70" s="135"/>
      <c r="S70" s="135"/>
      <c r="T70" s="135"/>
      <c r="U70" s="339">
        <f t="shared" si="87"/>
        <v>0</v>
      </c>
      <c r="V70" s="100"/>
      <c r="W70" s="178">
        <f t="shared" si="99"/>
        <v>0</v>
      </c>
      <c r="X70" s="178">
        <f t="shared" si="100"/>
        <v>0</v>
      </c>
      <c r="Y70" s="135"/>
      <c r="Z70" s="135"/>
      <c r="AA70" s="135"/>
      <c r="AB70" s="135"/>
      <c r="AC70" s="135"/>
      <c r="AD70" s="135"/>
      <c r="AE70" s="339">
        <f t="shared" si="88"/>
        <v>0</v>
      </c>
      <c r="AF70" s="100"/>
      <c r="AG70" s="178">
        <f t="shared" si="101"/>
        <v>0</v>
      </c>
      <c r="AH70" s="178">
        <f t="shared" si="102"/>
        <v>0</v>
      </c>
      <c r="AI70" s="135"/>
      <c r="AJ70" s="135"/>
      <c r="AK70" s="135"/>
      <c r="AL70" s="135"/>
      <c r="AM70" s="135"/>
      <c r="AN70" s="135"/>
      <c r="AO70" s="339">
        <f t="shared" si="89"/>
        <v>0</v>
      </c>
      <c r="AP70" s="100"/>
      <c r="AQ70" s="178">
        <f t="shared" si="103"/>
        <v>0</v>
      </c>
      <c r="AR70" s="178">
        <f t="shared" si="104"/>
        <v>0</v>
      </c>
      <c r="AS70" s="135"/>
      <c r="AT70" s="135"/>
      <c r="AU70" s="135"/>
      <c r="AV70" s="135"/>
      <c r="AW70" s="135"/>
      <c r="AX70" s="135"/>
      <c r="AY70" s="339">
        <f t="shared" si="90"/>
        <v>0</v>
      </c>
      <c r="AZ70" s="100"/>
      <c r="BA70" s="178">
        <f t="shared" si="105"/>
        <v>0</v>
      </c>
      <c r="BB70" s="178">
        <f t="shared" si="106"/>
        <v>0</v>
      </c>
      <c r="BC70" s="135"/>
      <c r="BD70" s="135"/>
      <c r="BE70" s="135"/>
      <c r="BF70" s="135"/>
      <c r="BG70" s="135"/>
      <c r="BH70" s="135"/>
      <c r="BI70" s="339">
        <f t="shared" si="91"/>
        <v>0</v>
      </c>
      <c r="BJ70" s="100"/>
      <c r="BK70" s="178">
        <f t="shared" si="92"/>
        <v>0</v>
      </c>
      <c r="BL70" s="178">
        <f t="shared" si="93"/>
        <v>0</v>
      </c>
      <c r="BM70" s="135"/>
      <c r="BN70" s="135"/>
      <c r="BO70" s="135"/>
      <c r="BP70" s="135"/>
      <c r="BQ70" s="135"/>
      <c r="BR70" s="135"/>
      <c r="BS70" s="339">
        <f t="shared" si="94"/>
        <v>0</v>
      </c>
    </row>
    <row r="71" spans="1:71" s="101" customFormat="1" ht="15.95" customHeight="1">
      <c r="A71" s="99"/>
      <c r="B71" s="100"/>
      <c r="C71" s="178">
        <f>SUM(E71:I71)</f>
        <v>0</v>
      </c>
      <c r="D71" s="178">
        <f>IFERROR(C71/B71,0)</f>
        <v>0</v>
      </c>
      <c r="E71" s="135"/>
      <c r="F71" s="135"/>
      <c r="G71" s="135"/>
      <c r="H71" s="135"/>
      <c r="I71" s="135"/>
      <c r="J71" s="135"/>
      <c r="K71" s="339">
        <f t="shared" si="86"/>
        <v>0</v>
      </c>
      <c r="L71" s="100"/>
      <c r="M71" s="178">
        <f>SUM(O71:S71)</f>
        <v>0</v>
      </c>
      <c r="N71" s="178">
        <f>IFERROR(M71/L71,0)</f>
        <v>0</v>
      </c>
      <c r="O71" s="135"/>
      <c r="P71" s="135"/>
      <c r="Q71" s="135"/>
      <c r="R71" s="135"/>
      <c r="S71" s="135"/>
      <c r="T71" s="135"/>
      <c r="U71" s="339">
        <f t="shared" si="87"/>
        <v>0</v>
      </c>
      <c r="V71" s="100"/>
      <c r="W71" s="178">
        <f>SUM(Y71:AC71)</f>
        <v>0</v>
      </c>
      <c r="X71" s="178">
        <f>IFERROR(W71/V71,0)</f>
        <v>0</v>
      </c>
      <c r="Y71" s="135"/>
      <c r="Z71" s="135"/>
      <c r="AA71" s="135"/>
      <c r="AB71" s="135"/>
      <c r="AC71" s="135"/>
      <c r="AD71" s="135"/>
      <c r="AE71" s="339">
        <f t="shared" si="88"/>
        <v>0</v>
      </c>
      <c r="AF71" s="100"/>
      <c r="AG71" s="178">
        <f>SUM(AI71:AM71)</f>
        <v>0</v>
      </c>
      <c r="AH71" s="178">
        <f>IFERROR(AG71/AF71,0)</f>
        <v>0</v>
      </c>
      <c r="AI71" s="135"/>
      <c r="AJ71" s="135"/>
      <c r="AK71" s="135"/>
      <c r="AL71" s="135"/>
      <c r="AM71" s="135"/>
      <c r="AN71" s="135"/>
      <c r="AO71" s="339">
        <f t="shared" si="89"/>
        <v>0</v>
      </c>
      <c r="AP71" s="100"/>
      <c r="AQ71" s="178">
        <f>SUM(AS71:AW71)</f>
        <v>0</v>
      </c>
      <c r="AR71" s="178">
        <f>IFERROR(AQ71/AP71,0)</f>
        <v>0</v>
      </c>
      <c r="AS71" s="135"/>
      <c r="AT71" s="135"/>
      <c r="AU71" s="135"/>
      <c r="AV71" s="135"/>
      <c r="AW71" s="135"/>
      <c r="AX71" s="135"/>
      <c r="AY71" s="339">
        <f t="shared" si="90"/>
        <v>0</v>
      </c>
      <c r="AZ71" s="100"/>
      <c r="BA71" s="178">
        <f>SUM(BC71:BG71)</f>
        <v>0</v>
      </c>
      <c r="BB71" s="178">
        <f>IFERROR(BA71/AZ71,0)</f>
        <v>0</v>
      </c>
      <c r="BC71" s="135"/>
      <c r="BD71" s="135"/>
      <c r="BE71" s="135"/>
      <c r="BF71" s="135"/>
      <c r="BG71" s="135"/>
      <c r="BH71" s="135"/>
      <c r="BI71" s="339">
        <f t="shared" si="91"/>
        <v>0</v>
      </c>
      <c r="BJ71" s="100"/>
      <c r="BK71" s="178">
        <f t="shared" si="92"/>
        <v>0</v>
      </c>
      <c r="BL71" s="178">
        <f t="shared" si="93"/>
        <v>0</v>
      </c>
      <c r="BM71" s="135"/>
      <c r="BN71" s="135"/>
      <c r="BO71" s="135"/>
      <c r="BP71" s="135"/>
      <c r="BQ71" s="135"/>
      <c r="BR71" s="135"/>
      <c r="BS71" s="339">
        <f t="shared" si="94"/>
        <v>0</v>
      </c>
    </row>
    <row r="72" spans="1:71" ht="15.95" customHeight="1">
      <c r="A72" s="215" t="s">
        <v>122</v>
      </c>
      <c r="B72" s="105"/>
      <c r="C72" s="134"/>
      <c r="D72" s="134"/>
      <c r="E72" s="138"/>
      <c r="F72" s="138"/>
      <c r="G72" s="138"/>
      <c r="H72" s="138"/>
      <c r="I72" s="138"/>
      <c r="J72" s="138"/>
      <c r="K72" s="137"/>
      <c r="L72" s="93"/>
      <c r="M72" s="131"/>
      <c r="N72" s="134"/>
      <c r="O72" s="138"/>
      <c r="P72" s="138"/>
      <c r="Q72" s="138"/>
      <c r="R72" s="138"/>
      <c r="S72" s="138"/>
      <c r="T72" s="138"/>
      <c r="U72" s="137"/>
      <c r="V72" s="105"/>
      <c r="W72" s="134"/>
      <c r="X72" s="134"/>
      <c r="Y72" s="138"/>
      <c r="Z72" s="138"/>
      <c r="AA72" s="138"/>
      <c r="AB72" s="138"/>
      <c r="AC72" s="138"/>
      <c r="AD72" s="138"/>
      <c r="AE72" s="137"/>
      <c r="AF72" s="105"/>
      <c r="AG72" s="134"/>
      <c r="AH72" s="134"/>
      <c r="AI72" s="138"/>
      <c r="AJ72" s="138"/>
      <c r="AK72" s="138"/>
      <c r="AL72" s="138"/>
      <c r="AM72" s="138"/>
      <c r="AN72" s="138"/>
      <c r="AO72" s="137"/>
      <c r="AP72" s="105"/>
      <c r="AQ72" s="134"/>
      <c r="AR72" s="134"/>
      <c r="AS72" s="138"/>
      <c r="AT72" s="138"/>
      <c r="AU72" s="138"/>
      <c r="AV72" s="138"/>
      <c r="AW72" s="138"/>
      <c r="AX72" s="138"/>
      <c r="AY72" s="137"/>
      <c r="AZ72" s="105"/>
      <c r="BA72" s="134"/>
      <c r="BB72" s="134"/>
      <c r="BC72" s="138"/>
      <c r="BD72" s="138"/>
      <c r="BE72" s="138"/>
      <c r="BF72" s="138"/>
      <c r="BG72" s="138"/>
      <c r="BH72" s="138"/>
      <c r="BI72" s="137"/>
      <c r="BJ72" s="105"/>
      <c r="BK72" s="134"/>
      <c r="BL72" s="134"/>
      <c r="BM72" s="138"/>
      <c r="BN72" s="138"/>
      <c r="BO72" s="138"/>
      <c r="BP72" s="138"/>
      <c r="BQ72" s="138"/>
      <c r="BR72" s="138"/>
      <c r="BS72" s="137"/>
    </row>
    <row r="73" spans="1:71" s="104" customFormat="1" ht="15.95" customHeight="1">
      <c r="A73" s="102" t="s">
        <v>45</v>
      </c>
      <c r="B73" s="103">
        <f>SUM(B$65:B72)</f>
        <v>30</v>
      </c>
      <c r="C73" s="134">
        <f>SUM(C$65:C72)</f>
        <v>30744</v>
      </c>
      <c r="D73" s="134">
        <f>IFERROR(C73/B73,0)</f>
        <v>1024.8</v>
      </c>
      <c r="E73" s="136">
        <f>SUM(E$65:E72)</f>
        <v>0</v>
      </c>
      <c r="F73" s="136">
        <f>SUM(F$65:F72)</f>
        <v>0</v>
      </c>
      <c r="G73" s="136">
        <f>SUM(G$65:G72)</f>
        <v>0</v>
      </c>
      <c r="H73" s="136">
        <f>SUM(H$65:H72)</f>
        <v>30744</v>
      </c>
      <c r="I73" s="136">
        <f>SUM(I$65:I72)</f>
        <v>0</v>
      </c>
      <c r="J73" s="136">
        <f>SUM(J$65:J72)</f>
        <v>18189</v>
      </c>
      <c r="K73" s="137">
        <f>SUM(K$65:K72)</f>
        <v>0</v>
      </c>
      <c r="L73" s="103">
        <f>SUM(L$65:L72)</f>
        <v>36</v>
      </c>
      <c r="M73" s="134">
        <f>SUM(M$65:M72)</f>
        <v>36626</v>
      </c>
      <c r="N73" s="134">
        <f>IFERROR(M73/L73,0)</f>
        <v>1017.3888888888889</v>
      </c>
      <c r="O73" s="136">
        <f>SUM(O$65:O72)</f>
        <v>0</v>
      </c>
      <c r="P73" s="136">
        <f>SUM(P$65:P72)</f>
        <v>0</v>
      </c>
      <c r="Q73" s="136">
        <f>SUM(Q$65:Q72)</f>
        <v>0</v>
      </c>
      <c r="R73" s="136">
        <f>SUM(R$65:R72)</f>
        <v>36626</v>
      </c>
      <c r="S73" s="136">
        <f>SUM(S$65:S72)</f>
        <v>0</v>
      </c>
      <c r="T73" s="136">
        <f>SUM(T$65:T72)</f>
        <v>27494</v>
      </c>
      <c r="U73" s="137">
        <f>SUM(U$65:U72)</f>
        <v>0</v>
      </c>
      <c r="V73" s="103">
        <f>SUM(V$65:V72)</f>
        <v>39</v>
      </c>
      <c r="W73" s="134">
        <f>SUM(W$65:W72)</f>
        <v>38823.449999999997</v>
      </c>
      <c r="X73" s="134">
        <f>IFERROR(W73/V73,0)</f>
        <v>995.47307692307686</v>
      </c>
      <c r="Y73" s="136">
        <f>SUM(Y$65:Y72)</f>
        <v>0</v>
      </c>
      <c r="Z73" s="136">
        <f>SUM(Z$65:Z72)</f>
        <v>0</v>
      </c>
      <c r="AA73" s="136">
        <f>SUM(AA$65:AA72)</f>
        <v>0</v>
      </c>
      <c r="AB73" s="136">
        <f>SUM(AB$65:AB72)</f>
        <v>38823.449999999997</v>
      </c>
      <c r="AC73" s="136">
        <f>SUM(AC$65:AC72)</f>
        <v>0</v>
      </c>
      <c r="AD73" s="136">
        <f>SUM(AD$65:AD72)</f>
        <v>24204.45</v>
      </c>
      <c r="AE73" s="137">
        <f>SUM(AE$65:AE72)</f>
        <v>0</v>
      </c>
      <c r="AF73" s="103">
        <f>SUM(AF$65:AF72)</f>
        <v>36</v>
      </c>
      <c r="AG73" s="134">
        <f>SUM(AG$65:AG72)</f>
        <v>43488</v>
      </c>
      <c r="AH73" s="134">
        <f>IFERROR(AG73/AF73,0)</f>
        <v>1208</v>
      </c>
      <c r="AI73" s="136">
        <f>SUM(AI$65:AI72)</f>
        <v>0</v>
      </c>
      <c r="AJ73" s="136">
        <f>SUM(AJ$65:AJ72)</f>
        <v>10872</v>
      </c>
      <c r="AK73" s="136">
        <f>SUM(AK$65:AK72)</f>
        <v>0</v>
      </c>
      <c r="AL73" s="136">
        <f>SUM(AL$65:AL72)</f>
        <v>32616</v>
      </c>
      <c r="AM73" s="136">
        <f>SUM(AM$65:AM72)</f>
        <v>0</v>
      </c>
      <c r="AN73" s="136">
        <f>SUM(AN$65:AN72)</f>
        <v>25491</v>
      </c>
      <c r="AO73" s="137">
        <f>SUM(AO$65:AO72)</f>
        <v>0</v>
      </c>
      <c r="AP73" s="103">
        <f>SUM(AP$65:AP72)</f>
        <v>32</v>
      </c>
      <c r="AQ73" s="134">
        <f>SUM(AQ$65:AQ72)</f>
        <v>39932</v>
      </c>
      <c r="AR73" s="134">
        <f>IFERROR(AQ73/AP73,0)</f>
        <v>1247.875</v>
      </c>
      <c r="AS73" s="136">
        <f>SUM(AS$65:AS72)</f>
        <v>0</v>
      </c>
      <c r="AT73" s="136">
        <f>SUM(AT$65:AT72)</f>
        <v>9983</v>
      </c>
      <c r="AU73" s="136">
        <f>SUM(AU$65:AU72)</f>
        <v>0</v>
      </c>
      <c r="AV73" s="136">
        <f>SUM(AV$65:AV72)</f>
        <v>29949</v>
      </c>
      <c r="AW73" s="136">
        <f>SUM(AW$65:AW72)</f>
        <v>0</v>
      </c>
      <c r="AX73" s="136">
        <f>SUM(AX$65:AX72)</f>
        <v>28656</v>
      </c>
      <c r="AY73" s="137">
        <f>SUM(AY$65:AY72)</f>
        <v>0</v>
      </c>
      <c r="AZ73" s="103">
        <f>SUM(AZ$65:AZ72)</f>
        <v>30</v>
      </c>
      <c r="BA73" s="134">
        <f>SUM(BA$65:BA72)</f>
        <v>34373.449999999997</v>
      </c>
      <c r="BB73" s="134">
        <f>IFERROR(BA73/AZ73,0)</f>
        <v>1145.7816666666665</v>
      </c>
      <c r="BC73" s="136">
        <f>SUM(BC$65:BC72)</f>
        <v>0</v>
      </c>
      <c r="BD73" s="136">
        <f>SUM(BD$65:BD72)</f>
        <v>6244</v>
      </c>
      <c r="BE73" s="136">
        <f>SUM(BE$65:BE72)</f>
        <v>9398.4500000000007</v>
      </c>
      <c r="BF73" s="136">
        <f>SUM(BF$65:BF72)</f>
        <v>18731</v>
      </c>
      <c r="BG73" s="136">
        <f>SUM(BG$65:BG72)</f>
        <v>0</v>
      </c>
      <c r="BH73" s="136">
        <f>SUM(BH$65:BH72)</f>
        <v>25381.050000000003</v>
      </c>
      <c r="BI73" s="137">
        <f>SUM(BI$65:BI72)</f>
        <v>0</v>
      </c>
      <c r="BJ73" s="103">
        <f>SUM(BJ$65:BJ72)</f>
        <v>28</v>
      </c>
      <c r="BK73" s="134">
        <f>SUM(BK$65:BK72)</f>
        <v>36642</v>
      </c>
      <c r="BL73" s="134">
        <f>IFERROR(BK73/BJ73,0)</f>
        <v>1308.6428571428571</v>
      </c>
      <c r="BM73" s="136">
        <f>SUM(BM$65:BM72)</f>
        <v>0</v>
      </c>
      <c r="BN73" s="136">
        <f>SUM(BN$65:BN72)</f>
        <v>9161</v>
      </c>
      <c r="BO73" s="136">
        <f>SUM(BO$65:BO72)</f>
        <v>0</v>
      </c>
      <c r="BP73" s="136">
        <f>SUM(BP$65:BP72)</f>
        <v>27481</v>
      </c>
      <c r="BQ73" s="136">
        <f>SUM(BQ$65:BQ72)</f>
        <v>0</v>
      </c>
      <c r="BR73" s="136">
        <f>SUM(BR$65:BR72)</f>
        <v>22797.27</v>
      </c>
      <c r="BS73" s="137">
        <f>SUM(BS$65:BS72)</f>
        <v>0</v>
      </c>
    </row>
    <row r="74" spans="1:71" ht="15.95" customHeight="1">
      <c r="A74" s="97"/>
      <c r="B74" s="105"/>
      <c r="C74" s="134"/>
      <c r="D74" s="134"/>
      <c r="E74" s="138"/>
      <c r="F74" s="138"/>
      <c r="G74" s="138"/>
      <c r="H74" s="138"/>
      <c r="I74" s="138"/>
      <c r="J74" s="138"/>
      <c r="K74" s="137"/>
      <c r="L74" s="93"/>
      <c r="M74" s="131"/>
      <c r="N74" s="134"/>
      <c r="O74" s="138"/>
      <c r="P74" s="138"/>
      <c r="Q74" s="138"/>
      <c r="R74" s="138"/>
      <c r="S74" s="138"/>
      <c r="T74" s="138"/>
      <c r="U74" s="137"/>
      <c r="V74" s="105"/>
      <c r="W74" s="134"/>
      <c r="X74" s="134"/>
      <c r="Y74" s="138"/>
      <c r="Z74" s="138"/>
      <c r="AA74" s="138"/>
      <c r="AB74" s="138"/>
      <c r="AC74" s="138"/>
      <c r="AD74" s="138"/>
      <c r="AE74" s="137"/>
      <c r="AF74" s="105"/>
      <c r="AG74" s="134"/>
      <c r="AH74" s="134"/>
      <c r="AI74" s="138"/>
      <c r="AJ74" s="138"/>
      <c r="AK74" s="138"/>
      <c r="AL74" s="138"/>
      <c r="AM74" s="138"/>
      <c r="AN74" s="138"/>
      <c r="AO74" s="137"/>
      <c r="AP74" s="105"/>
      <c r="AQ74" s="134"/>
      <c r="AR74" s="134"/>
      <c r="AS74" s="138"/>
      <c r="AT74" s="138"/>
      <c r="AU74" s="138"/>
      <c r="AV74" s="138"/>
      <c r="AW74" s="138"/>
      <c r="AX74" s="138"/>
      <c r="AY74" s="137"/>
      <c r="AZ74" s="105"/>
      <c r="BA74" s="134"/>
      <c r="BB74" s="134"/>
      <c r="BC74" s="138"/>
      <c r="BD74" s="138"/>
      <c r="BE74" s="138"/>
      <c r="BF74" s="138"/>
      <c r="BG74" s="138"/>
      <c r="BH74" s="138"/>
      <c r="BI74" s="137"/>
      <c r="BJ74" s="105"/>
      <c r="BK74" s="134"/>
      <c r="BL74" s="134"/>
      <c r="BM74" s="138"/>
      <c r="BN74" s="138"/>
      <c r="BO74" s="138"/>
      <c r="BP74" s="138"/>
      <c r="BQ74" s="138"/>
      <c r="BR74" s="138"/>
      <c r="BS74" s="137"/>
    </row>
    <row r="75" spans="1:71" ht="15.95" customHeight="1">
      <c r="A75" s="98" t="s">
        <v>46</v>
      </c>
      <c r="B75" s="105"/>
      <c r="C75" s="134"/>
      <c r="D75" s="134"/>
      <c r="E75" s="138"/>
      <c r="F75" s="138"/>
      <c r="G75" s="138"/>
      <c r="H75" s="138"/>
      <c r="I75" s="138"/>
      <c r="J75" s="138"/>
      <c r="K75" s="137"/>
      <c r="L75" s="93"/>
      <c r="M75" s="131"/>
      <c r="N75" s="134"/>
      <c r="O75" s="138"/>
      <c r="P75" s="138"/>
      <c r="Q75" s="138"/>
      <c r="R75" s="138"/>
      <c r="S75" s="138"/>
      <c r="T75" s="138"/>
      <c r="U75" s="137"/>
      <c r="V75" s="105"/>
      <c r="W75" s="134"/>
      <c r="X75" s="134"/>
      <c r="Y75" s="138"/>
      <c r="Z75" s="138"/>
      <c r="AA75" s="138"/>
      <c r="AB75" s="138"/>
      <c r="AC75" s="138"/>
      <c r="AD75" s="138"/>
      <c r="AE75" s="137"/>
      <c r="AF75" s="105"/>
      <c r="AG75" s="134"/>
      <c r="AH75" s="134"/>
      <c r="AI75" s="138"/>
      <c r="AJ75" s="138"/>
      <c r="AK75" s="138"/>
      <c r="AL75" s="138"/>
      <c r="AM75" s="138"/>
      <c r="AN75" s="138"/>
      <c r="AO75" s="137"/>
      <c r="AP75" s="105"/>
      <c r="AQ75" s="134"/>
      <c r="AR75" s="134"/>
      <c r="AS75" s="138"/>
      <c r="AT75" s="138"/>
      <c r="AU75" s="138"/>
      <c r="AV75" s="138"/>
      <c r="AW75" s="138"/>
      <c r="AX75" s="138"/>
      <c r="AY75" s="137"/>
      <c r="AZ75" s="105"/>
      <c r="BA75" s="134"/>
      <c r="BB75" s="134"/>
      <c r="BC75" s="138"/>
      <c r="BD75" s="138"/>
      <c r="BE75" s="138"/>
      <c r="BF75" s="138"/>
      <c r="BG75" s="138"/>
      <c r="BH75" s="138"/>
      <c r="BI75" s="137"/>
      <c r="BJ75" s="105"/>
      <c r="BK75" s="134"/>
      <c r="BL75" s="134"/>
      <c r="BM75" s="138"/>
      <c r="BN75" s="138"/>
      <c r="BO75" s="138"/>
      <c r="BP75" s="138"/>
      <c r="BQ75" s="138"/>
      <c r="BR75" s="138"/>
      <c r="BS75" s="137"/>
    </row>
    <row r="76" spans="1:71" ht="15.95" customHeight="1">
      <c r="A76" s="285" t="s">
        <v>164</v>
      </c>
      <c r="B76" s="105">
        <v>30</v>
      </c>
      <c r="C76" s="134">
        <f t="shared" ref="C76:C78" si="108">SUM(E76:I76)</f>
        <v>16587</v>
      </c>
      <c r="D76" s="134">
        <f t="shared" ref="D76:D83" si="109">IFERROR(C76/B76,0)</f>
        <v>552.9</v>
      </c>
      <c r="E76" s="138">
        <v>16587</v>
      </c>
      <c r="F76" s="138"/>
      <c r="G76" s="138"/>
      <c r="H76" s="138"/>
      <c r="I76" s="138"/>
      <c r="J76" s="138">
        <v>16337</v>
      </c>
      <c r="K76" s="137">
        <f t="shared" ref="K76:K83" si="110">IF(J76=0,0,(IF(E76&lt;=J76,E76,J76)))</f>
        <v>16337</v>
      </c>
      <c r="L76" s="93">
        <v>33</v>
      </c>
      <c r="M76" s="134">
        <f t="shared" ref="M76:M82" si="111">SUM(O76:S76)</f>
        <v>15708</v>
      </c>
      <c r="N76" s="134">
        <f t="shared" ref="N76:N83" si="112">IFERROR(M76/L76,0)</f>
        <v>476</v>
      </c>
      <c r="O76" s="138">
        <v>15708</v>
      </c>
      <c r="P76" s="138"/>
      <c r="Q76" s="138"/>
      <c r="R76" s="138"/>
      <c r="S76" s="138"/>
      <c r="T76" s="138">
        <v>10800</v>
      </c>
      <c r="U76" s="137">
        <f t="shared" ref="U76:U83" si="113">IF(T76=0,0,(IF(O76&lt;=T76,O76,T76)))</f>
        <v>10800</v>
      </c>
      <c r="V76" s="105">
        <v>18</v>
      </c>
      <c r="W76" s="134">
        <f t="shared" ref="W76:W83" si="114">SUM(Y76:AC76)</f>
        <v>10681</v>
      </c>
      <c r="X76" s="134">
        <f t="shared" ref="X76:X83" si="115">IFERROR(W76/V76,0)</f>
        <v>593.38888888888891</v>
      </c>
      <c r="Y76" s="138">
        <v>10681</v>
      </c>
      <c r="Z76" s="138"/>
      <c r="AA76" s="138"/>
      <c r="AB76" s="138"/>
      <c r="AC76" s="138"/>
      <c r="AD76" s="138">
        <v>9681</v>
      </c>
      <c r="AE76" s="137">
        <f t="shared" ref="AE76:AE83" si="116">IF(AD76=0,0,(IF(Y76&lt;=AD76,Y76,AD76)))</f>
        <v>9681</v>
      </c>
      <c r="AF76" s="105">
        <v>27</v>
      </c>
      <c r="AG76" s="134">
        <f t="shared" ref="AG76:AG83" si="117">SUM(AI76:AM76)</f>
        <v>19722</v>
      </c>
      <c r="AH76" s="134">
        <f t="shared" ref="AH76:AH83" si="118">IFERROR(AG76/AF76,0)</f>
        <v>730.44444444444446</v>
      </c>
      <c r="AI76" s="138">
        <v>10222</v>
      </c>
      <c r="AJ76" s="138"/>
      <c r="AK76" s="138"/>
      <c r="AL76" s="138"/>
      <c r="AM76" s="138">
        <v>9500</v>
      </c>
      <c r="AN76" s="138">
        <v>19722</v>
      </c>
      <c r="AO76" s="137">
        <f t="shared" ref="AO76:AO83" si="119">IF(AN76=0,0,(IF(AI76&lt;=AN76,AI76,AN76)))</f>
        <v>10222</v>
      </c>
      <c r="AP76" s="105">
        <v>24</v>
      </c>
      <c r="AQ76" s="134">
        <f t="shared" ref="AQ76:AQ83" si="120">SUM(AS76:AW76)</f>
        <v>16587</v>
      </c>
      <c r="AR76" s="134">
        <f t="shared" ref="AR76:AR83" si="121">IFERROR(AQ76/AP76,0)</f>
        <v>691.125</v>
      </c>
      <c r="AS76" s="138">
        <v>8987</v>
      </c>
      <c r="AT76" s="138"/>
      <c r="AU76" s="138"/>
      <c r="AV76" s="138"/>
      <c r="AW76" s="138">
        <v>7600</v>
      </c>
      <c r="AX76" s="138">
        <v>16587</v>
      </c>
      <c r="AY76" s="137">
        <f t="shared" ref="AY76:AY83" si="122">IF(AX76=0,0,(IF(AS76&lt;=AX76,AS76,AX76)))</f>
        <v>8987</v>
      </c>
      <c r="AZ76" s="105">
        <v>31</v>
      </c>
      <c r="BA76" s="134">
        <f t="shared" ref="BA76:BA83" si="123">SUM(BC76:BG76)</f>
        <v>18683</v>
      </c>
      <c r="BB76" s="134">
        <f t="shared" ref="BB76:BB83" si="124">IFERROR(BA76/AZ76,0)</f>
        <v>602.67741935483866</v>
      </c>
      <c r="BC76" s="138">
        <v>6333</v>
      </c>
      <c r="BD76" s="138"/>
      <c r="BE76" s="138"/>
      <c r="BF76" s="138"/>
      <c r="BG76" s="138">
        <v>12350</v>
      </c>
      <c r="BH76" s="138">
        <v>17933</v>
      </c>
      <c r="BI76" s="137">
        <f t="shared" ref="BI76:BI83" si="125">IF(BH76=0,0,(IF(BC76&lt;=BH76,BC76,BH76)))</f>
        <v>6333</v>
      </c>
      <c r="BJ76" s="100">
        <v>23</v>
      </c>
      <c r="BK76" s="134">
        <f t="shared" ref="BK76:BK83" si="126">SUM(BM76:BQ76)</f>
        <v>20791</v>
      </c>
      <c r="BL76" s="134">
        <f t="shared" ref="BL76:BL83" si="127">IFERROR(BK76/BJ76,0)</f>
        <v>903.95652173913038</v>
      </c>
      <c r="BM76" s="135">
        <v>10046</v>
      </c>
      <c r="BN76" s="135"/>
      <c r="BO76" s="135"/>
      <c r="BP76" s="135"/>
      <c r="BQ76" s="135">
        <v>10745</v>
      </c>
      <c r="BR76" s="135">
        <v>16791</v>
      </c>
      <c r="BS76" s="339">
        <f t="shared" ref="BS76:BS83" si="128">IF(BR76=0,0,(IF(BM76&lt;=BR76,BM76,BR76)))</f>
        <v>10046</v>
      </c>
    </row>
    <row r="77" spans="1:71" ht="15.95" customHeight="1">
      <c r="A77" s="285" t="s">
        <v>57</v>
      </c>
      <c r="B77" s="105">
        <v>76</v>
      </c>
      <c r="C77" s="134">
        <f t="shared" si="108"/>
        <v>237415</v>
      </c>
      <c r="D77" s="134">
        <f t="shared" si="109"/>
        <v>3123.8815789473683</v>
      </c>
      <c r="E77" s="138">
        <v>237415</v>
      </c>
      <c r="F77" s="138"/>
      <c r="G77" s="138"/>
      <c r="H77" s="138"/>
      <c r="I77" s="138"/>
      <c r="J77" s="138">
        <v>81118</v>
      </c>
      <c r="K77" s="137">
        <f t="shared" si="110"/>
        <v>81118</v>
      </c>
      <c r="L77" s="93">
        <v>77</v>
      </c>
      <c r="M77" s="134">
        <f t="shared" si="111"/>
        <v>333821</v>
      </c>
      <c r="N77" s="134">
        <f t="shared" si="112"/>
        <v>4335.3376623376626</v>
      </c>
      <c r="O77" s="138">
        <v>241161</v>
      </c>
      <c r="P77" s="138">
        <v>92660</v>
      </c>
      <c r="Q77" s="138"/>
      <c r="R77" s="138"/>
      <c r="S77" s="138"/>
      <c r="T77" s="138">
        <v>54456</v>
      </c>
      <c r="U77" s="137">
        <f t="shared" si="113"/>
        <v>54456</v>
      </c>
      <c r="V77" s="105">
        <v>73</v>
      </c>
      <c r="W77" s="134">
        <f t="shared" si="114"/>
        <v>341821</v>
      </c>
      <c r="X77" s="134">
        <f t="shared" si="115"/>
        <v>4682.4794520547948</v>
      </c>
      <c r="Y77" s="138">
        <v>252621</v>
      </c>
      <c r="Z77" s="138">
        <v>89200</v>
      </c>
      <c r="AA77" s="138"/>
      <c r="AB77" s="138"/>
      <c r="AC77" s="138"/>
      <c r="AD77" s="138">
        <v>60886</v>
      </c>
      <c r="AE77" s="137">
        <f t="shared" si="116"/>
        <v>60886</v>
      </c>
      <c r="AF77" s="105">
        <v>84</v>
      </c>
      <c r="AG77" s="134">
        <f t="shared" si="117"/>
        <v>346610</v>
      </c>
      <c r="AH77" s="134">
        <f t="shared" si="118"/>
        <v>4126.3095238095239</v>
      </c>
      <c r="AI77" s="138">
        <v>263285</v>
      </c>
      <c r="AJ77" s="138">
        <v>83325</v>
      </c>
      <c r="AK77" s="138"/>
      <c r="AL77" s="138"/>
      <c r="AM77" s="138"/>
      <c r="AN77" s="138">
        <v>55922</v>
      </c>
      <c r="AO77" s="137">
        <f t="shared" si="119"/>
        <v>55922</v>
      </c>
      <c r="AP77" s="105">
        <v>73</v>
      </c>
      <c r="AQ77" s="134">
        <f t="shared" si="120"/>
        <v>369328</v>
      </c>
      <c r="AR77" s="134">
        <f t="shared" si="121"/>
        <v>5059.2876712328771</v>
      </c>
      <c r="AS77" s="138">
        <v>267785</v>
      </c>
      <c r="AT77" s="138">
        <v>82300</v>
      </c>
      <c r="AU77" s="138"/>
      <c r="AV77" s="138"/>
      <c r="AW77" s="138">
        <v>19243</v>
      </c>
      <c r="AX77" s="138">
        <v>51910</v>
      </c>
      <c r="AY77" s="137">
        <f t="shared" si="122"/>
        <v>51910</v>
      </c>
      <c r="AZ77" s="105">
        <v>76</v>
      </c>
      <c r="BA77" s="134">
        <f t="shared" si="123"/>
        <v>408937</v>
      </c>
      <c r="BB77" s="134">
        <f t="shared" si="124"/>
        <v>5380.75</v>
      </c>
      <c r="BC77" s="138">
        <v>271308</v>
      </c>
      <c r="BD77" s="138">
        <v>96585</v>
      </c>
      <c r="BE77" s="138"/>
      <c r="BF77" s="138"/>
      <c r="BG77" s="138">
        <v>41044</v>
      </c>
      <c r="BH77" s="138">
        <v>21616</v>
      </c>
      <c r="BI77" s="137">
        <f t="shared" si="125"/>
        <v>21616</v>
      </c>
      <c r="BJ77" s="100">
        <v>72</v>
      </c>
      <c r="BK77" s="134">
        <f t="shared" si="126"/>
        <v>375029</v>
      </c>
      <c r="BL77" s="134">
        <f t="shared" si="127"/>
        <v>5208.7361111111113</v>
      </c>
      <c r="BM77" s="135">
        <v>266477</v>
      </c>
      <c r="BN77" s="135">
        <v>82208</v>
      </c>
      <c r="BO77" s="135"/>
      <c r="BP77" s="135"/>
      <c r="BQ77" s="135">
        <v>26344</v>
      </c>
      <c r="BR77" s="135">
        <v>36604</v>
      </c>
      <c r="BS77" s="339">
        <f t="shared" si="128"/>
        <v>36604</v>
      </c>
    </row>
    <row r="78" spans="1:71" ht="15.95" customHeight="1">
      <c r="A78" s="285" t="s">
        <v>59</v>
      </c>
      <c r="B78" s="105">
        <v>99</v>
      </c>
      <c r="C78" s="134">
        <f t="shared" si="108"/>
        <v>320238</v>
      </c>
      <c r="D78" s="134">
        <f t="shared" si="109"/>
        <v>3234.7272727272725</v>
      </c>
      <c r="E78" s="138">
        <v>320238</v>
      </c>
      <c r="F78" s="138"/>
      <c r="G78" s="138"/>
      <c r="H78" s="138"/>
      <c r="I78" s="138"/>
      <c r="J78" s="138">
        <v>114476</v>
      </c>
      <c r="K78" s="137">
        <f t="shared" si="110"/>
        <v>114476</v>
      </c>
      <c r="L78" s="93">
        <v>97</v>
      </c>
      <c r="M78" s="134">
        <f t="shared" si="111"/>
        <v>387701</v>
      </c>
      <c r="N78" s="134">
        <f t="shared" si="112"/>
        <v>3996.9175257731958</v>
      </c>
      <c r="O78" s="138">
        <v>322015</v>
      </c>
      <c r="P78" s="138">
        <v>65686</v>
      </c>
      <c r="Q78" s="138"/>
      <c r="R78" s="138"/>
      <c r="S78" s="138"/>
      <c r="T78" s="138">
        <v>76096</v>
      </c>
      <c r="U78" s="137">
        <f t="shared" si="113"/>
        <v>76096</v>
      </c>
      <c r="V78" s="105">
        <v>102</v>
      </c>
      <c r="W78" s="134">
        <f t="shared" si="114"/>
        <v>399102</v>
      </c>
      <c r="X78" s="134">
        <f t="shared" si="115"/>
        <v>3912.7647058823532</v>
      </c>
      <c r="Y78" s="138">
        <v>342553</v>
      </c>
      <c r="Z78" s="138">
        <v>56549</v>
      </c>
      <c r="AA78" s="138"/>
      <c r="AB78" s="138"/>
      <c r="AC78" s="138"/>
      <c r="AD78" s="138">
        <v>89428</v>
      </c>
      <c r="AE78" s="137">
        <f t="shared" si="116"/>
        <v>89428</v>
      </c>
      <c r="AF78" s="105">
        <v>100</v>
      </c>
      <c r="AG78" s="134">
        <f t="shared" si="117"/>
        <v>409233</v>
      </c>
      <c r="AH78" s="134">
        <f t="shared" si="118"/>
        <v>4092.33</v>
      </c>
      <c r="AI78" s="138">
        <v>347283</v>
      </c>
      <c r="AJ78" s="138">
        <v>61950</v>
      </c>
      <c r="AK78" s="138"/>
      <c r="AL78" s="138"/>
      <c r="AM78" s="138"/>
      <c r="AN78" s="138">
        <v>85702</v>
      </c>
      <c r="AO78" s="137">
        <f t="shared" si="119"/>
        <v>85702</v>
      </c>
      <c r="AP78" s="105">
        <v>112</v>
      </c>
      <c r="AQ78" s="134">
        <f t="shared" si="120"/>
        <v>448552</v>
      </c>
      <c r="AR78" s="134">
        <f t="shared" si="121"/>
        <v>4004.9285714285716</v>
      </c>
      <c r="AS78" s="138">
        <v>382897</v>
      </c>
      <c r="AT78" s="138">
        <v>63620</v>
      </c>
      <c r="AU78" s="138"/>
      <c r="AV78" s="138"/>
      <c r="AW78" s="138">
        <v>2035</v>
      </c>
      <c r="AX78" s="138">
        <v>107987</v>
      </c>
      <c r="AY78" s="137">
        <f t="shared" si="122"/>
        <v>107987</v>
      </c>
      <c r="AZ78" s="105">
        <v>109</v>
      </c>
      <c r="BA78" s="134">
        <f t="shared" si="123"/>
        <v>475221</v>
      </c>
      <c r="BB78" s="134">
        <f t="shared" si="124"/>
        <v>4359.8256880733943</v>
      </c>
      <c r="BC78" s="138">
        <v>376313</v>
      </c>
      <c r="BD78" s="138">
        <v>65440</v>
      </c>
      <c r="BE78" s="138"/>
      <c r="BF78" s="138"/>
      <c r="BG78" s="138">
        <v>33468</v>
      </c>
      <c r="BH78" s="138">
        <v>118979</v>
      </c>
      <c r="BI78" s="137">
        <f t="shared" si="125"/>
        <v>118979</v>
      </c>
      <c r="BJ78" s="100">
        <v>103</v>
      </c>
      <c r="BK78" s="134">
        <f t="shared" si="126"/>
        <v>454067</v>
      </c>
      <c r="BL78" s="134">
        <f t="shared" si="127"/>
        <v>4408.4174757281553</v>
      </c>
      <c r="BM78" s="135">
        <v>348849</v>
      </c>
      <c r="BN78" s="135">
        <v>78592</v>
      </c>
      <c r="BO78" s="135"/>
      <c r="BP78" s="135"/>
      <c r="BQ78" s="135">
        <v>26626</v>
      </c>
      <c r="BR78" s="135">
        <v>84963</v>
      </c>
      <c r="BS78" s="339">
        <f t="shared" si="128"/>
        <v>84963</v>
      </c>
    </row>
    <row r="79" spans="1:71" s="104" customFormat="1" ht="15.95" customHeight="1">
      <c r="A79" s="285" t="s">
        <v>58</v>
      </c>
      <c r="B79" s="105"/>
      <c r="C79" s="134">
        <f t="shared" ref="C79:C80" si="129">SUM(E79:I79)</f>
        <v>0</v>
      </c>
      <c r="D79" s="134">
        <f t="shared" si="109"/>
        <v>0</v>
      </c>
      <c r="E79" s="138"/>
      <c r="F79" s="138"/>
      <c r="G79" s="138"/>
      <c r="H79" s="138"/>
      <c r="I79" s="138"/>
      <c r="J79" s="138"/>
      <c r="K79" s="137">
        <f t="shared" si="110"/>
        <v>0</v>
      </c>
      <c r="L79" s="105"/>
      <c r="M79" s="134">
        <f t="shared" ref="M79:M80" si="130">SUM(O79:S79)</f>
        <v>0</v>
      </c>
      <c r="N79" s="134">
        <f t="shared" si="112"/>
        <v>0</v>
      </c>
      <c r="O79" s="138"/>
      <c r="P79" s="138"/>
      <c r="Q79" s="138"/>
      <c r="R79" s="138"/>
      <c r="S79" s="138"/>
      <c r="T79" s="138"/>
      <c r="U79" s="137">
        <f t="shared" si="113"/>
        <v>0</v>
      </c>
      <c r="V79" s="105"/>
      <c r="W79" s="134">
        <f t="shared" ref="W79:W80" si="131">SUM(Y79:AC79)</f>
        <v>0</v>
      </c>
      <c r="X79" s="134">
        <f t="shared" si="115"/>
        <v>0</v>
      </c>
      <c r="Y79" s="138"/>
      <c r="Z79" s="138"/>
      <c r="AA79" s="138"/>
      <c r="AB79" s="138"/>
      <c r="AC79" s="138"/>
      <c r="AD79" s="138"/>
      <c r="AE79" s="137">
        <f t="shared" si="116"/>
        <v>0</v>
      </c>
      <c r="AF79" s="105"/>
      <c r="AG79" s="134">
        <f t="shared" ref="AG79:AG80" si="132">SUM(AI79:AM79)</f>
        <v>0</v>
      </c>
      <c r="AH79" s="134">
        <f t="shared" si="118"/>
        <v>0</v>
      </c>
      <c r="AI79" s="138"/>
      <c r="AJ79" s="138"/>
      <c r="AK79" s="138"/>
      <c r="AL79" s="138"/>
      <c r="AM79" s="138"/>
      <c r="AN79" s="138"/>
      <c r="AO79" s="137">
        <f t="shared" si="119"/>
        <v>0</v>
      </c>
      <c r="AP79" s="105"/>
      <c r="AQ79" s="134">
        <f t="shared" ref="AQ79:AQ80" si="133">SUM(AS79:AW79)</f>
        <v>0</v>
      </c>
      <c r="AR79" s="134">
        <f t="shared" si="121"/>
        <v>0</v>
      </c>
      <c r="AS79" s="138"/>
      <c r="AT79" s="138"/>
      <c r="AU79" s="138"/>
      <c r="AV79" s="138"/>
      <c r="AW79" s="138"/>
      <c r="AX79" s="138"/>
      <c r="AY79" s="137">
        <f t="shared" si="122"/>
        <v>0</v>
      </c>
      <c r="AZ79" s="105">
        <v>21</v>
      </c>
      <c r="BA79" s="134">
        <f t="shared" si="123"/>
        <v>63369</v>
      </c>
      <c r="BB79" s="134">
        <f t="shared" si="124"/>
        <v>3017.5714285714284</v>
      </c>
      <c r="BC79" s="138">
        <v>2258</v>
      </c>
      <c r="BD79" s="138">
        <v>61111</v>
      </c>
      <c r="BE79" s="138"/>
      <c r="BF79" s="138"/>
      <c r="BG79" s="138"/>
      <c r="BH79" s="138">
        <v>26434</v>
      </c>
      <c r="BI79" s="137">
        <f t="shared" si="125"/>
        <v>2258</v>
      </c>
      <c r="BJ79" s="100">
        <v>21</v>
      </c>
      <c r="BK79" s="134">
        <f t="shared" si="126"/>
        <v>70470</v>
      </c>
      <c r="BL79" s="134">
        <f t="shared" si="127"/>
        <v>3355.7142857142858</v>
      </c>
      <c r="BM79" s="135">
        <v>2520</v>
      </c>
      <c r="BN79" s="135">
        <v>67950</v>
      </c>
      <c r="BO79" s="135"/>
      <c r="BP79" s="135"/>
      <c r="BQ79" s="135"/>
      <c r="BR79" s="135">
        <v>32196</v>
      </c>
      <c r="BS79" s="339">
        <f t="shared" si="128"/>
        <v>2520</v>
      </c>
    </row>
    <row r="80" spans="1:71" s="101" customFormat="1" ht="15.95" customHeight="1">
      <c r="A80" s="99"/>
      <c r="B80" s="100"/>
      <c r="C80" s="178">
        <f t="shared" si="129"/>
        <v>0</v>
      </c>
      <c r="D80" s="178">
        <f t="shared" si="109"/>
        <v>0</v>
      </c>
      <c r="E80" s="135"/>
      <c r="F80" s="135"/>
      <c r="G80" s="135"/>
      <c r="H80" s="135"/>
      <c r="I80" s="135"/>
      <c r="J80" s="135"/>
      <c r="K80" s="339">
        <f t="shared" si="110"/>
        <v>0</v>
      </c>
      <c r="L80" s="100"/>
      <c r="M80" s="178">
        <f t="shared" si="130"/>
        <v>0</v>
      </c>
      <c r="N80" s="178">
        <f t="shared" si="112"/>
        <v>0</v>
      </c>
      <c r="O80" s="135"/>
      <c r="P80" s="135"/>
      <c r="Q80" s="135"/>
      <c r="R80" s="135"/>
      <c r="S80" s="135"/>
      <c r="T80" s="135"/>
      <c r="U80" s="339">
        <f t="shared" si="113"/>
        <v>0</v>
      </c>
      <c r="V80" s="100"/>
      <c r="W80" s="178">
        <f t="shared" si="131"/>
        <v>0</v>
      </c>
      <c r="X80" s="178">
        <f t="shared" si="115"/>
        <v>0</v>
      </c>
      <c r="Y80" s="135"/>
      <c r="Z80" s="135"/>
      <c r="AA80" s="135"/>
      <c r="AB80" s="135"/>
      <c r="AC80" s="135"/>
      <c r="AD80" s="135"/>
      <c r="AE80" s="339">
        <f t="shared" si="116"/>
        <v>0</v>
      </c>
      <c r="AF80" s="100"/>
      <c r="AG80" s="178">
        <f t="shared" si="132"/>
        <v>0</v>
      </c>
      <c r="AH80" s="178">
        <f t="shared" si="118"/>
        <v>0</v>
      </c>
      <c r="AI80" s="135"/>
      <c r="AJ80" s="135"/>
      <c r="AK80" s="135"/>
      <c r="AL80" s="135"/>
      <c r="AM80" s="135"/>
      <c r="AN80" s="135"/>
      <c r="AO80" s="339">
        <f t="shared" si="119"/>
        <v>0</v>
      </c>
      <c r="AP80" s="100"/>
      <c r="AQ80" s="178">
        <f t="shared" si="133"/>
        <v>0</v>
      </c>
      <c r="AR80" s="178">
        <f t="shared" si="121"/>
        <v>0</v>
      </c>
      <c r="AS80" s="135"/>
      <c r="AT80" s="135"/>
      <c r="AU80" s="135"/>
      <c r="AV80" s="135"/>
      <c r="AW80" s="135"/>
      <c r="AX80" s="135"/>
      <c r="AY80" s="339">
        <f t="shared" si="122"/>
        <v>0</v>
      </c>
      <c r="AZ80" s="100"/>
      <c r="BA80" s="178">
        <f t="shared" si="123"/>
        <v>0</v>
      </c>
      <c r="BB80" s="178">
        <f t="shared" si="124"/>
        <v>0</v>
      </c>
      <c r="BC80" s="135"/>
      <c r="BD80" s="135"/>
      <c r="BE80" s="135"/>
      <c r="BF80" s="135"/>
      <c r="BG80" s="135"/>
      <c r="BH80" s="135"/>
      <c r="BI80" s="339">
        <f t="shared" si="125"/>
        <v>0</v>
      </c>
      <c r="BJ80" s="100"/>
      <c r="BK80" s="178">
        <f t="shared" si="126"/>
        <v>0</v>
      </c>
      <c r="BL80" s="178">
        <f t="shared" si="127"/>
        <v>0</v>
      </c>
      <c r="BM80" s="135"/>
      <c r="BN80" s="135"/>
      <c r="BO80" s="135"/>
      <c r="BP80" s="135"/>
      <c r="BQ80" s="135"/>
      <c r="BR80" s="135"/>
      <c r="BS80" s="339">
        <f t="shared" si="128"/>
        <v>0</v>
      </c>
    </row>
    <row r="81" spans="1:71" s="101" customFormat="1" ht="15.95" customHeight="1">
      <c r="A81" s="99"/>
      <c r="B81" s="100"/>
      <c r="C81" s="178">
        <f t="shared" ref="C81:C82" si="134">SUM(E81:I81)</f>
        <v>0</v>
      </c>
      <c r="D81" s="178">
        <f t="shared" si="109"/>
        <v>0</v>
      </c>
      <c r="E81" s="135"/>
      <c r="F81" s="135"/>
      <c r="G81" s="135"/>
      <c r="H81" s="135"/>
      <c r="I81" s="135"/>
      <c r="J81" s="135"/>
      <c r="K81" s="339">
        <f t="shared" si="110"/>
        <v>0</v>
      </c>
      <c r="L81" s="100"/>
      <c r="M81" s="178">
        <f t="shared" si="111"/>
        <v>0</v>
      </c>
      <c r="N81" s="178">
        <f t="shared" si="112"/>
        <v>0</v>
      </c>
      <c r="O81" s="135"/>
      <c r="P81" s="135"/>
      <c r="Q81" s="135"/>
      <c r="R81" s="135"/>
      <c r="S81" s="135"/>
      <c r="T81" s="135"/>
      <c r="U81" s="339">
        <f t="shared" si="113"/>
        <v>0</v>
      </c>
      <c r="V81" s="100"/>
      <c r="W81" s="178">
        <f t="shared" si="114"/>
        <v>0</v>
      </c>
      <c r="X81" s="178">
        <f t="shared" si="115"/>
        <v>0</v>
      </c>
      <c r="Y81" s="135"/>
      <c r="Z81" s="135"/>
      <c r="AA81" s="135"/>
      <c r="AB81" s="135"/>
      <c r="AC81" s="135"/>
      <c r="AD81" s="135"/>
      <c r="AE81" s="339">
        <f t="shared" si="116"/>
        <v>0</v>
      </c>
      <c r="AF81" s="100"/>
      <c r="AG81" s="178">
        <f t="shared" si="117"/>
        <v>0</v>
      </c>
      <c r="AH81" s="178">
        <f t="shared" si="118"/>
        <v>0</v>
      </c>
      <c r="AI81" s="135"/>
      <c r="AJ81" s="135"/>
      <c r="AK81" s="135"/>
      <c r="AL81" s="135"/>
      <c r="AM81" s="135"/>
      <c r="AN81" s="135"/>
      <c r="AO81" s="339">
        <f t="shared" si="119"/>
        <v>0</v>
      </c>
      <c r="AP81" s="100"/>
      <c r="AQ81" s="178">
        <f t="shared" si="120"/>
        <v>0</v>
      </c>
      <c r="AR81" s="178">
        <f t="shared" si="121"/>
        <v>0</v>
      </c>
      <c r="AS81" s="135"/>
      <c r="AT81" s="135"/>
      <c r="AU81" s="135"/>
      <c r="AV81" s="135"/>
      <c r="AW81" s="135"/>
      <c r="AX81" s="135"/>
      <c r="AY81" s="339">
        <f t="shared" si="122"/>
        <v>0</v>
      </c>
      <c r="AZ81" s="100"/>
      <c r="BA81" s="178">
        <f t="shared" si="123"/>
        <v>0</v>
      </c>
      <c r="BB81" s="178">
        <f t="shared" si="124"/>
        <v>0</v>
      </c>
      <c r="BC81" s="135"/>
      <c r="BD81" s="135"/>
      <c r="BE81" s="135"/>
      <c r="BF81" s="135"/>
      <c r="BG81" s="135"/>
      <c r="BH81" s="135"/>
      <c r="BI81" s="339">
        <f t="shared" si="125"/>
        <v>0</v>
      </c>
      <c r="BJ81" s="100"/>
      <c r="BK81" s="178">
        <f t="shared" si="126"/>
        <v>0</v>
      </c>
      <c r="BL81" s="178">
        <f t="shared" si="127"/>
        <v>0</v>
      </c>
      <c r="BM81" s="135"/>
      <c r="BN81" s="135"/>
      <c r="BO81" s="135"/>
      <c r="BP81" s="135"/>
      <c r="BQ81" s="135"/>
      <c r="BR81" s="135"/>
      <c r="BS81" s="339">
        <f t="shared" si="128"/>
        <v>0</v>
      </c>
    </row>
    <row r="82" spans="1:71" s="101" customFormat="1" ht="15.95" customHeight="1">
      <c r="A82" s="99"/>
      <c r="B82" s="100"/>
      <c r="C82" s="178">
        <f t="shared" si="134"/>
        <v>0</v>
      </c>
      <c r="D82" s="178">
        <f t="shared" si="109"/>
        <v>0</v>
      </c>
      <c r="E82" s="135"/>
      <c r="F82" s="135"/>
      <c r="G82" s="135"/>
      <c r="H82" s="135"/>
      <c r="I82" s="135"/>
      <c r="J82" s="135"/>
      <c r="K82" s="339">
        <f t="shared" si="110"/>
        <v>0</v>
      </c>
      <c r="L82" s="100"/>
      <c r="M82" s="178">
        <f t="shared" si="111"/>
        <v>0</v>
      </c>
      <c r="N82" s="178">
        <f t="shared" si="112"/>
        <v>0</v>
      </c>
      <c r="O82" s="135"/>
      <c r="P82" s="135"/>
      <c r="Q82" s="135"/>
      <c r="R82" s="135"/>
      <c r="S82" s="135"/>
      <c r="T82" s="135"/>
      <c r="U82" s="339">
        <f t="shared" si="113"/>
        <v>0</v>
      </c>
      <c r="V82" s="100"/>
      <c r="W82" s="178">
        <f t="shared" si="114"/>
        <v>0</v>
      </c>
      <c r="X82" s="178">
        <f t="shared" si="115"/>
        <v>0</v>
      </c>
      <c r="Y82" s="135"/>
      <c r="Z82" s="135"/>
      <c r="AA82" s="135"/>
      <c r="AB82" s="135"/>
      <c r="AC82" s="135"/>
      <c r="AD82" s="135"/>
      <c r="AE82" s="339">
        <f t="shared" si="116"/>
        <v>0</v>
      </c>
      <c r="AF82" s="100"/>
      <c r="AG82" s="178">
        <f t="shared" si="117"/>
        <v>0</v>
      </c>
      <c r="AH82" s="178">
        <f t="shared" si="118"/>
        <v>0</v>
      </c>
      <c r="AI82" s="135"/>
      <c r="AJ82" s="135"/>
      <c r="AK82" s="135"/>
      <c r="AL82" s="135"/>
      <c r="AM82" s="135"/>
      <c r="AN82" s="135"/>
      <c r="AO82" s="339">
        <f t="shared" si="119"/>
        <v>0</v>
      </c>
      <c r="AP82" s="100"/>
      <c r="AQ82" s="178">
        <f t="shared" si="120"/>
        <v>0</v>
      </c>
      <c r="AR82" s="178">
        <f t="shared" si="121"/>
        <v>0</v>
      </c>
      <c r="AS82" s="135"/>
      <c r="AT82" s="135"/>
      <c r="AU82" s="135"/>
      <c r="AV82" s="135"/>
      <c r="AW82" s="135"/>
      <c r="AX82" s="135"/>
      <c r="AY82" s="339">
        <f t="shared" si="122"/>
        <v>0</v>
      </c>
      <c r="AZ82" s="100"/>
      <c r="BA82" s="178">
        <f t="shared" si="123"/>
        <v>0</v>
      </c>
      <c r="BB82" s="178">
        <f t="shared" si="124"/>
        <v>0</v>
      </c>
      <c r="BC82" s="135"/>
      <c r="BD82" s="135"/>
      <c r="BE82" s="135"/>
      <c r="BF82" s="135"/>
      <c r="BG82" s="135"/>
      <c r="BH82" s="135"/>
      <c r="BI82" s="339">
        <f t="shared" si="125"/>
        <v>0</v>
      </c>
      <c r="BJ82" s="100"/>
      <c r="BK82" s="178">
        <f t="shared" si="126"/>
        <v>0</v>
      </c>
      <c r="BL82" s="178">
        <f t="shared" si="127"/>
        <v>0</v>
      </c>
      <c r="BM82" s="135"/>
      <c r="BN82" s="135"/>
      <c r="BO82" s="135"/>
      <c r="BP82" s="135"/>
      <c r="BQ82" s="135"/>
      <c r="BR82" s="135"/>
      <c r="BS82" s="339">
        <f t="shared" si="128"/>
        <v>0</v>
      </c>
    </row>
    <row r="83" spans="1:71" s="101" customFormat="1" ht="15.95" customHeight="1">
      <c r="A83" s="99"/>
      <c r="B83" s="100"/>
      <c r="C83" s="178">
        <f t="shared" ref="C83" si="135">SUM(E83:I83)</f>
        <v>0</v>
      </c>
      <c r="D83" s="178">
        <f t="shared" si="109"/>
        <v>0</v>
      </c>
      <c r="E83" s="135"/>
      <c r="F83" s="135"/>
      <c r="G83" s="135"/>
      <c r="H83" s="135"/>
      <c r="I83" s="135"/>
      <c r="J83" s="135"/>
      <c r="K83" s="339">
        <f t="shared" si="110"/>
        <v>0</v>
      </c>
      <c r="L83" s="100"/>
      <c r="M83" s="178">
        <f>SUM(O83:S83)</f>
        <v>0</v>
      </c>
      <c r="N83" s="178">
        <f t="shared" si="112"/>
        <v>0</v>
      </c>
      <c r="O83" s="135"/>
      <c r="P83" s="135"/>
      <c r="Q83" s="135"/>
      <c r="R83" s="135"/>
      <c r="S83" s="135"/>
      <c r="T83" s="135"/>
      <c r="U83" s="339">
        <f t="shared" si="113"/>
        <v>0</v>
      </c>
      <c r="V83" s="100"/>
      <c r="W83" s="178">
        <f t="shared" si="114"/>
        <v>0</v>
      </c>
      <c r="X83" s="178">
        <f t="shared" si="115"/>
        <v>0</v>
      </c>
      <c r="Y83" s="135"/>
      <c r="Z83" s="135"/>
      <c r="AA83" s="135"/>
      <c r="AB83" s="135"/>
      <c r="AC83" s="135"/>
      <c r="AD83" s="135"/>
      <c r="AE83" s="339">
        <f t="shared" si="116"/>
        <v>0</v>
      </c>
      <c r="AF83" s="100"/>
      <c r="AG83" s="178">
        <f t="shared" si="117"/>
        <v>0</v>
      </c>
      <c r="AH83" s="178">
        <f t="shared" si="118"/>
        <v>0</v>
      </c>
      <c r="AI83" s="135"/>
      <c r="AJ83" s="135"/>
      <c r="AK83" s="135"/>
      <c r="AL83" s="135"/>
      <c r="AM83" s="135"/>
      <c r="AN83" s="135"/>
      <c r="AO83" s="339">
        <f t="shared" si="119"/>
        <v>0</v>
      </c>
      <c r="AP83" s="100"/>
      <c r="AQ83" s="178">
        <f t="shared" si="120"/>
        <v>0</v>
      </c>
      <c r="AR83" s="178">
        <f t="shared" si="121"/>
        <v>0</v>
      </c>
      <c r="AS83" s="135"/>
      <c r="AT83" s="135"/>
      <c r="AU83" s="135"/>
      <c r="AV83" s="135"/>
      <c r="AW83" s="135"/>
      <c r="AX83" s="135"/>
      <c r="AY83" s="339">
        <f t="shared" si="122"/>
        <v>0</v>
      </c>
      <c r="AZ83" s="100"/>
      <c r="BA83" s="178">
        <f t="shared" si="123"/>
        <v>0</v>
      </c>
      <c r="BB83" s="178">
        <f t="shared" si="124"/>
        <v>0</v>
      </c>
      <c r="BC83" s="135"/>
      <c r="BD83" s="135"/>
      <c r="BE83" s="135"/>
      <c r="BF83" s="135"/>
      <c r="BG83" s="135"/>
      <c r="BH83" s="135"/>
      <c r="BI83" s="339">
        <f t="shared" si="125"/>
        <v>0</v>
      </c>
      <c r="BJ83" s="100"/>
      <c r="BK83" s="178">
        <f t="shared" si="126"/>
        <v>0</v>
      </c>
      <c r="BL83" s="178">
        <f t="shared" si="127"/>
        <v>0</v>
      </c>
      <c r="BM83" s="135"/>
      <c r="BN83" s="135"/>
      <c r="BO83" s="135"/>
      <c r="BP83" s="135"/>
      <c r="BQ83" s="135"/>
      <c r="BR83" s="135"/>
      <c r="BS83" s="339">
        <f t="shared" si="128"/>
        <v>0</v>
      </c>
    </row>
    <row r="84" spans="1:71" ht="15.95" customHeight="1">
      <c r="A84" s="215" t="s">
        <v>122</v>
      </c>
      <c r="B84" s="105"/>
      <c r="C84" s="134"/>
      <c r="D84" s="134"/>
      <c r="E84" s="138"/>
      <c r="F84" s="138"/>
      <c r="G84" s="138"/>
      <c r="H84" s="138"/>
      <c r="I84" s="138"/>
      <c r="J84" s="138"/>
      <c r="K84" s="137"/>
      <c r="L84" s="93"/>
      <c r="M84" s="131"/>
      <c r="N84" s="134"/>
      <c r="O84" s="138"/>
      <c r="P84" s="138"/>
      <c r="Q84" s="138"/>
      <c r="R84" s="138"/>
      <c r="S84" s="138"/>
      <c r="T84" s="138"/>
      <c r="U84" s="137"/>
      <c r="V84" s="105"/>
      <c r="W84" s="134"/>
      <c r="X84" s="134"/>
      <c r="Y84" s="138"/>
      <c r="Z84" s="138"/>
      <c r="AA84" s="138"/>
      <c r="AB84" s="138"/>
      <c r="AC84" s="138"/>
      <c r="AD84" s="138"/>
      <c r="AE84" s="137"/>
      <c r="AF84" s="105"/>
      <c r="AG84" s="134"/>
      <c r="AH84" s="134"/>
      <c r="AI84" s="138"/>
      <c r="AJ84" s="138"/>
      <c r="AK84" s="138"/>
      <c r="AL84" s="138"/>
      <c r="AM84" s="138"/>
      <c r="AN84" s="138"/>
      <c r="AO84" s="137"/>
      <c r="AP84" s="105"/>
      <c r="AQ84" s="134"/>
      <c r="AR84" s="134"/>
      <c r="AS84" s="138"/>
      <c r="AT84" s="138"/>
      <c r="AU84" s="138"/>
      <c r="AV84" s="138"/>
      <c r="AW84" s="138"/>
      <c r="AX84" s="138"/>
      <c r="AY84" s="137"/>
      <c r="AZ84" s="105"/>
      <c r="BA84" s="134"/>
      <c r="BB84" s="134"/>
      <c r="BC84" s="138"/>
      <c r="BD84" s="138"/>
      <c r="BE84" s="138"/>
      <c r="BF84" s="138"/>
      <c r="BG84" s="138"/>
      <c r="BH84" s="138"/>
      <c r="BI84" s="137"/>
      <c r="BJ84" s="105"/>
      <c r="BK84" s="134"/>
      <c r="BL84" s="134"/>
      <c r="BM84" s="138"/>
      <c r="BN84" s="138"/>
      <c r="BO84" s="138"/>
      <c r="BP84" s="138"/>
      <c r="BQ84" s="138"/>
      <c r="BR84" s="138"/>
      <c r="BS84" s="137"/>
    </row>
    <row r="85" spans="1:71" s="104" customFormat="1" ht="15.95" customHeight="1">
      <c r="A85" s="102" t="s">
        <v>48</v>
      </c>
      <c r="B85" s="103">
        <f>SUM(B$75:B84)</f>
        <v>205</v>
      </c>
      <c r="C85" s="134">
        <f>SUM(C$75:C84)</f>
        <v>574240</v>
      </c>
      <c r="D85" s="134">
        <f>IFERROR(C85/B85,0)</f>
        <v>2801.1707317073169</v>
      </c>
      <c r="E85" s="136">
        <f>SUM(E$75:E84)</f>
        <v>574240</v>
      </c>
      <c r="F85" s="136">
        <f>SUM(F$75:F84)</f>
        <v>0</v>
      </c>
      <c r="G85" s="136">
        <f>SUM(G$75:G84)</f>
        <v>0</v>
      </c>
      <c r="H85" s="136">
        <f>SUM(H$75:H84)</f>
        <v>0</v>
      </c>
      <c r="I85" s="136">
        <f>SUM(I$75:I84)</f>
        <v>0</v>
      </c>
      <c r="J85" s="136">
        <f>SUM(J$75:J84)</f>
        <v>211931</v>
      </c>
      <c r="K85" s="137">
        <f>SUM(K$75:K84)</f>
        <v>211931</v>
      </c>
      <c r="L85" s="103">
        <f>SUM(L$75:L84)</f>
        <v>207</v>
      </c>
      <c r="M85" s="134">
        <f>SUM(M$75:M84)</f>
        <v>737230</v>
      </c>
      <c r="N85" s="134">
        <f>IFERROR(M85/L85,0)</f>
        <v>3561.4975845410627</v>
      </c>
      <c r="O85" s="136">
        <f>SUM(O$75:O84)</f>
        <v>578884</v>
      </c>
      <c r="P85" s="136">
        <f>SUM(P$75:P84)</f>
        <v>158346</v>
      </c>
      <c r="Q85" s="136">
        <f>SUM(Q$75:Q84)</f>
        <v>0</v>
      </c>
      <c r="R85" s="136">
        <f>SUM(R$75:R84)</f>
        <v>0</v>
      </c>
      <c r="S85" s="136">
        <f>SUM(S$75:S84)</f>
        <v>0</v>
      </c>
      <c r="T85" s="136">
        <f>SUM(T$75:T84)</f>
        <v>141352</v>
      </c>
      <c r="U85" s="137">
        <f>SUM(U$75:U84)</f>
        <v>141352</v>
      </c>
      <c r="V85" s="103">
        <f>SUM(V$75:V84)</f>
        <v>193</v>
      </c>
      <c r="W85" s="134">
        <f>SUM(W$75:W84)</f>
        <v>751604</v>
      </c>
      <c r="X85" s="134">
        <f>IFERROR(W85/V85,0)</f>
        <v>3894.3212435233158</v>
      </c>
      <c r="Y85" s="136">
        <f>SUM(Y$75:Y84)</f>
        <v>605855</v>
      </c>
      <c r="Z85" s="136">
        <f>SUM(Z$75:Z84)</f>
        <v>145749</v>
      </c>
      <c r="AA85" s="136">
        <f>SUM(AA$75:AA84)</f>
        <v>0</v>
      </c>
      <c r="AB85" s="136">
        <f>SUM(AB$75:AB84)</f>
        <v>0</v>
      </c>
      <c r="AC85" s="136">
        <f>SUM(AC$75:AC84)</f>
        <v>0</v>
      </c>
      <c r="AD85" s="136">
        <f>SUM(AD$75:AD84)</f>
        <v>159995</v>
      </c>
      <c r="AE85" s="137">
        <f>SUM(AE$75:AE84)</f>
        <v>159995</v>
      </c>
      <c r="AF85" s="103">
        <f>SUM(AF$75:AF84)</f>
        <v>211</v>
      </c>
      <c r="AG85" s="134">
        <f>SUM(AG$75:AG84)</f>
        <v>775565</v>
      </c>
      <c r="AH85" s="134">
        <f>IFERROR(AG85/AF85,0)</f>
        <v>3675.6635071090045</v>
      </c>
      <c r="AI85" s="136">
        <f>SUM(AI$75:AI84)</f>
        <v>620790</v>
      </c>
      <c r="AJ85" s="136">
        <f>SUM(AJ$75:AJ84)</f>
        <v>145275</v>
      </c>
      <c r="AK85" s="136">
        <f>SUM(AK$75:AK84)</f>
        <v>0</v>
      </c>
      <c r="AL85" s="136">
        <f>SUM(AL$75:AL84)</f>
        <v>0</v>
      </c>
      <c r="AM85" s="136">
        <f>SUM(AM$75:AM84)</f>
        <v>9500</v>
      </c>
      <c r="AN85" s="136">
        <f>SUM(AN$75:AN84)</f>
        <v>161346</v>
      </c>
      <c r="AO85" s="137">
        <f>SUM(AO$75:AO84)</f>
        <v>151846</v>
      </c>
      <c r="AP85" s="103">
        <f>SUM(AP$75:AP84)</f>
        <v>209</v>
      </c>
      <c r="AQ85" s="134">
        <f>SUM(AQ$75:AQ84)</f>
        <v>834467</v>
      </c>
      <c r="AR85" s="134">
        <f>IFERROR(AQ85/AP85,0)</f>
        <v>3992.6650717703351</v>
      </c>
      <c r="AS85" s="136">
        <f>SUM(AS$75:AS84)</f>
        <v>659669</v>
      </c>
      <c r="AT85" s="136">
        <f>SUM(AT$75:AT84)</f>
        <v>145920</v>
      </c>
      <c r="AU85" s="136">
        <f>SUM(AU$75:AU84)</f>
        <v>0</v>
      </c>
      <c r="AV85" s="136">
        <f>SUM(AV$75:AV84)</f>
        <v>0</v>
      </c>
      <c r="AW85" s="136">
        <f>SUM(AW$75:AW84)</f>
        <v>28878</v>
      </c>
      <c r="AX85" s="136">
        <f>SUM(AX$75:AX84)</f>
        <v>176484</v>
      </c>
      <c r="AY85" s="137">
        <f>SUM(AY$75:AY84)</f>
        <v>168884</v>
      </c>
      <c r="AZ85" s="103">
        <f>SUM(AZ$75:AZ84)</f>
        <v>237</v>
      </c>
      <c r="BA85" s="134">
        <f>SUM(BA$75:BA84)</f>
        <v>966210</v>
      </c>
      <c r="BB85" s="134">
        <f>IFERROR(BA85/AZ85,0)</f>
        <v>4076.8354430379745</v>
      </c>
      <c r="BC85" s="136">
        <f>SUM(BC$75:BC84)</f>
        <v>656212</v>
      </c>
      <c r="BD85" s="136">
        <f>SUM(BD$75:BD84)</f>
        <v>223136</v>
      </c>
      <c r="BE85" s="136">
        <f>SUM(BE$75:BE84)</f>
        <v>0</v>
      </c>
      <c r="BF85" s="136">
        <f>SUM(BF$75:BF84)</f>
        <v>0</v>
      </c>
      <c r="BG85" s="136">
        <f>SUM(BG$75:BG84)</f>
        <v>86862</v>
      </c>
      <c r="BH85" s="136">
        <f>SUM(BH$75:BH84)</f>
        <v>184962</v>
      </c>
      <c r="BI85" s="137">
        <f>SUM(BI$75:BI84)</f>
        <v>149186</v>
      </c>
      <c r="BJ85" s="103">
        <f>SUM(BJ$75:BJ84)</f>
        <v>219</v>
      </c>
      <c r="BK85" s="134">
        <f>SUM(BK$75:BK84)</f>
        <v>920357</v>
      </c>
      <c r="BL85" s="134">
        <f>IFERROR(BK85/BJ85,0)</f>
        <v>4202.5433789954341</v>
      </c>
      <c r="BM85" s="136">
        <f>SUM(BM$75:BM84)</f>
        <v>627892</v>
      </c>
      <c r="BN85" s="136">
        <f>SUM(BN$75:BN84)</f>
        <v>228750</v>
      </c>
      <c r="BO85" s="136">
        <f>SUM(BO$75:BO84)</f>
        <v>0</v>
      </c>
      <c r="BP85" s="136">
        <f>SUM(BP$75:BP84)</f>
        <v>0</v>
      </c>
      <c r="BQ85" s="136">
        <f>SUM(BQ$75:BQ84)</f>
        <v>63715</v>
      </c>
      <c r="BR85" s="136">
        <f>SUM(BR$75:BR84)</f>
        <v>170554</v>
      </c>
      <c r="BS85" s="137">
        <f>SUM(BS$75:BS84)</f>
        <v>134133</v>
      </c>
    </row>
    <row r="86" spans="1:71" s="104" customFormat="1" ht="15.95" customHeight="1">
      <c r="A86" s="97"/>
      <c r="B86" s="105"/>
      <c r="C86" s="134"/>
      <c r="D86" s="134"/>
      <c r="E86" s="138"/>
      <c r="F86" s="138"/>
      <c r="G86" s="138"/>
      <c r="H86" s="138"/>
      <c r="I86" s="138"/>
      <c r="J86" s="138"/>
      <c r="K86" s="137"/>
      <c r="L86" s="105"/>
      <c r="M86" s="134"/>
      <c r="N86" s="134"/>
      <c r="O86" s="138"/>
      <c r="P86" s="138"/>
      <c r="Q86" s="138"/>
      <c r="R86" s="138"/>
      <c r="S86" s="138"/>
      <c r="T86" s="138"/>
      <c r="U86" s="137"/>
      <c r="V86" s="105"/>
      <c r="W86" s="134"/>
      <c r="X86" s="134"/>
      <c r="Y86" s="138"/>
      <c r="Z86" s="138"/>
      <c r="AA86" s="138"/>
      <c r="AB86" s="138"/>
      <c r="AC86" s="138"/>
      <c r="AD86" s="138"/>
      <c r="AE86" s="137"/>
      <c r="AF86" s="105"/>
      <c r="AG86" s="134"/>
      <c r="AH86" s="134"/>
      <c r="AI86" s="138"/>
      <c r="AJ86" s="138"/>
      <c r="AK86" s="138"/>
      <c r="AL86" s="138"/>
      <c r="AM86" s="138"/>
      <c r="AN86" s="138"/>
      <c r="AO86" s="137"/>
      <c r="AP86" s="105"/>
      <c r="AQ86" s="134"/>
      <c r="AR86" s="134"/>
      <c r="AS86" s="138"/>
      <c r="AT86" s="138"/>
      <c r="AU86" s="138"/>
      <c r="AV86" s="138"/>
      <c r="AW86" s="138"/>
      <c r="AX86" s="138"/>
      <c r="AY86" s="137"/>
      <c r="AZ86" s="105"/>
      <c r="BA86" s="134"/>
      <c r="BB86" s="134"/>
      <c r="BC86" s="138"/>
      <c r="BD86" s="138"/>
      <c r="BE86" s="138"/>
      <c r="BF86" s="138"/>
      <c r="BG86" s="138"/>
      <c r="BH86" s="138"/>
      <c r="BI86" s="137"/>
      <c r="BJ86" s="105"/>
      <c r="BK86" s="134"/>
      <c r="BL86" s="134"/>
      <c r="BM86" s="138"/>
      <c r="BN86" s="138"/>
      <c r="BO86" s="138"/>
      <c r="BP86" s="138"/>
      <c r="BQ86" s="138"/>
      <c r="BR86" s="138"/>
      <c r="BS86" s="137"/>
    </row>
    <row r="87" spans="1:71" s="104" customFormat="1" ht="15.95" customHeight="1">
      <c r="A87" s="102" t="s">
        <v>60</v>
      </c>
      <c r="B87" s="103">
        <f>SUM(B85,B73)</f>
        <v>235</v>
      </c>
      <c r="C87" s="134">
        <f>SUM(C85,C73)</f>
        <v>604984</v>
      </c>
      <c r="D87" s="134">
        <f>IFERROR(C87/B87,0)</f>
        <v>2574.4</v>
      </c>
      <c r="E87" s="136">
        <f t="shared" ref="E87:M87" si="136">SUM(E85,E73)</f>
        <v>574240</v>
      </c>
      <c r="F87" s="136">
        <f t="shared" si="136"/>
        <v>0</v>
      </c>
      <c r="G87" s="136">
        <f t="shared" si="136"/>
        <v>0</v>
      </c>
      <c r="H87" s="136">
        <f t="shared" si="136"/>
        <v>30744</v>
      </c>
      <c r="I87" s="136">
        <f t="shared" si="136"/>
        <v>0</v>
      </c>
      <c r="J87" s="136">
        <f t="shared" si="136"/>
        <v>230120</v>
      </c>
      <c r="K87" s="137">
        <f t="shared" si="136"/>
        <v>211931</v>
      </c>
      <c r="L87" s="103">
        <f t="shared" si="136"/>
        <v>243</v>
      </c>
      <c r="M87" s="134">
        <f t="shared" si="136"/>
        <v>773856</v>
      </c>
      <c r="N87" s="134">
        <f>IFERROR(M87/L87,0)</f>
        <v>3184.5925925925926</v>
      </c>
      <c r="O87" s="136">
        <f t="shared" ref="O87:W87" si="137">SUM(O85,O73)</f>
        <v>578884</v>
      </c>
      <c r="P87" s="136">
        <f t="shared" si="137"/>
        <v>158346</v>
      </c>
      <c r="Q87" s="136">
        <f t="shared" si="137"/>
        <v>0</v>
      </c>
      <c r="R87" s="136">
        <f t="shared" si="137"/>
        <v>36626</v>
      </c>
      <c r="S87" s="136">
        <f t="shared" si="137"/>
        <v>0</v>
      </c>
      <c r="T87" s="136">
        <f t="shared" si="137"/>
        <v>168846</v>
      </c>
      <c r="U87" s="137">
        <f t="shared" si="137"/>
        <v>141352</v>
      </c>
      <c r="V87" s="103">
        <f t="shared" si="137"/>
        <v>232</v>
      </c>
      <c r="W87" s="134">
        <f t="shared" si="137"/>
        <v>790427.45</v>
      </c>
      <c r="X87" s="134">
        <f>IFERROR(W87/V87,0)</f>
        <v>3407.0148706896548</v>
      </c>
      <c r="Y87" s="136">
        <f t="shared" ref="Y87:AG87" si="138">SUM(Y85,Y73)</f>
        <v>605855</v>
      </c>
      <c r="Z87" s="136">
        <f t="shared" si="138"/>
        <v>145749</v>
      </c>
      <c r="AA87" s="136">
        <f t="shared" si="138"/>
        <v>0</v>
      </c>
      <c r="AB87" s="136">
        <f t="shared" si="138"/>
        <v>38823.449999999997</v>
      </c>
      <c r="AC87" s="136">
        <f t="shared" si="138"/>
        <v>0</v>
      </c>
      <c r="AD87" s="136">
        <f t="shared" si="138"/>
        <v>184199.45</v>
      </c>
      <c r="AE87" s="137">
        <f t="shared" si="138"/>
        <v>159995</v>
      </c>
      <c r="AF87" s="103">
        <f t="shared" si="138"/>
        <v>247</v>
      </c>
      <c r="AG87" s="134">
        <f t="shared" si="138"/>
        <v>819053</v>
      </c>
      <c r="AH87" s="134">
        <f>IFERROR(AG87/AF87,0)</f>
        <v>3316.0040485829959</v>
      </c>
      <c r="AI87" s="136">
        <f t="shared" ref="AI87:AQ87" si="139">SUM(AI85,AI73)</f>
        <v>620790</v>
      </c>
      <c r="AJ87" s="136">
        <f t="shared" si="139"/>
        <v>156147</v>
      </c>
      <c r="AK87" s="136">
        <f t="shared" si="139"/>
        <v>0</v>
      </c>
      <c r="AL87" s="136">
        <f t="shared" si="139"/>
        <v>32616</v>
      </c>
      <c r="AM87" s="136">
        <f t="shared" si="139"/>
        <v>9500</v>
      </c>
      <c r="AN87" s="136">
        <f t="shared" si="139"/>
        <v>186837</v>
      </c>
      <c r="AO87" s="137">
        <f t="shared" si="139"/>
        <v>151846</v>
      </c>
      <c r="AP87" s="103">
        <f t="shared" si="139"/>
        <v>241</v>
      </c>
      <c r="AQ87" s="134">
        <f t="shared" si="139"/>
        <v>874399</v>
      </c>
      <c r="AR87" s="134">
        <f>IFERROR(AQ87/AP87,0)</f>
        <v>3628.2116182572613</v>
      </c>
      <c r="AS87" s="136">
        <f t="shared" ref="AS87:BA87" si="140">SUM(AS85,AS73)</f>
        <v>659669</v>
      </c>
      <c r="AT87" s="136">
        <f t="shared" si="140"/>
        <v>155903</v>
      </c>
      <c r="AU87" s="136">
        <f t="shared" si="140"/>
        <v>0</v>
      </c>
      <c r="AV87" s="136">
        <f t="shared" si="140"/>
        <v>29949</v>
      </c>
      <c r="AW87" s="136">
        <f t="shared" si="140"/>
        <v>28878</v>
      </c>
      <c r="AX87" s="136">
        <f t="shared" si="140"/>
        <v>205140</v>
      </c>
      <c r="AY87" s="137">
        <f t="shared" si="140"/>
        <v>168884</v>
      </c>
      <c r="AZ87" s="103">
        <f t="shared" si="140"/>
        <v>267</v>
      </c>
      <c r="BA87" s="134">
        <f t="shared" si="140"/>
        <v>1000583.45</v>
      </c>
      <c r="BB87" s="134">
        <f>IFERROR(BA87/AZ87,0)</f>
        <v>3747.5035580524341</v>
      </c>
      <c r="BC87" s="136">
        <f t="shared" ref="BC87:BK87" si="141">SUM(BC85,BC73)</f>
        <v>656212</v>
      </c>
      <c r="BD87" s="136">
        <f t="shared" si="141"/>
        <v>229380</v>
      </c>
      <c r="BE87" s="136">
        <f t="shared" si="141"/>
        <v>9398.4500000000007</v>
      </c>
      <c r="BF87" s="136">
        <f t="shared" si="141"/>
        <v>18731</v>
      </c>
      <c r="BG87" s="136">
        <f t="shared" si="141"/>
        <v>86862</v>
      </c>
      <c r="BH87" s="136">
        <f t="shared" si="141"/>
        <v>210343.05</v>
      </c>
      <c r="BI87" s="137">
        <f t="shared" si="141"/>
        <v>149186</v>
      </c>
      <c r="BJ87" s="103">
        <f t="shared" si="141"/>
        <v>247</v>
      </c>
      <c r="BK87" s="134">
        <f t="shared" si="141"/>
        <v>956999</v>
      </c>
      <c r="BL87" s="134">
        <f>IFERROR(BK87/BJ87,0)</f>
        <v>3874.4898785425103</v>
      </c>
      <c r="BM87" s="136">
        <f t="shared" ref="BM87:BS87" si="142">SUM(BM85,BM73)</f>
        <v>627892</v>
      </c>
      <c r="BN87" s="136">
        <f t="shared" si="142"/>
        <v>237911</v>
      </c>
      <c r="BO87" s="136">
        <f t="shared" si="142"/>
        <v>0</v>
      </c>
      <c r="BP87" s="136">
        <f t="shared" si="142"/>
        <v>27481</v>
      </c>
      <c r="BQ87" s="136">
        <f t="shared" si="142"/>
        <v>63715</v>
      </c>
      <c r="BR87" s="136">
        <f t="shared" si="142"/>
        <v>193351.27</v>
      </c>
      <c r="BS87" s="137">
        <f t="shared" si="142"/>
        <v>134133</v>
      </c>
    </row>
    <row r="88" spans="1:71" ht="15.95" customHeight="1">
      <c r="A88" s="97"/>
      <c r="B88" s="105"/>
      <c r="C88" s="134"/>
      <c r="D88" s="134"/>
      <c r="E88" s="138"/>
      <c r="F88" s="138"/>
      <c r="G88" s="138"/>
      <c r="H88" s="138"/>
      <c r="I88" s="138"/>
      <c r="J88" s="138"/>
      <c r="K88" s="137"/>
      <c r="L88" s="93"/>
      <c r="M88" s="131"/>
      <c r="N88" s="134"/>
      <c r="O88" s="138"/>
      <c r="P88" s="138"/>
      <c r="Q88" s="138"/>
      <c r="R88" s="138"/>
      <c r="S88" s="138"/>
      <c r="T88" s="138"/>
      <c r="U88" s="137"/>
      <c r="V88" s="105"/>
      <c r="W88" s="134"/>
      <c r="X88" s="134"/>
      <c r="Y88" s="138"/>
      <c r="Z88" s="138"/>
      <c r="AA88" s="138"/>
      <c r="AB88" s="138"/>
      <c r="AC88" s="138"/>
      <c r="AD88" s="138"/>
      <c r="AE88" s="137"/>
      <c r="AF88" s="105"/>
      <c r="AG88" s="134"/>
      <c r="AH88" s="134"/>
      <c r="AI88" s="138"/>
      <c r="AJ88" s="138"/>
      <c r="AK88" s="138"/>
      <c r="AL88" s="138"/>
      <c r="AM88" s="138"/>
      <c r="AN88" s="138"/>
      <c r="AO88" s="137"/>
      <c r="AP88" s="105"/>
      <c r="AQ88" s="134"/>
      <c r="AR88" s="134"/>
      <c r="AS88" s="138"/>
      <c r="AT88" s="138"/>
      <c r="AU88" s="138"/>
      <c r="AV88" s="138"/>
      <c r="AW88" s="138"/>
      <c r="AX88" s="138"/>
      <c r="AY88" s="137"/>
      <c r="AZ88" s="105"/>
      <c r="BA88" s="134"/>
      <c r="BB88" s="134"/>
      <c r="BC88" s="138"/>
      <c r="BD88" s="138"/>
      <c r="BE88" s="138"/>
      <c r="BF88" s="138"/>
      <c r="BG88" s="138"/>
      <c r="BH88" s="138"/>
      <c r="BI88" s="137"/>
      <c r="BJ88" s="105"/>
      <c r="BK88" s="134"/>
      <c r="BL88" s="134"/>
      <c r="BM88" s="138"/>
      <c r="BN88" s="138"/>
      <c r="BO88" s="138"/>
      <c r="BP88" s="138"/>
      <c r="BQ88" s="138"/>
      <c r="BR88" s="138"/>
      <c r="BS88" s="137"/>
    </row>
    <row r="89" spans="1:71" ht="15.95" customHeight="1">
      <c r="A89" s="94" t="s">
        <v>61</v>
      </c>
      <c r="B89" s="105"/>
      <c r="C89" s="134"/>
      <c r="D89" s="134"/>
      <c r="E89" s="138"/>
      <c r="F89" s="138"/>
      <c r="G89" s="138"/>
      <c r="H89" s="138"/>
      <c r="I89" s="138"/>
      <c r="J89" s="138"/>
      <c r="K89" s="137"/>
      <c r="L89" s="93"/>
      <c r="M89" s="131"/>
      <c r="N89" s="134"/>
      <c r="O89" s="138"/>
      <c r="P89" s="138"/>
      <c r="Q89" s="138"/>
      <c r="R89" s="138"/>
      <c r="S89" s="138"/>
      <c r="T89" s="138"/>
      <c r="U89" s="137"/>
      <c r="V89" s="105"/>
      <c r="W89" s="134"/>
      <c r="X89" s="134"/>
      <c r="Y89" s="138"/>
      <c r="Z89" s="138"/>
      <c r="AA89" s="138"/>
      <c r="AB89" s="138"/>
      <c r="AC89" s="138"/>
      <c r="AD89" s="138"/>
      <c r="AE89" s="137"/>
      <c r="AF89" s="105"/>
      <c r="AG89" s="134"/>
      <c r="AH89" s="134"/>
      <c r="AI89" s="138"/>
      <c r="AJ89" s="138"/>
      <c r="AK89" s="138"/>
      <c r="AL89" s="138"/>
      <c r="AM89" s="138"/>
      <c r="AN89" s="138"/>
      <c r="AO89" s="137"/>
      <c r="AP89" s="105"/>
      <c r="AQ89" s="134"/>
      <c r="AR89" s="134"/>
      <c r="AS89" s="138"/>
      <c r="AT89" s="138"/>
      <c r="AU89" s="138"/>
      <c r="AV89" s="138"/>
      <c r="AW89" s="138"/>
      <c r="AX89" s="138"/>
      <c r="AY89" s="137"/>
      <c r="AZ89" s="105"/>
      <c r="BA89" s="134"/>
      <c r="BB89" s="134"/>
      <c r="BC89" s="138"/>
      <c r="BD89" s="138"/>
      <c r="BE89" s="138"/>
      <c r="BF89" s="138"/>
      <c r="BG89" s="138"/>
      <c r="BH89" s="138"/>
      <c r="BI89" s="137"/>
      <c r="BJ89" s="105"/>
      <c r="BK89" s="134"/>
      <c r="BL89" s="134"/>
      <c r="BM89" s="138"/>
      <c r="BN89" s="138"/>
      <c r="BO89" s="138"/>
      <c r="BP89" s="138"/>
      <c r="BQ89" s="138"/>
      <c r="BR89" s="138"/>
      <c r="BS89" s="137"/>
    </row>
    <row r="90" spans="1:71" s="104" customFormat="1" ht="15.95" customHeight="1">
      <c r="A90" s="285" t="s">
        <v>62</v>
      </c>
      <c r="B90" s="105">
        <v>386</v>
      </c>
      <c r="C90" s="134">
        <f>SUM(E90:I90)</f>
        <v>1257964</v>
      </c>
      <c r="D90" s="134">
        <f>IFERROR(C90/B90,0)</f>
        <v>3258.9740932642485</v>
      </c>
      <c r="E90" s="138"/>
      <c r="F90" s="138"/>
      <c r="G90" s="138"/>
      <c r="H90" s="138">
        <v>1257964</v>
      </c>
      <c r="I90" s="138"/>
      <c r="J90" s="138">
        <v>988383</v>
      </c>
      <c r="K90" s="137">
        <f t="shared" ref="K90:K96" si="143">IF(J90=0,0,(IF(E90&lt;=J90,E90,J90)))</f>
        <v>0</v>
      </c>
      <c r="L90" s="105">
        <v>405</v>
      </c>
      <c r="M90" s="134">
        <f>SUM(O90:S90)</f>
        <v>1211049</v>
      </c>
      <c r="N90" s="134">
        <f>IFERROR(M90/L90,0)</f>
        <v>2990.2444444444445</v>
      </c>
      <c r="O90" s="138"/>
      <c r="P90" s="138"/>
      <c r="Q90" s="138"/>
      <c r="R90" s="138">
        <v>1211049</v>
      </c>
      <c r="S90" s="138"/>
      <c r="T90" s="138">
        <v>997004</v>
      </c>
      <c r="U90" s="137">
        <f t="shared" ref="U90:U96" si="144">IF(T90=0,0,(IF(O90&lt;=T90,O90,T90)))</f>
        <v>0</v>
      </c>
      <c r="V90" s="105">
        <v>352</v>
      </c>
      <c r="W90" s="134">
        <f>SUM(Y90:AC90)</f>
        <v>1121801</v>
      </c>
      <c r="X90" s="134">
        <f>IFERROR(W90/V90,0)</f>
        <v>3186.934659090909</v>
      </c>
      <c r="Y90" s="138"/>
      <c r="Z90" s="138"/>
      <c r="AA90" s="138"/>
      <c r="AB90" s="138">
        <v>1121801</v>
      </c>
      <c r="AC90" s="138"/>
      <c r="AD90" s="138">
        <v>910942</v>
      </c>
      <c r="AE90" s="137">
        <f t="shared" ref="AE90:AE96" si="145">IF(AD90=0,0,(IF(Y90&lt;=AD90,Y90,AD90)))</f>
        <v>0</v>
      </c>
      <c r="AF90" s="105">
        <v>324</v>
      </c>
      <c r="AG90" s="134">
        <f>SUM(AI90:AM90)</f>
        <v>1146521</v>
      </c>
      <c r="AH90" s="134">
        <f>IFERROR(AG90/AF90,0)</f>
        <v>3538.6450617283949</v>
      </c>
      <c r="AI90" s="138"/>
      <c r="AJ90" s="138"/>
      <c r="AK90" s="138"/>
      <c r="AL90" s="138">
        <v>1146521</v>
      </c>
      <c r="AM90" s="138"/>
      <c r="AN90" s="138">
        <v>901951</v>
      </c>
      <c r="AO90" s="137">
        <f t="shared" ref="AO90:AO96" si="146">IF(AN90=0,0,(IF(AI90&lt;=AN90,AI90,AN90)))</f>
        <v>0</v>
      </c>
      <c r="AP90" s="105">
        <v>321</v>
      </c>
      <c r="AQ90" s="134">
        <f>SUM(AS90:AW90)</f>
        <v>1110815</v>
      </c>
      <c r="AR90" s="134">
        <f>IFERROR(AQ90/AP90,0)</f>
        <v>3460.4828660436137</v>
      </c>
      <c r="AS90" s="138"/>
      <c r="AT90" s="138"/>
      <c r="AU90" s="138"/>
      <c r="AV90" s="138">
        <v>1110815</v>
      </c>
      <c r="AW90" s="138"/>
      <c r="AX90" s="138">
        <v>915245</v>
      </c>
      <c r="AY90" s="137">
        <f t="shared" ref="AY90:AY96" si="147">IF(AX90=0,0,(IF(AS90&lt;=AX90,AS90,AX90)))</f>
        <v>0</v>
      </c>
      <c r="AZ90" s="105">
        <v>300</v>
      </c>
      <c r="BA90" s="134">
        <f>SUM(BC90:BG90)</f>
        <v>1199223</v>
      </c>
      <c r="BB90" s="134">
        <f>IFERROR(BA90/AZ90,0)</f>
        <v>3997.41</v>
      </c>
      <c r="BC90" s="138"/>
      <c r="BD90" s="138"/>
      <c r="BE90" s="138"/>
      <c r="BF90" s="138">
        <v>1199223</v>
      </c>
      <c r="BG90" s="138"/>
      <c r="BH90" s="138">
        <v>959757</v>
      </c>
      <c r="BI90" s="137">
        <f t="shared" ref="BI90:BI96" si="148">IF(BH90=0,0,(IF(BC90&lt;=BH90,BC90,BH90)))</f>
        <v>0</v>
      </c>
      <c r="BJ90" s="100">
        <v>267</v>
      </c>
      <c r="BK90" s="134">
        <f t="shared" ref="BK90:BK96" si="149">SUM(BM90:BQ90)</f>
        <v>896739</v>
      </c>
      <c r="BL90" s="134">
        <f t="shared" ref="BL90:BL96" si="150">IFERROR(BK90/BJ90,0)</f>
        <v>3358.5730337078653</v>
      </c>
      <c r="BM90" s="135"/>
      <c r="BN90" s="135"/>
      <c r="BO90" s="135"/>
      <c r="BP90" s="135">
        <v>896739</v>
      </c>
      <c r="BQ90" s="135"/>
      <c r="BR90" s="135">
        <v>722960</v>
      </c>
      <c r="BS90" s="339">
        <f t="shared" ref="BS90:BS96" si="151">IF(BR90=0,0,(IF(BM90&lt;=BR90,BM90,BR90)))</f>
        <v>0</v>
      </c>
    </row>
    <row r="91" spans="1:71" s="104" customFormat="1" ht="15.95" customHeight="1">
      <c r="A91" s="285" t="s">
        <v>63</v>
      </c>
      <c r="B91" s="105">
        <v>8</v>
      </c>
      <c r="C91" s="134">
        <f>SUM(E91:I91)</f>
        <v>29203</v>
      </c>
      <c r="D91" s="134">
        <f>IFERROR(C91/B91,0)</f>
        <v>3650.375</v>
      </c>
      <c r="E91" s="138"/>
      <c r="F91" s="138"/>
      <c r="G91" s="138"/>
      <c r="H91" s="138">
        <v>29203</v>
      </c>
      <c r="I91" s="138"/>
      <c r="J91" s="138">
        <v>20692</v>
      </c>
      <c r="K91" s="137">
        <f t="shared" si="143"/>
        <v>0</v>
      </c>
      <c r="L91" s="105">
        <v>4</v>
      </c>
      <c r="M91" s="134">
        <f>SUM(O91:S91)</f>
        <v>11813</v>
      </c>
      <c r="N91" s="134">
        <f>IFERROR(M91/L91,0)</f>
        <v>2953.25</v>
      </c>
      <c r="O91" s="138"/>
      <c r="P91" s="138"/>
      <c r="Q91" s="138"/>
      <c r="R91" s="138">
        <v>11813</v>
      </c>
      <c r="S91" s="138"/>
      <c r="T91" s="138">
        <v>11813</v>
      </c>
      <c r="U91" s="137">
        <f t="shared" si="144"/>
        <v>0</v>
      </c>
      <c r="V91" s="105">
        <v>10</v>
      </c>
      <c r="W91" s="134">
        <f>SUM(Y91:AC91)</f>
        <v>36335</v>
      </c>
      <c r="X91" s="134">
        <f>IFERROR(W91/V91,0)</f>
        <v>3633.5</v>
      </c>
      <c r="Y91" s="138"/>
      <c r="Z91" s="138"/>
      <c r="AA91" s="138"/>
      <c r="AB91" s="138">
        <v>36335</v>
      </c>
      <c r="AC91" s="138"/>
      <c r="AD91" s="138">
        <v>20842</v>
      </c>
      <c r="AE91" s="137">
        <f t="shared" si="145"/>
        <v>0</v>
      </c>
      <c r="AF91" s="105">
        <v>6</v>
      </c>
      <c r="AG91" s="134">
        <f>SUM(AI91:AM91)</f>
        <v>24750</v>
      </c>
      <c r="AH91" s="134">
        <f>IFERROR(AG91/AF91,0)</f>
        <v>4125</v>
      </c>
      <c r="AI91" s="138"/>
      <c r="AJ91" s="138"/>
      <c r="AK91" s="138"/>
      <c r="AL91" s="138">
        <v>24750</v>
      </c>
      <c r="AM91" s="138"/>
      <c r="AN91" s="138">
        <v>20440</v>
      </c>
      <c r="AO91" s="137">
        <f t="shared" si="146"/>
        <v>0</v>
      </c>
      <c r="AP91" s="105">
        <v>8</v>
      </c>
      <c r="AQ91" s="134">
        <f>SUM(AS91:AW91)</f>
        <v>31969</v>
      </c>
      <c r="AR91" s="134">
        <f>IFERROR(AQ91/AP91,0)</f>
        <v>3996.125</v>
      </c>
      <c r="AS91" s="138"/>
      <c r="AT91" s="138"/>
      <c r="AU91" s="138"/>
      <c r="AV91" s="138">
        <v>31969</v>
      </c>
      <c r="AW91" s="138"/>
      <c r="AX91" s="138">
        <v>14944</v>
      </c>
      <c r="AY91" s="137">
        <f t="shared" si="147"/>
        <v>0</v>
      </c>
      <c r="AZ91" s="105">
        <v>5</v>
      </c>
      <c r="BA91" s="134">
        <f>SUM(BC91:BG91)</f>
        <v>10879</v>
      </c>
      <c r="BB91" s="134">
        <f>IFERROR(BA91/AZ91,0)</f>
        <v>2175.8000000000002</v>
      </c>
      <c r="BC91" s="138"/>
      <c r="BD91" s="138"/>
      <c r="BE91" s="138"/>
      <c r="BF91" s="138">
        <v>10879</v>
      </c>
      <c r="BG91" s="138"/>
      <c r="BH91" s="138">
        <v>7733</v>
      </c>
      <c r="BI91" s="137">
        <f t="shared" si="148"/>
        <v>0</v>
      </c>
      <c r="BJ91" s="100">
        <v>5</v>
      </c>
      <c r="BK91" s="134">
        <f t="shared" si="149"/>
        <v>19600</v>
      </c>
      <c r="BL91" s="134">
        <f t="shared" si="150"/>
        <v>3920</v>
      </c>
      <c r="BM91" s="135"/>
      <c r="BN91" s="135"/>
      <c r="BO91" s="135"/>
      <c r="BP91" s="135">
        <v>19600</v>
      </c>
      <c r="BQ91" s="135"/>
      <c r="BR91" s="135">
        <v>12934</v>
      </c>
      <c r="BS91" s="339">
        <f t="shared" si="151"/>
        <v>0</v>
      </c>
    </row>
    <row r="92" spans="1:71" s="104" customFormat="1" ht="15.95" customHeight="1">
      <c r="A92" s="285" t="s">
        <v>197</v>
      </c>
      <c r="B92" s="105"/>
      <c r="C92" s="134">
        <f t="shared" ref="C92:C95" si="152">SUM(E92:I92)</f>
        <v>0</v>
      </c>
      <c r="D92" s="134">
        <f t="shared" ref="D92:D95" si="153">IFERROR(C92/B92,0)</f>
        <v>0</v>
      </c>
      <c r="E92" s="138"/>
      <c r="F92" s="138"/>
      <c r="G92" s="138"/>
      <c r="H92" s="138"/>
      <c r="I92" s="138"/>
      <c r="J92" s="138"/>
      <c r="K92" s="137">
        <f t="shared" si="143"/>
        <v>0</v>
      </c>
      <c r="L92" s="105"/>
      <c r="M92" s="134">
        <f t="shared" ref="M92:M95" si="154">SUM(O92:S92)</f>
        <v>0</v>
      </c>
      <c r="N92" s="134">
        <f t="shared" ref="N92:N95" si="155">IFERROR(M92/L92,0)</f>
        <v>0</v>
      </c>
      <c r="O92" s="138"/>
      <c r="P92" s="138"/>
      <c r="Q92" s="138"/>
      <c r="R92" s="138"/>
      <c r="S92" s="138"/>
      <c r="T92" s="138"/>
      <c r="U92" s="137">
        <f t="shared" si="144"/>
        <v>0</v>
      </c>
      <c r="V92" s="105"/>
      <c r="W92" s="134">
        <f t="shared" ref="W92:W95" si="156">SUM(Y92:AC92)</f>
        <v>0</v>
      </c>
      <c r="X92" s="134">
        <f t="shared" ref="X92:X95" si="157">IFERROR(W92/V92,0)</f>
        <v>0</v>
      </c>
      <c r="Y92" s="138"/>
      <c r="Z92" s="138"/>
      <c r="AA92" s="138"/>
      <c r="AB92" s="138"/>
      <c r="AC92" s="138"/>
      <c r="AD92" s="138"/>
      <c r="AE92" s="137">
        <f t="shared" si="145"/>
        <v>0</v>
      </c>
      <c r="AF92" s="105"/>
      <c r="AG92" s="134">
        <f t="shared" ref="AG92:AG95" si="158">SUM(AI92:AM92)</f>
        <v>0</v>
      </c>
      <c r="AH92" s="134">
        <f t="shared" ref="AH92:AH95" si="159">IFERROR(AG92/AF92,0)</f>
        <v>0</v>
      </c>
      <c r="AI92" s="138"/>
      <c r="AJ92" s="138"/>
      <c r="AK92" s="138"/>
      <c r="AL92" s="138"/>
      <c r="AM92" s="138"/>
      <c r="AN92" s="138"/>
      <c r="AO92" s="137">
        <f t="shared" si="146"/>
        <v>0</v>
      </c>
      <c r="AP92" s="105"/>
      <c r="AQ92" s="134">
        <f t="shared" ref="AQ92:AQ95" si="160">SUM(AS92:AW92)</f>
        <v>0</v>
      </c>
      <c r="AR92" s="134">
        <f t="shared" ref="AR92:AR95" si="161">IFERROR(AQ92/AP92,0)</f>
        <v>0</v>
      </c>
      <c r="AS92" s="138"/>
      <c r="AT92" s="138"/>
      <c r="AU92" s="138"/>
      <c r="AV92" s="138"/>
      <c r="AW92" s="138"/>
      <c r="AX92" s="138"/>
      <c r="AY92" s="137">
        <f t="shared" si="147"/>
        <v>0</v>
      </c>
      <c r="AZ92" s="105">
        <v>8</v>
      </c>
      <c r="BA92" s="134">
        <f t="shared" ref="BA92:BA95" si="162">SUM(BC92:BG92)</f>
        <v>60770</v>
      </c>
      <c r="BB92" s="134">
        <f t="shared" ref="BB92:BB95" si="163">IFERROR(BA92/AZ92,0)</f>
        <v>7596.25</v>
      </c>
      <c r="BC92" s="138"/>
      <c r="BD92" s="138"/>
      <c r="BE92" s="138"/>
      <c r="BF92" s="138"/>
      <c r="BG92" s="138">
        <v>60770</v>
      </c>
      <c r="BH92" s="138">
        <v>21370</v>
      </c>
      <c r="BI92" s="137">
        <f t="shared" si="148"/>
        <v>0</v>
      </c>
      <c r="BJ92" s="100">
        <v>5</v>
      </c>
      <c r="BK92" s="134">
        <f t="shared" si="149"/>
        <v>31769</v>
      </c>
      <c r="BL92" s="134">
        <f t="shared" si="150"/>
        <v>6353.8</v>
      </c>
      <c r="BM92" s="135"/>
      <c r="BN92" s="135"/>
      <c r="BO92" s="135"/>
      <c r="BP92" s="135"/>
      <c r="BQ92" s="135">
        <v>31769</v>
      </c>
      <c r="BR92" s="135">
        <v>17900</v>
      </c>
      <c r="BS92" s="339">
        <f t="shared" si="151"/>
        <v>0</v>
      </c>
    </row>
    <row r="93" spans="1:71" s="101" customFormat="1" ht="15.95" customHeight="1">
      <c r="A93" s="99" t="s">
        <v>200</v>
      </c>
      <c r="B93" s="100"/>
      <c r="C93" s="178">
        <f t="shared" si="152"/>
        <v>0</v>
      </c>
      <c r="D93" s="178">
        <f t="shared" si="153"/>
        <v>0</v>
      </c>
      <c r="E93" s="135"/>
      <c r="F93" s="135"/>
      <c r="G93" s="135"/>
      <c r="H93" s="135"/>
      <c r="I93" s="135"/>
      <c r="J93" s="135"/>
      <c r="K93" s="339">
        <f t="shared" si="143"/>
        <v>0</v>
      </c>
      <c r="L93" s="100"/>
      <c r="M93" s="178">
        <f t="shared" si="154"/>
        <v>0</v>
      </c>
      <c r="N93" s="178">
        <f t="shared" si="155"/>
        <v>0</v>
      </c>
      <c r="O93" s="135"/>
      <c r="P93" s="135"/>
      <c r="Q93" s="135"/>
      <c r="R93" s="135"/>
      <c r="S93" s="135"/>
      <c r="T93" s="135"/>
      <c r="U93" s="339">
        <f t="shared" si="144"/>
        <v>0</v>
      </c>
      <c r="V93" s="100"/>
      <c r="W93" s="178">
        <f t="shared" si="156"/>
        <v>0</v>
      </c>
      <c r="X93" s="178">
        <f t="shared" si="157"/>
        <v>0</v>
      </c>
      <c r="Y93" s="135"/>
      <c r="Z93" s="135"/>
      <c r="AA93" s="135"/>
      <c r="AB93" s="135"/>
      <c r="AC93" s="135"/>
      <c r="AD93" s="135"/>
      <c r="AE93" s="339">
        <f t="shared" si="145"/>
        <v>0</v>
      </c>
      <c r="AF93" s="100"/>
      <c r="AG93" s="178">
        <f t="shared" si="158"/>
        <v>0</v>
      </c>
      <c r="AH93" s="178">
        <f t="shared" si="159"/>
        <v>0</v>
      </c>
      <c r="AI93" s="135"/>
      <c r="AJ93" s="135"/>
      <c r="AK93" s="135"/>
      <c r="AL93" s="135"/>
      <c r="AM93" s="135"/>
      <c r="AN93" s="135"/>
      <c r="AO93" s="339">
        <f t="shared" si="146"/>
        <v>0</v>
      </c>
      <c r="AP93" s="100"/>
      <c r="AQ93" s="178">
        <f t="shared" si="160"/>
        <v>0</v>
      </c>
      <c r="AR93" s="178">
        <f t="shared" si="161"/>
        <v>0</v>
      </c>
      <c r="AS93" s="135"/>
      <c r="AT93" s="135"/>
      <c r="AU93" s="135"/>
      <c r="AV93" s="135"/>
      <c r="AW93" s="135"/>
      <c r="AX93" s="135"/>
      <c r="AY93" s="339">
        <f t="shared" si="147"/>
        <v>0</v>
      </c>
      <c r="AZ93" s="100"/>
      <c r="BA93" s="178">
        <f t="shared" si="162"/>
        <v>0</v>
      </c>
      <c r="BB93" s="178">
        <f t="shared" si="163"/>
        <v>0</v>
      </c>
      <c r="BC93" s="135"/>
      <c r="BD93" s="135"/>
      <c r="BE93" s="135"/>
      <c r="BF93" s="135"/>
      <c r="BG93" s="135"/>
      <c r="BH93" s="135"/>
      <c r="BI93" s="339">
        <f t="shared" si="148"/>
        <v>0</v>
      </c>
      <c r="BJ93" s="100">
        <v>29</v>
      </c>
      <c r="BK93" s="178">
        <f t="shared" si="149"/>
        <v>84500</v>
      </c>
      <c r="BL93" s="178">
        <f t="shared" si="150"/>
        <v>2913.7931034482758</v>
      </c>
      <c r="BM93" s="135"/>
      <c r="BN93" s="135"/>
      <c r="BO93" s="135">
        <v>84500</v>
      </c>
      <c r="BP93" s="135"/>
      <c r="BQ93" s="135"/>
      <c r="BR93" s="135">
        <v>84500</v>
      </c>
      <c r="BS93" s="339">
        <f t="shared" si="151"/>
        <v>0</v>
      </c>
    </row>
    <row r="94" spans="1:71" s="101" customFormat="1" ht="15.95" customHeight="1">
      <c r="A94" s="99"/>
      <c r="B94" s="100"/>
      <c r="C94" s="178">
        <f t="shared" si="152"/>
        <v>0</v>
      </c>
      <c r="D94" s="178">
        <f t="shared" si="153"/>
        <v>0</v>
      </c>
      <c r="E94" s="135"/>
      <c r="F94" s="135"/>
      <c r="G94" s="135"/>
      <c r="H94" s="135"/>
      <c r="I94" s="135"/>
      <c r="J94" s="135"/>
      <c r="K94" s="339">
        <f t="shared" si="143"/>
        <v>0</v>
      </c>
      <c r="L94" s="100"/>
      <c r="M94" s="178">
        <f t="shared" si="154"/>
        <v>0</v>
      </c>
      <c r="N94" s="178">
        <f t="shared" si="155"/>
        <v>0</v>
      </c>
      <c r="O94" s="135"/>
      <c r="P94" s="135"/>
      <c r="Q94" s="135"/>
      <c r="R94" s="135"/>
      <c r="S94" s="135"/>
      <c r="T94" s="135"/>
      <c r="U94" s="339">
        <f t="shared" si="144"/>
        <v>0</v>
      </c>
      <c r="V94" s="100"/>
      <c r="W94" s="178">
        <f t="shared" si="156"/>
        <v>0</v>
      </c>
      <c r="X94" s="178">
        <f t="shared" si="157"/>
        <v>0</v>
      </c>
      <c r="Y94" s="135"/>
      <c r="Z94" s="135"/>
      <c r="AA94" s="135"/>
      <c r="AB94" s="135"/>
      <c r="AC94" s="135"/>
      <c r="AD94" s="135"/>
      <c r="AE94" s="339">
        <f t="shared" si="145"/>
        <v>0</v>
      </c>
      <c r="AF94" s="100"/>
      <c r="AG94" s="178">
        <f t="shared" si="158"/>
        <v>0</v>
      </c>
      <c r="AH94" s="178">
        <f t="shared" si="159"/>
        <v>0</v>
      </c>
      <c r="AI94" s="135"/>
      <c r="AJ94" s="135"/>
      <c r="AK94" s="135"/>
      <c r="AL94" s="135"/>
      <c r="AM94" s="135"/>
      <c r="AN94" s="135"/>
      <c r="AO94" s="339">
        <f t="shared" si="146"/>
        <v>0</v>
      </c>
      <c r="AP94" s="100"/>
      <c r="AQ94" s="178">
        <f t="shared" si="160"/>
        <v>0</v>
      </c>
      <c r="AR94" s="178">
        <f t="shared" si="161"/>
        <v>0</v>
      </c>
      <c r="AS94" s="135"/>
      <c r="AT94" s="135"/>
      <c r="AU94" s="135"/>
      <c r="AV94" s="135"/>
      <c r="AW94" s="135"/>
      <c r="AX94" s="135"/>
      <c r="AY94" s="339">
        <f t="shared" si="147"/>
        <v>0</v>
      </c>
      <c r="AZ94" s="100"/>
      <c r="BA94" s="178">
        <f t="shared" si="162"/>
        <v>0</v>
      </c>
      <c r="BB94" s="178">
        <f t="shared" si="163"/>
        <v>0</v>
      </c>
      <c r="BC94" s="135"/>
      <c r="BD94" s="135"/>
      <c r="BE94" s="135"/>
      <c r="BF94" s="135"/>
      <c r="BG94" s="135"/>
      <c r="BH94" s="135"/>
      <c r="BI94" s="339">
        <f t="shared" si="148"/>
        <v>0</v>
      </c>
      <c r="BJ94" s="100"/>
      <c r="BK94" s="178">
        <f t="shared" si="149"/>
        <v>0</v>
      </c>
      <c r="BL94" s="178">
        <f t="shared" si="150"/>
        <v>0</v>
      </c>
      <c r="BM94" s="135"/>
      <c r="BN94" s="135"/>
      <c r="BO94" s="135"/>
      <c r="BP94" s="135"/>
      <c r="BQ94" s="135"/>
      <c r="BR94" s="135"/>
      <c r="BS94" s="339">
        <f t="shared" si="151"/>
        <v>0</v>
      </c>
    </row>
    <row r="95" spans="1:71" s="101" customFormat="1" ht="15.95" customHeight="1">
      <c r="A95" s="99"/>
      <c r="B95" s="100"/>
      <c r="C95" s="178">
        <f t="shared" si="152"/>
        <v>0</v>
      </c>
      <c r="D95" s="178">
        <f t="shared" si="153"/>
        <v>0</v>
      </c>
      <c r="E95" s="135"/>
      <c r="F95" s="135"/>
      <c r="G95" s="135"/>
      <c r="H95" s="135"/>
      <c r="I95" s="135"/>
      <c r="J95" s="135"/>
      <c r="K95" s="339">
        <f t="shared" si="143"/>
        <v>0</v>
      </c>
      <c r="L95" s="100"/>
      <c r="M95" s="178">
        <f t="shared" si="154"/>
        <v>0</v>
      </c>
      <c r="N95" s="178">
        <f t="shared" si="155"/>
        <v>0</v>
      </c>
      <c r="O95" s="135"/>
      <c r="P95" s="135"/>
      <c r="Q95" s="135"/>
      <c r="R95" s="135"/>
      <c r="S95" s="135"/>
      <c r="T95" s="135"/>
      <c r="U95" s="339">
        <f t="shared" si="144"/>
        <v>0</v>
      </c>
      <c r="V95" s="100"/>
      <c r="W95" s="178">
        <f t="shared" si="156"/>
        <v>0</v>
      </c>
      <c r="X95" s="178">
        <f t="shared" si="157"/>
        <v>0</v>
      </c>
      <c r="Y95" s="135"/>
      <c r="Z95" s="135"/>
      <c r="AA95" s="135"/>
      <c r="AB95" s="135"/>
      <c r="AC95" s="135"/>
      <c r="AD95" s="135"/>
      <c r="AE95" s="339">
        <f t="shared" si="145"/>
        <v>0</v>
      </c>
      <c r="AF95" s="100"/>
      <c r="AG95" s="178">
        <f t="shared" si="158"/>
        <v>0</v>
      </c>
      <c r="AH95" s="178">
        <f t="shared" si="159"/>
        <v>0</v>
      </c>
      <c r="AI95" s="135"/>
      <c r="AJ95" s="135"/>
      <c r="AK95" s="135"/>
      <c r="AL95" s="135"/>
      <c r="AM95" s="135"/>
      <c r="AN95" s="135"/>
      <c r="AO95" s="339">
        <f t="shared" si="146"/>
        <v>0</v>
      </c>
      <c r="AP95" s="100"/>
      <c r="AQ95" s="178">
        <f t="shared" si="160"/>
        <v>0</v>
      </c>
      <c r="AR95" s="178">
        <f t="shared" si="161"/>
        <v>0</v>
      </c>
      <c r="AS95" s="135"/>
      <c r="AT95" s="135"/>
      <c r="AU95" s="135"/>
      <c r="AV95" s="135"/>
      <c r="AW95" s="135"/>
      <c r="AX95" s="135"/>
      <c r="AY95" s="339">
        <f t="shared" si="147"/>
        <v>0</v>
      </c>
      <c r="AZ95" s="100"/>
      <c r="BA95" s="178">
        <f t="shared" si="162"/>
        <v>0</v>
      </c>
      <c r="BB95" s="178">
        <f t="shared" si="163"/>
        <v>0</v>
      </c>
      <c r="BC95" s="135"/>
      <c r="BD95" s="135"/>
      <c r="BE95" s="135"/>
      <c r="BF95" s="135"/>
      <c r="BG95" s="135"/>
      <c r="BH95" s="135"/>
      <c r="BI95" s="339">
        <f t="shared" si="148"/>
        <v>0</v>
      </c>
      <c r="BJ95" s="100"/>
      <c r="BK95" s="178">
        <f t="shared" si="149"/>
        <v>0</v>
      </c>
      <c r="BL95" s="178">
        <f t="shared" si="150"/>
        <v>0</v>
      </c>
      <c r="BM95" s="135"/>
      <c r="BN95" s="135"/>
      <c r="BO95" s="135"/>
      <c r="BP95" s="135"/>
      <c r="BQ95" s="135"/>
      <c r="BR95" s="135"/>
      <c r="BS95" s="339">
        <f t="shared" si="151"/>
        <v>0</v>
      </c>
    </row>
    <row r="96" spans="1:71" s="101" customFormat="1" ht="15.95" customHeight="1">
      <c r="A96" s="99"/>
      <c r="B96" s="100"/>
      <c r="C96" s="178">
        <f>SUM(E96:I96)</f>
        <v>0</v>
      </c>
      <c r="D96" s="178">
        <f>IFERROR(C96/B96,0)</f>
        <v>0</v>
      </c>
      <c r="E96" s="135"/>
      <c r="F96" s="135"/>
      <c r="G96" s="135"/>
      <c r="H96" s="135"/>
      <c r="I96" s="135"/>
      <c r="J96" s="135"/>
      <c r="K96" s="339">
        <f t="shared" si="143"/>
        <v>0</v>
      </c>
      <c r="L96" s="100"/>
      <c r="M96" s="178">
        <f>SUM(O96:S96)</f>
        <v>0</v>
      </c>
      <c r="N96" s="178">
        <f>IFERROR(M96/L96,0)</f>
        <v>0</v>
      </c>
      <c r="O96" s="135"/>
      <c r="P96" s="135"/>
      <c r="Q96" s="135"/>
      <c r="R96" s="135"/>
      <c r="S96" s="135"/>
      <c r="T96" s="135"/>
      <c r="U96" s="339">
        <f t="shared" si="144"/>
        <v>0</v>
      </c>
      <c r="V96" s="100"/>
      <c r="W96" s="178">
        <f>SUM(Y96:AC96)</f>
        <v>0</v>
      </c>
      <c r="X96" s="178">
        <f>IFERROR(W96/V96,0)</f>
        <v>0</v>
      </c>
      <c r="Y96" s="135"/>
      <c r="Z96" s="135"/>
      <c r="AA96" s="135"/>
      <c r="AB96" s="135"/>
      <c r="AC96" s="135"/>
      <c r="AD96" s="135"/>
      <c r="AE96" s="339">
        <f t="shared" si="145"/>
        <v>0</v>
      </c>
      <c r="AF96" s="100"/>
      <c r="AG96" s="178">
        <f>SUM(AI96:AM96)</f>
        <v>0</v>
      </c>
      <c r="AH96" s="178">
        <f>IFERROR(AG96/AF96,0)</f>
        <v>0</v>
      </c>
      <c r="AI96" s="135"/>
      <c r="AJ96" s="135"/>
      <c r="AK96" s="135"/>
      <c r="AL96" s="135"/>
      <c r="AM96" s="135"/>
      <c r="AN96" s="135"/>
      <c r="AO96" s="339">
        <f t="shared" si="146"/>
        <v>0</v>
      </c>
      <c r="AP96" s="100"/>
      <c r="AQ96" s="178">
        <f>SUM(AS96:AW96)</f>
        <v>0</v>
      </c>
      <c r="AR96" s="178">
        <f>IFERROR(AQ96/AP96,0)</f>
        <v>0</v>
      </c>
      <c r="AS96" s="135"/>
      <c r="AT96" s="135"/>
      <c r="AU96" s="135"/>
      <c r="AV96" s="135"/>
      <c r="AW96" s="135"/>
      <c r="AX96" s="135"/>
      <c r="AY96" s="339">
        <f t="shared" si="147"/>
        <v>0</v>
      </c>
      <c r="AZ96" s="100"/>
      <c r="BA96" s="178">
        <f>SUM(BC96:BG96)</f>
        <v>0</v>
      </c>
      <c r="BB96" s="178">
        <f>IFERROR(BA96/AZ96,0)</f>
        <v>0</v>
      </c>
      <c r="BC96" s="135"/>
      <c r="BD96" s="135"/>
      <c r="BE96" s="135"/>
      <c r="BF96" s="135"/>
      <c r="BG96" s="135"/>
      <c r="BH96" s="135"/>
      <c r="BI96" s="339">
        <f t="shared" si="148"/>
        <v>0</v>
      </c>
      <c r="BJ96" s="100"/>
      <c r="BK96" s="178">
        <f t="shared" si="149"/>
        <v>0</v>
      </c>
      <c r="BL96" s="178">
        <f t="shared" si="150"/>
        <v>0</v>
      </c>
      <c r="BM96" s="135"/>
      <c r="BN96" s="135"/>
      <c r="BO96" s="135"/>
      <c r="BP96" s="135"/>
      <c r="BQ96" s="135"/>
      <c r="BR96" s="135"/>
      <c r="BS96" s="339">
        <f t="shared" si="151"/>
        <v>0</v>
      </c>
    </row>
    <row r="97" spans="1:71" ht="15.95" customHeight="1">
      <c r="A97" s="215" t="s">
        <v>122</v>
      </c>
      <c r="B97" s="105"/>
      <c r="C97" s="134"/>
      <c r="D97" s="134"/>
      <c r="E97" s="138"/>
      <c r="F97" s="138"/>
      <c r="G97" s="138"/>
      <c r="H97" s="138"/>
      <c r="I97" s="138"/>
      <c r="J97" s="138"/>
      <c r="K97" s="137"/>
      <c r="L97" s="93"/>
      <c r="M97" s="131"/>
      <c r="N97" s="134"/>
      <c r="O97" s="138"/>
      <c r="P97" s="138"/>
      <c r="Q97" s="138"/>
      <c r="R97" s="138"/>
      <c r="S97" s="138"/>
      <c r="T97" s="138"/>
      <c r="U97" s="137"/>
      <c r="V97" s="105"/>
      <c r="W97" s="134"/>
      <c r="X97" s="134"/>
      <c r="Y97" s="138"/>
      <c r="Z97" s="138"/>
      <c r="AA97" s="138"/>
      <c r="AB97" s="138"/>
      <c r="AC97" s="138"/>
      <c r="AD97" s="138"/>
      <c r="AE97" s="137"/>
      <c r="AF97" s="105"/>
      <c r="AG97" s="134"/>
      <c r="AH97" s="134"/>
      <c r="AI97" s="138"/>
      <c r="AJ97" s="138"/>
      <c r="AK97" s="138"/>
      <c r="AL97" s="138"/>
      <c r="AM97" s="138"/>
      <c r="AN97" s="138"/>
      <c r="AO97" s="137"/>
      <c r="AP97" s="105"/>
      <c r="AQ97" s="134"/>
      <c r="AR97" s="134"/>
      <c r="AS97" s="138"/>
      <c r="AT97" s="138"/>
      <c r="AU97" s="138"/>
      <c r="AV97" s="138"/>
      <c r="AW97" s="138"/>
      <c r="AX97" s="138"/>
      <c r="AY97" s="137"/>
      <c r="AZ97" s="105"/>
      <c r="BA97" s="134"/>
      <c r="BB97" s="134"/>
      <c r="BC97" s="138"/>
      <c r="BD97" s="138"/>
      <c r="BE97" s="138"/>
      <c r="BF97" s="138"/>
      <c r="BG97" s="138"/>
      <c r="BH97" s="138"/>
      <c r="BI97" s="137"/>
      <c r="BJ97" s="105"/>
      <c r="BK97" s="134"/>
      <c r="BL97" s="134"/>
      <c r="BM97" s="138"/>
      <c r="BN97" s="138"/>
      <c r="BO97" s="138"/>
      <c r="BP97" s="138"/>
      <c r="BQ97" s="138"/>
      <c r="BR97" s="138"/>
      <c r="BS97" s="137"/>
    </row>
    <row r="98" spans="1:71" s="104" customFormat="1" ht="15.95" customHeight="1">
      <c r="A98" s="102" t="s">
        <v>64</v>
      </c>
      <c r="B98" s="103">
        <f>SUM(B$89:B97)</f>
        <v>394</v>
      </c>
      <c r="C98" s="134">
        <f>SUM(C$89:C97)</f>
        <v>1287167</v>
      </c>
      <c r="D98" s="134">
        <f>IFERROR(C98/B98,0)</f>
        <v>3266.9213197969543</v>
      </c>
      <c r="E98" s="136">
        <f>SUM(E$89:E97)</f>
        <v>0</v>
      </c>
      <c r="F98" s="136">
        <f>SUM(F$89:F97)</f>
        <v>0</v>
      </c>
      <c r="G98" s="136">
        <f>SUM(G$89:G97)</f>
        <v>0</v>
      </c>
      <c r="H98" s="136">
        <f>SUM(H$89:H97)</f>
        <v>1287167</v>
      </c>
      <c r="I98" s="136">
        <f>SUM(I$89:I97)</f>
        <v>0</v>
      </c>
      <c r="J98" s="136">
        <f>SUM(J$89:J97)</f>
        <v>1009075</v>
      </c>
      <c r="K98" s="137">
        <f>SUM(K$89:K97)</f>
        <v>0</v>
      </c>
      <c r="L98" s="103">
        <f>SUM(L$89:L97)</f>
        <v>409</v>
      </c>
      <c r="M98" s="134">
        <f>SUM(M$89:M97)</f>
        <v>1222862</v>
      </c>
      <c r="N98" s="134">
        <f>IFERROR(M98/L98,0)</f>
        <v>2989.8826405867972</v>
      </c>
      <c r="O98" s="136">
        <f>SUM(O$89:O97)</f>
        <v>0</v>
      </c>
      <c r="P98" s="136">
        <f>SUM(P$89:P97)</f>
        <v>0</v>
      </c>
      <c r="Q98" s="136">
        <f>SUM(Q$89:Q97)</f>
        <v>0</v>
      </c>
      <c r="R98" s="136">
        <f>SUM(R$89:R97)</f>
        <v>1222862</v>
      </c>
      <c r="S98" s="136">
        <f>SUM(S$89:S97)</f>
        <v>0</v>
      </c>
      <c r="T98" s="136">
        <f>SUM(T$89:T97)</f>
        <v>1008817</v>
      </c>
      <c r="U98" s="137">
        <f>SUM(U$89:U97)</f>
        <v>0</v>
      </c>
      <c r="V98" s="103">
        <f>SUM(V$89:V97)</f>
        <v>362</v>
      </c>
      <c r="W98" s="134">
        <f>SUM(W$89:W97)</f>
        <v>1158136</v>
      </c>
      <c r="X98" s="134">
        <f>IFERROR(W98/V98,0)</f>
        <v>3199.2707182320441</v>
      </c>
      <c r="Y98" s="136">
        <f>SUM(Y$89:Y97)</f>
        <v>0</v>
      </c>
      <c r="Z98" s="136">
        <f>SUM(Z$89:Z97)</f>
        <v>0</v>
      </c>
      <c r="AA98" s="136">
        <f>SUM(AA$89:AA97)</f>
        <v>0</v>
      </c>
      <c r="AB98" s="136">
        <f>SUM(AB$89:AB97)</f>
        <v>1158136</v>
      </c>
      <c r="AC98" s="136">
        <f>SUM(AC$89:AC97)</f>
        <v>0</v>
      </c>
      <c r="AD98" s="136">
        <f>SUM(AD$89:AD97)</f>
        <v>931784</v>
      </c>
      <c r="AE98" s="137">
        <f>SUM(AE$89:AE97)</f>
        <v>0</v>
      </c>
      <c r="AF98" s="103">
        <f>SUM(AF$89:AF97)</f>
        <v>330</v>
      </c>
      <c r="AG98" s="134">
        <f>SUM(AG$89:AG97)</f>
        <v>1171271</v>
      </c>
      <c r="AH98" s="134">
        <f>IFERROR(AG98/AF98,0)</f>
        <v>3549.3060606060608</v>
      </c>
      <c r="AI98" s="136">
        <f>SUM(AI$89:AI97)</f>
        <v>0</v>
      </c>
      <c r="AJ98" s="136">
        <f>SUM(AJ$89:AJ97)</f>
        <v>0</v>
      </c>
      <c r="AK98" s="136">
        <f>SUM(AK$89:AK97)</f>
        <v>0</v>
      </c>
      <c r="AL98" s="136">
        <f>SUM(AL$89:AL97)</f>
        <v>1171271</v>
      </c>
      <c r="AM98" s="136">
        <f>SUM(AM$89:AM97)</f>
        <v>0</v>
      </c>
      <c r="AN98" s="136">
        <f>SUM(AN$89:AN97)</f>
        <v>922391</v>
      </c>
      <c r="AO98" s="137">
        <f>SUM(AO$89:AO97)</f>
        <v>0</v>
      </c>
      <c r="AP98" s="103">
        <f>SUM(AP$89:AP97)</f>
        <v>329</v>
      </c>
      <c r="AQ98" s="134">
        <f>SUM(AQ$89:AQ97)</f>
        <v>1142784</v>
      </c>
      <c r="AR98" s="134">
        <f>IFERROR(AQ98/AP98,0)</f>
        <v>3473.5075987841947</v>
      </c>
      <c r="AS98" s="136">
        <f>SUM(AS$89:AS97)</f>
        <v>0</v>
      </c>
      <c r="AT98" s="136">
        <f>SUM(AT$89:AT97)</f>
        <v>0</v>
      </c>
      <c r="AU98" s="136">
        <f>SUM(AU$89:AU97)</f>
        <v>0</v>
      </c>
      <c r="AV98" s="136">
        <f>SUM(AV$89:AV97)</f>
        <v>1142784</v>
      </c>
      <c r="AW98" s="136">
        <f>SUM(AW$89:AW97)</f>
        <v>0</v>
      </c>
      <c r="AX98" s="136">
        <f>SUM(AX$89:AX97)</f>
        <v>930189</v>
      </c>
      <c r="AY98" s="137">
        <f>SUM(AY$89:AY97)</f>
        <v>0</v>
      </c>
      <c r="AZ98" s="103">
        <f>SUM(AZ$89:AZ97)</f>
        <v>313</v>
      </c>
      <c r="BA98" s="134">
        <f>SUM(BA$89:BA97)</f>
        <v>1270872</v>
      </c>
      <c r="BB98" s="134">
        <f>IFERROR(BA98/AZ98,0)</f>
        <v>4060.2939297124599</v>
      </c>
      <c r="BC98" s="136">
        <f>SUM(BC$89:BC97)</f>
        <v>0</v>
      </c>
      <c r="BD98" s="136">
        <f>SUM(BD$89:BD97)</f>
        <v>0</v>
      </c>
      <c r="BE98" s="136">
        <f>SUM(BE$89:BE97)</f>
        <v>0</v>
      </c>
      <c r="BF98" s="136">
        <f>SUM(BF$89:BF97)</f>
        <v>1210102</v>
      </c>
      <c r="BG98" s="136">
        <f>SUM(BG$89:BG97)</f>
        <v>60770</v>
      </c>
      <c r="BH98" s="136">
        <f>SUM(BH$89:BH97)</f>
        <v>988860</v>
      </c>
      <c r="BI98" s="137">
        <f>SUM(BI$89:BI97)</f>
        <v>0</v>
      </c>
      <c r="BJ98" s="103">
        <f>SUM(BJ$89:BJ97)</f>
        <v>306</v>
      </c>
      <c r="BK98" s="134">
        <f>SUM(BK$89:BK97)</f>
        <v>1032608</v>
      </c>
      <c r="BL98" s="134">
        <f>IFERROR(BK98/BJ98,0)</f>
        <v>3374.5359477124184</v>
      </c>
      <c r="BM98" s="136">
        <f>SUM(BM$89:BM97)</f>
        <v>0</v>
      </c>
      <c r="BN98" s="136">
        <f>SUM(BN$89:BN97)</f>
        <v>0</v>
      </c>
      <c r="BO98" s="136">
        <f>SUM(BO$89:BO97)</f>
        <v>84500</v>
      </c>
      <c r="BP98" s="136">
        <f>SUM(BP$89:BP97)</f>
        <v>916339</v>
      </c>
      <c r="BQ98" s="136">
        <f>SUM(BQ$89:BQ97)</f>
        <v>31769</v>
      </c>
      <c r="BR98" s="136">
        <f>SUM(BR$89:BR97)</f>
        <v>838294</v>
      </c>
      <c r="BS98" s="137">
        <f>SUM(BS$89:BS97)</f>
        <v>0</v>
      </c>
    </row>
    <row r="99" spans="1:71" s="104" customFormat="1" ht="15.95" customHeight="1">
      <c r="A99" s="97"/>
      <c r="B99" s="105"/>
      <c r="C99" s="134"/>
      <c r="D99" s="134"/>
      <c r="E99" s="138"/>
      <c r="F99" s="138"/>
      <c r="G99" s="138"/>
      <c r="H99" s="138"/>
      <c r="I99" s="138"/>
      <c r="J99" s="138"/>
      <c r="K99" s="137"/>
      <c r="L99" s="105"/>
      <c r="M99" s="134"/>
      <c r="N99" s="134"/>
      <c r="O99" s="138"/>
      <c r="P99" s="138"/>
      <c r="Q99" s="138"/>
      <c r="R99" s="138"/>
      <c r="S99" s="138"/>
      <c r="T99" s="138"/>
      <c r="U99" s="137"/>
      <c r="V99" s="105"/>
      <c r="W99" s="134"/>
      <c r="X99" s="134"/>
      <c r="Y99" s="138"/>
      <c r="Z99" s="138"/>
      <c r="AA99" s="138"/>
      <c r="AB99" s="138"/>
      <c r="AC99" s="138"/>
      <c r="AD99" s="138"/>
      <c r="AE99" s="137"/>
      <c r="AF99" s="105"/>
      <c r="AG99" s="134"/>
      <c r="AH99" s="134"/>
      <c r="AI99" s="138"/>
      <c r="AJ99" s="138"/>
      <c r="AK99" s="138"/>
      <c r="AL99" s="138"/>
      <c r="AM99" s="138"/>
      <c r="AN99" s="138"/>
      <c r="AO99" s="137"/>
      <c r="AP99" s="105"/>
      <c r="AQ99" s="134"/>
      <c r="AR99" s="134"/>
      <c r="AS99" s="138"/>
      <c r="AT99" s="138"/>
      <c r="AU99" s="138"/>
      <c r="AV99" s="138"/>
      <c r="AW99" s="138"/>
      <c r="AX99" s="138"/>
      <c r="AY99" s="137"/>
      <c r="AZ99" s="105"/>
      <c r="BA99" s="134"/>
      <c r="BB99" s="134"/>
      <c r="BC99" s="138"/>
      <c r="BD99" s="138"/>
      <c r="BE99" s="138"/>
      <c r="BF99" s="138"/>
      <c r="BG99" s="138"/>
      <c r="BH99" s="138"/>
      <c r="BI99" s="137"/>
      <c r="BJ99" s="105"/>
      <c r="BK99" s="134"/>
      <c r="BL99" s="134"/>
      <c r="BM99" s="138"/>
      <c r="BN99" s="138"/>
      <c r="BO99" s="138"/>
      <c r="BP99" s="138"/>
      <c r="BQ99" s="138"/>
      <c r="BR99" s="138"/>
      <c r="BS99" s="137"/>
    </row>
    <row r="100" spans="1:71" s="106" customFormat="1" ht="33" customHeight="1">
      <c r="A100" s="115" t="s">
        <v>65</v>
      </c>
      <c r="B100" s="197">
        <f>SUM(B98,B87,B61)</f>
        <v>3197</v>
      </c>
      <c r="C100" s="209">
        <f>SUM(C98,C87,C61)</f>
        <v>6356852.9100000001</v>
      </c>
      <c r="D100" s="209">
        <f>IFERROR(C100/B100,0)</f>
        <v>1988.3806412261495</v>
      </c>
      <c r="E100" s="210">
        <f t="shared" ref="E100:M100" si="164">SUM(E98,E87,E61)</f>
        <v>1025105.91</v>
      </c>
      <c r="F100" s="210">
        <f t="shared" si="164"/>
        <v>0</v>
      </c>
      <c r="G100" s="210">
        <f t="shared" si="164"/>
        <v>174572</v>
      </c>
      <c r="H100" s="210">
        <f t="shared" si="164"/>
        <v>4819308</v>
      </c>
      <c r="I100" s="210">
        <f t="shared" si="164"/>
        <v>337867</v>
      </c>
      <c r="J100" s="210">
        <f t="shared" si="164"/>
        <v>4863478.0600000005</v>
      </c>
      <c r="K100" s="211">
        <f t="shared" si="164"/>
        <v>582596.06000000006</v>
      </c>
      <c r="L100" s="197">
        <f t="shared" si="164"/>
        <v>3479</v>
      </c>
      <c r="M100" s="139">
        <f t="shared" si="164"/>
        <v>6453081.4000000004</v>
      </c>
      <c r="N100" s="209">
        <f>IFERROR(M100/L100,0)</f>
        <v>1854.8667433170453</v>
      </c>
      <c r="O100" s="210">
        <f t="shared" ref="O100:W100" si="165">SUM(O98,O87,O61)</f>
        <v>912902.4</v>
      </c>
      <c r="P100" s="210">
        <f t="shared" si="165"/>
        <v>225992</v>
      </c>
      <c r="Q100" s="210">
        <f t="shared" si="165"/>
        <v>169080</v>
      </c>
      <c r="R100" s="210">
        <f t="shared" si="165"/>
        <v>4848178</v>
      </c>
      <c r="S100" s="210">
        <f t="shared" si="165"/>
        <v>296929</v>
      </c>
      <c r="T100" s="210">
        <f t="shared" si="165"/>
        <v>4915718</v>
      </c>
      <c r="U100" s="211">
        <f t="shared" si="165"/>
        <v>420778</v>
      </c>
      <c r="V100" s="197">
        <f t="shared" si="165"/>
        <v>3116</v>
      </c>
      <c r="W100" s="209">
        <f t="shared" si="165"/>
        <v>6259720.4500000002</v>
      </c>
      <c r="X100" s="209">
        <f>IFERROR(W100/V100,0)</f>
        <v>2008.8961649550706</v>
      </c>
      <c r="Y100" s="210">
        <f t="shared" ref="Y100:AG100" si="166">SUM(Y98,Y87,Y61)</f>
        <v>1007014</v>
      </c>
      <c r="Z100" s="210">
        <f t="shared" si="166"/>
        <v>210461</v>
      </c>
      <c r="AA100" s="210">
        <f t="shared" si="166"/>
        <v>197200</v>
      </c>
      <c r="AB100" s="210">
        <f t="shared" si="166"/>
        <v>4505821.45</v>
      </c>
      <c r="AC100" s="210">
        <f t="shared" si="166"/>
        <v>339224</v>
      </c>
      <c r="AD100" s="210">
        <f t="shared" si="166"/>
        <v>4793186.45</v>
      </c>
      <c r="AE100" s="211">
        <f t="shared" si="166"/>
        <v>490730</v>
      </c>
      <c r="AF100" s="197">
        <f t="shared" si="166"/>
        <v>3017</v>
      </c>
      <c r="AG100" s="209">
        <f t="shared" si="166"/>
        <v>6132306</v>
      </c>
      <c r="AH100" s="209">
        <f>IFERROR(AG100/AF100,0)</f>
        <v>2032.5840238647663</v>
      </c>
      <c r="AI100" s="210">
        <f t="shared" ref="AI100:AQ100" si="167">SUM(AI98,AI87,AI61)</f>
        <v>1093748</v>
      </c>
      <c r="AJ100" s="210">
        <f t="shared" si="167"/>
        <v>239714</v>
      </c>
      <c r="AK100" s="210">
        <f t="shared" si="167"/>
        <v>196350</v>
      </c>
      <c r="AL100" s="210">
        <f t="shared" si="167"/>
        <v>4269562</v>
      </c>
      <c r="AM100" s="210">
        <f t="shared" si="167"/>
        <v>332932</v>
      </c>
      <c r="AN100" s="210">
        <f t="shared" si="167"/>
        <v>4578228</v>
      </c>
      <c r="AO100" s="211">
        <f t="shared" si="167"/>
        <v>551820</v>
      </c>
      <c r="AP100" s="197">
        <f t="shared" si="167"/>
        <v>2907</v>
      </c>
      <c r="AQ100" s="209">
        <f t="shared" si="167"/>
        <v>6237510.5999999996</v>
      </c>
      <c r="AR100" s="209">
        <f>IFERROR(AQ100/AP100,0)</f>
        <v>2145.6864809081526</v>
      </c>
      <c r="AS100" s="210">
        <f t="shared" ref="AS100:BA100" si="168">SUM(AS98,AS87,AS61)</f>
        <v>1091089.6000000001</v>
      </c>
      <c r="AT100" s="210">
        <f t="shared" si="168"/>
        <v>237602</v>
      </c>
      <c r="AU100" s="210">
        <f t="shared" si="168"/>
        <v>176271</v>
      </c>
      <c r="AV100" s="210">
        <f t="shared" si="168"/>
        <v>4292086</v>
      </c>
      <c r="AW100" s="210">
        <f t="shared" si="168"/>
        <v>440462</v>
      </c>
      <c r="AX100" s="210">
        <f t="shared" si="168"/>
        <v>4811262.4000000004</v>
      </c>
      <c r="AY100" s="211">
        <f t="shared" si="168"/>
        <v>538407.4</v>
      </c>
      <c r="AZ100" s="197">
        <f t="shared" si="168"/>
        <v>3693</v>
      </c>
      <c r="BA100" s="209">
        <f t="shared" si="168"/>
        <v>7043103.8999999994</v>
      </c>
      <c r="BB100" s="209">
        <f>IFERROR(BA100/AZ100,0)</f>
        <v>1907.1497156783103</v>
      </c>
      <c r="BC100" s="210">
        <f t="shared" ref="BC100:BK100" si="169">SUM(BC98,BC87,BC61)</f>
        <v>1129020.6000000001</v>
      </c>
      <c r="BD100" s="210">
        <f t="shared" si="169"/>
        <v>247518</v>
      </c>
      <c r="BE100" s="210">
        <f t="shared" si="169"/>
        <v>262742.3</v>
      </c>
      <c r="BF100" s="210">
        <f t="shared" si="169"/>
        <v>4829698</v>
      </c>
      <c r="BG100" s="210">
        <f t="shared" si="169"/>
        <v>574125</v>
      </c>
      <c r="BH100" s="210">
        <f t="shared" si="169"/>
        <v>5342027.5</v>
      </c>
      <c r="BI100" s="211">
        <f t="shared" si="169"/>
        <v>558934.6</v>
      </c>
      <c r="BJ100" s="197">
        <f t="shared" si="169"/>
        <v>3828</v>
      </c>
      <c r="BK100" s="209">
        <f t="shared" si="169"/>
        <v>7386553.0300000003</v>
      </c>
      <c r="BL100" s="209">
        <f>IFERROR(BK100/BJ100,0)</f>
        <v>1929.6115543364681</v>
      </c>
      <c r="BM100" s="210">
        <f t="shared" ref="BM100:BS100" si="170">SUM(BM98,BM87,BM61)</f>
        <v>1057908.78</v>
      </c>
      <c r="BN100" s="210">
        <f t="shared" si="170"/>
        <v>252229</v>
      </c>
      <c r="BO100" s="210">
        <f t="shared" si="170"/>
        <v>396396.25</v>
      </c>
      <c r="BP100" s="210">
        <f t="shared" si="170"/>
        <v>5128940</v>
      </c>
      <c r="BQ100" s="210">
        <f t="shared" si="170"/>
        <v>551079</v>
      </c>
      <c r="BR100" s="210">
        <f t="shared" si="170"/>
        <v>5609430.3800000008</v>
      </c>
      <c r="BS100" s="211">
        <f t="shared" si="170"/>
        <v>503583.86</v>
      </c>
    </row>
    <row r="101" spans="1:71" s="84" customFormat="1" ht="15.75">
      <c r="A101" s="107"/>
      <c r="B101" s="199"/>
      <c r="C101" s="200"/>
      <c r="D101" s="201"/>
      <c r="E101" s="202"/>
      <c r="F101" s="202"/>
      <c r="G101" s="202"/>
      <c r="H101" s="202"/>
      <c r="I101" s="202"/>
      <c r="J101" s="202"/>
      <c r="K101" s="203"/>
      <c r="L101" s="110"/>
      <c r="M101" s="140"/>
      <c r="N101" s="140"/>
      <c r="O101" s="140"/>
      <c r="P101" s="140"/>
      <c r="Q101" s="140"/>
      <c r="R101" s="140"/>
      <c r="S101" s="140"/>
      <c r="T101" s="140"/>
      <c r="U101" s="141"/>
      <c r="V101" s="108"/>
      <c r="W101" s="149"/>
      <c r="X101" s="150"/>
      <c r="Y101" s="140"/>
      <c r="Z101" s="140"/>
      <c r="AA101" s="140"/>
      <c r="AB101" s="140"/>
      <c r="AC101" s="140"/>
      <c r="AD101" s="140"/>
      <c r="AE101" s="141"/>
      <c r="AF101" s="108"/>
      <c r="AG101" s="149"/>
      <c r="AH101" s="150"/>
      <c r="AI101" s="140"/>
      <c r="AJ101" s="140"/>
      <c r="AK101" s="140"/>
      <c r="AL101" s="140"/>
      <c r="AM101" s="140"/>
      <c r="AN101" s="140"/>
      <c r="AO101" s="141"/>
      <c r="AP101" s="108"/>
      <c r="AQ101" s="149"/>
      <c r="AR101" s="150"/>
      <c r="AS101" s="140"/>
      <c r="AT101" s="140"/>
      <c r="AU101" s="140"/>
      <c r="AV101" s="140"/>
      <c r="AW101" s="140"/>
      <c r="AX101" s="140"/>
      <c r="AY101" s="141"/>
      <c r="AZ101" s="108"/>
      <c r="BA101" s="149"/>
      <c r="BB101" s="150"/>
      <c r="BC101" s="140"/>
      <c r="BD101" s="140"/>
      <c r="BE101" s="140"/>
      <c r="BF101" s="140"/>
      <c r="BG101" s="140"/>
      <c r="BH101" s="140"/>
      <c r="BI101" s="141"/>
      <c r="BJ101" s="108"/>
      <c r="BK101" s="149"/>
      <c r="BL101" s="150"/>
      <c r="BM101" s="140"/>
      <c r="BN101" s="140"/>
      <c r="BO101" s="140"/>
      <c r="BP101" s="140"/>
      <c r="BQ101" s="140"/>
      <c r="BR101" s="140"/>
      <c r="BS101" s="141"/>
    </row>
    <row r="102" spans="1:71" s="84" customFormat="1" ht="15.75">
      <c r="A102" s="107"/>
      <c r="B102" s="199"/>
      <c r="C102" s="200"/>
      <c r="D102" s="202"/>
      <c r="E102" s="202"/>
      <c r="F102" s="202"/>
      <c r="G102" s="202"/>
      <c r="H102" s="202"/>
      <c r="I102" s="202"/>
      <c r="J102" s="202"/>
      <c r="K102" s="203"/>
      <c r="L102" s="110"/>
      <c r="M102" s="140"/>
      <c r="N102" s="140"/>
      <c r="O102" s="140"/>
      <c r="P102" s="140"/>
      <c r="Q102" s="140"/>
      <c r="R102" s="140"/>
      <c r="S102" s="140"/>
      <c r="T102" s="140"/>
      <c r="U102" s="141"/>
      <c r="V102" s="108"/>
      <c r="W102" s="149"/>
      <c r="X102" s="140"/>
      <c r="Y102" s="140"/>
      <c r="Z102" s="140"/>
      <c r="AA102" s="140"/>
      <c r="AB102" s="140"/>
      <c r="AC102" s="140"/>
      <c r="AD102" s="140"/>
      <c r="AE102" s="141"/>
      <c r="AF102" s="108"/>
      <c r="AG102" s="149"/>
      <c r="AH102" s="140"/>
      <c r="AI102" s="140"/>
      <c r="AJ102" s="140"/>
      <c r="AK102" s="140"/>
      <c r="AL102" s="140"/>
      <c r="AM102" s="140"/>
      <c r="AN102" s="140"/>
      <c r="AO102" s="141"/>
      <c r="AP102" s="108"/>
      <c r="AQ102" s="149"/>
      <c r="AR102" s="140"/>
      <c r="AS102" s="140"/>
      <c r="AT102" s="140"/>
      <c r="AU102" s="140"/>
      <c r="AV102" s="140"/>
      <c r="AW102" s="140"/>
      <c r="AX102" s="140"/>
      <c r="AY102" s="141"/>
      <c r="AZ102" s="108"/>
      <c r="BA102" s="149"/>
      <c r="BB102" s="140"/>
      <c r="BC102" s="140"/>
      <c r="BD102" s="140"/>
      <c r="BE102" s="140"/>
      <c r="BF102" s="140"/>
      <c r="BG102" s="140"/>
      <c r="BH102" s="140"/>
      <c r="BI102" s="141"/>
      <c r="BJ102" s="108"/>
      <c r="BK102" s="149"/>
      <c r="BL102" s="140"/>
      <c r="BM102" s="140"/>
      <c r="BN102" s="140"/>
      <c r="BO102" s="140"/>
      <c r="BP102" s="140"/>
      <c r="BQ102" s="140"/>
      <c r="BR102" s="140"/>
      <c r="BS102" s="141"/>
    </row>
    <row r="103" spans="1:71" s="84" customFormat="1" ht="15.75">
      <c r="A103" s="107"/>
      <c r="B103" s="199"/>
      <c r="C103" s="200"/>
      <c r="D103" s="201"/>
      <c r="E103" s="202"/>
      <c r="F103" s="202"/>
      <c r="G103" s="202"/>
      <c r="H103" s="202"/>
      <c r="I103" s="202"/>
      <c r="J103" s="202"/>
      <c r="K103" s="203"/>
      <c r="L103" s="110"/>
      <c r="M103" s="140"/>
      <c r="N103" s="140"/>
      <c r="O103" s="140"/>
      <c r="P103" s="140"/>
      <c r="Q103" s="140"/>
      <c r="R103" s="140"/>
      <c r="S103" s="140"/>
      <c r="T103" s="140"/>
      <c r="U103" s="141"/>
      <c r="V103" s="108"/>
      <c r="W103" s="149"/>
      <c r="X103" s="150"/>
      <c r="Y103" s="140"/>
      <c r="Z103" s="140"/>
      <c r="AA103" s="140"/>
      <c r="AB103" s="140"/>
      <c r="AC103" s="140"/>
      <c r="AD103" s="140"/>
      <c r="AE103" s="141"/>
      <c r="AF103" s="108"/>
      <c r="AG103" s="149"/>
      <c r="AH103" s="150"/>
      <c r="AI103" s="140"/>
      <c r="AJ103" s="140"/>
      <c r="AK103" s="140"/>
      <c r="AL103" s="140"/>
      <c r="AM103" s="140"/>
      <c r="AN103" s="140"/>
      <c r="AO103" s="141"/>
      <c r="AP103" s="108"/>
      <c r="AQ103" s="149"/>
      <c r="AR103" s="150"/>
      <c r="AS103" s="140"/>
      <c r="AT103" s="140"/>
      <c r="AU103" s="140"/>
      <c r="AV103" s="140"/>
      <c r="AW103" s="140"/>
      <c r="AX103" s="140"/>
      <c r="AY103" s="141"/>
      <c r="AZ103" s="108"/>
      <c r="BA103" s="149"/>
      <c r="BB103" s="150"/>
      <c r="BC103" s="140"/>
      <c r="BD103" s="140"/>
      <c r="BE103" s="140"/>
      <c r="BF103" s="140"/>
      <c r="BG103" s="140"/>
      <c r="BH103" s="140"/>
      <c r="BI103" s="141"/>
      <c r="BJ103" s="108"/>
      <c r="BK103" s="149"/>
      <c r="BL103" s="150"/>
      <c r="BM103" s="140"/>
      <c r="BN103" s="140"/>
      <c r="BO103" s="140"/>
      <c r="BP103" s="140"/>
      <c r="BQ103" s="140"/>
      <c r="BR103" s="140"/>
      <c r="BS103" s="141"/>
    </row>
    <row r="104" spans="1:71" s="113" customFormat="1" ht="28.5" customHeight="1">
      <c r="A104" s="111" t="s">
        <v>66</v>
      </c>
      <c r="B104" s="221" t="str">
        <f>B2</f>
        <v>2015-16</v>
      </c>
      <c r="C104" s="486" t="str">
        <f>B104&amp;" COMMENTS"</f>
        <v>2015-16 COMMENTS</v>
      </c>
      <c r="D104" s="487"/>
      <c r="E104" s="487"/>
      <c r="F104" s="487"/>
      <c r="G104" s="487"/>
      <c r="H104" s="487"/>
      <c r="I104" s="487"/>
      <c r="J104" s="487"/>
      <c r="K104" s="310"/>
      <c r="L104" s="112" t="str">
        <f>L2</f>
        <v>2016-17</v>
      </c>
      <c r="M104" s="469" t="str">
        <f>L104&amp;" COMMENTS"</f>
        <v>2016-17 COMMENTS</v>
      </c>
      <c r="N104" s="470"/>
      <c r="O104" s="470"/>
      <c r="P104" s="470"/>
      <c r="Q104" s="470"/>
      <c r="R104" s="470"/>
      <c r="S104" s="470"/>
      <c r="T104" s="470"/>
      <c r="U104" s="376"/>
      <c r="V104" s="112" t="str">
        <f>V2</f>
        <v>2017-18</v>
      </c>
      <c r="W104" s="469" t="str">
        <f>V104&amp;" COMMENTS"</f>
        <v>2017-18 COMMENTS</v>
      </c>
      <c r="X104" s="470"/>
      <c r="Y104" s="470"/>
      <c r="Z104" s="470"/>
      <c r="AA104" s="470"/>
      <c r="AB104" s="470"/>
      <c r="AC104" s="470"/>
      <c r="AD104" s="470"/>
      <c r="AE104" s="376"/>
      <c r="AF104" s="112" t="str">
        <f>AF2</f>
        <v>2018-19</v>
      </c>
      <c r="AG104" s="469" t="str">
        <f>AF104&amp;" COMMENTS"</f>
        <v>2018-19 COMMENTS</v>
      </c>
      <c r="AH104" s="470"/>
      <c r="AI104" s="470"/>
      <c r="AJ104" s="470"/>
      <c r="AK104" s="470"/>
      <c r="AL104" s="470"/>
      <c r="AM104" s="470"/>
      <c r="AN104" s="470"/>
      <c r="AO104" s="376"/>
      <c r="AP104" s="112" t="str">
        <f>AP2</f>
        <v>2019-20</v>
      </c>
      <c r="AQ104" s="469" t="str">
        <f>AP104&amp;" COMMENTS"</f>
        <v>2019-20 COMMENTS</v>
      </c>
      <c r="AR104" s="470"/>
      <c r="AS104" s="470"/>
      <c r="AT104" s="470"/>
      <c r="AU104" s="470"/>
      <c r="AV104" s="470"/>
      <c r="AW104" s="470"/>
      <c r="AX104" s="470"/>
      <c r="AY104" s="471"/>
      <c r="AZ104" s="112" t="str">
        <f>AZ2</f>
        <v>2020-21</v>
      </c>
      <c r="BA104" s="469" t="str">
        <f>AZ104&amp;" COMMENTS"</f>
        <v>2020-21 COMMENTS</v>
      </c>
      <c r="BB104" s="470"/>
      <c r="BC104" s="470"/>
      <c r="BD104" s="470"/>
      <c r="BE104" s="470"/>
      <c r="BF104" s="470"/>
      <c r="BG104" s="470"/>
      <c r="BH104" s="470"/>
      <c r="BI104" s="471"/>
      <c r="BJ104" s="112" t="str">
        <f>BJ2</f>
        <v>2021-22</v>
      </c>
      <c r="BK104" s="469" t="str">
        <f>BJ104&amp;" COMMENTS"</f>
        <v>2021-22 COMMENTS</v>
      </c>
      <c r="BL104" s="470"/>
      <c r="BM104" s="470"/>
      <c r="BN104" s="470"/>
      <c r="BO104" s="470"/>
      <c r="BP104" s="470"/>
      <c r="BQ104" s="470"/>
      <c r="BR104" s="470"/>
      <c r="BS104" s="471"/>
    </row>
    <row r="105" spans="1:71" s="284" customFormat="1" ht="20.25" customHeight="1">
      <c r="A105" s="283" t="s">
        <v>67</v>
      </c>
      <c r="B105" s="286">
        <v>5836</v>
      </c>
      <c r="C105" s="472"/>
      <c r="D105" s="473"/>
      <c r="E105" s="473"/>
      <c r="F105" s="473"/>
      <c r="G105" s="473"/>
      <c r="H105" s="473"/>
      <c r="I105" s="473"/>
      <c r="J105" s="473"/>
      <c r="K105" s="311"/>
      <c r="L105" s="287">
        <v>3850</v>
      </c>
      <c r="M105" s="472"/>
      <c r="N105" s="473"/>
      <c r="O105" s="473"/>
      <c r="P105" s="473"/>
      <c r="Q105" s="473"/>
      <c r="R105" s="473"/>
      <c r="S105" s="473"/>
      <c r="T105" s="473"/>
      <c r="U105" s="311"/>
      <c r="V105" s="286">
        <v>3185</v>
      </c>
      <c r="W105" s="472"/>
      <c r="X105" s="473"/>
      <c r="Y105" s="473"/>
      <c r="Z105" s="473"/>
      <c r="AA105" s="473"/>
      <c r="AB105" s="473"/>
      <c r="AC105" s="473"/>
      <c r="AD105" s="473"/>
      <c r="AE105" s="311"/>
      <c r="AF105" s="286">
        <v>3095</v>
      </c>
      <c r="AG105" s="472"/>
      <c r="AH105" s="473"/>
      <c r="AI105" s="473"/>
      <c r="AJ105" s="473"/>
      <c r="AK105" s="473"/>
      <c r="AL105" s="473"/>
      <c r="AM105" s="473"/>
      <c r="AN105" s="473"/>
      <c r="AO105" s="311"/>
      <c r="AP105" s="286">
        <v>3056</v>
      </c>
      <c r="AQ105" s="474"/>
      <c r="AR105" s="475"/>
      <c r="AS105" s="475"/>
      <c r="AT105" s="475"/>
      <c r="AU105" s="475"/>
      <c r="AV105" s="475"/>
      <c r="AW105" s="475"/>
      <c r="AX105" s="475"/>
      <c r="AY105" s="478"/>
      <c r="AZ105" s="286">
        <v>2918</v>
      </c>
      <c r="BA105" s="474"/>
      <c r="BB105" s="475"/>
      <c r="BC105" s="475"/>
      <c r="BD105" s="475"/>
      <c r="BE105" s="475"/>
      <c r="BF105" s="475"/>
      <c r="BG105" s="475"/>
      <c r="BH105" s="475"/>
      <c r="BI105" s="478"/>
      <c r="BJ105" s="305">
        <v>2844</v>
      </c>
      <c r="BK105" s="480"/>
      <c r="BL105" s="481"/>
      <c r="BM105" s="481"/>
      <c r="BN105" s="481"/>
      <c r="BO105" s="481"/>
      <c r="BP105" s="481"/>
      <c r="BQ105" s="481"/>
      <c r="BR105" s="481"/>
      <c r="BS105" s="482"/>
    </row>
    <row r="106" spans="1:71" s="284" customFormat="1" ht="20.25" customHeight="1">
      <c r="A106" s="283" t="s">
        <v>68</v>
      </c>
      <c r="B106" s="286">
        <v>1641</v>
      </c>
      <c r="C106" s="474"/>
      <c r="D106" s="475"/>
      <c r="E106" s="475"/>
      <c r="F106" s="475"/>
      <c r="G106" s="475"/>
      <c r="H106" s="475"/>
      <c r="I106" s="475"/>
      <c r="J106" s="475"/>
      <c r="K106" s="374"/>
      <c r="L106" s="287">
        <v>1290</v>
      </c>
      <c r="M106" s="474"/>
      <c r="N106" s="475"/>
      <c r="O106" s="475"/>
      <c r="P106" s="475"/>
      <c r="Q106" s="475"/>
      <c r="R106" s="475"/>
      <c r="S106" s="475"/>
      <c r="T106" s="475"/>
      <c r="U106" s="374"/>
      <c r="V106" s="286">
        <v>1255</v>
      </c>
      <c r="W106" s="474"/>
      <c r="X106" s="475"/>
      <c r="Y106" s="475"/>
      <c r="Z106" s="475"/>
      <c r="AA106" s="475"/>
      <c r="AB106" s="475"/>
      <c r="AC106" s="475"/>
      <c r="AD106" s="475"/>
      <c r="AE106" s="374"/>
      <c r="AF106" s="286">
        <v>1294</v>
      </c>
      <c r="AG106" s="474"/>
      <c r="AH106" s="475"/>
      <c r="AI106" s="475"/>
      <c r="AJ106" s="475"/>
      <c r="AK106" s="475"/>
      <c r="AL106" s="475"/>
      <c r="AM106" s="475"/>
      <c r="AN106" s="475"/>
      <c r="AO106" s="374"/>
      <c r="AP106" s="286">
        <v>1296</v>
      </c>
      <c r="AQ106" s="474"/>
      <c r="AR106" s="475"/>
      <c r="AS106" s="475"/>
      <c r="AT106" s="475"/>
      <c r="AU106" s="475"/>
      <c r="AV106" s="475"/>
      <c r="AW106" s="475"/>
      <c r="AX106" s="475"/>
      <c r="AY106" s="478"/>
      <c r="AZ106" s="286">
        <v>1375</v>
      </c>
      <c r="BA106" s="474"/>
      <c r="BB106" s="475"/>
      <c r="BC106" s="475"/>
      <c r="BD106" s="475"/>
      <c r="BE106" s="475"/>
      <c r="BF106" s="475"/>
      <c r="BG106" s="475"/>
      <c r="BH106" s="475"/>
      <c r="BI106" s="478"/>
      <c r="BJ106" s="305">
        <v>1552</v>
      </c>
      <c r="BK106" s="480"/>
      <c r="BL106" s="481"/>
      <c r="BM106" s="481"/>
      <c r="BN106" s="481"/>
      <c r="BO106" s="481"/>
      <c r="BP106" s="481"/>
      <c r="BQ106" s="481"/>
      <c r="BR106" s="481"/>
      <c r="BS106" s="482"/>
    </row>
    <row r="107" spans="1:71" s="284" customFormat="1" ht="20.25" customHeight="1">
      <c r="A107" s="283" t="s">
        <v>69</v>
      </c>
      <c r="B107" s="286">
        <v>1058</v>
      </c>
      <c r="C107" s="474"/>
      <c r="D107" s="475"/>
      <c r="E107" s="475"/>
      <c r="F107" s="475"/>
      <c r="G107" s="475"/>
      <c r="H107" s="475"/>
      <c r="I107" s="475"/>
      <c r="J107" s="475"/>
      <c r="K107" s="374"/>
      <c r="L107" s="287">
        <v>915</v>
      </c>
      <c r="M107" s="474"/>
      <c r="N107" s="475"/>
      <c r="O107" s="475"/>
      <c r="P107" s="475"/>
      <c r="Q107" s="475"/>
      <c r="R107" s="475"/>
      <c r="S107" s="475"/>
      <c r="T107" s="475"/>
      <c r="U107" s="374"/>
      <c r="V107" s="286">
        <v>854</v>
      </c>
      <c r="W107" s="474"/>
      <c r="X107" s="475"/>
      <c r="Y107" s="475"/>
      <c r="Z107" s="475"/>
      <c r="AA107" s="475"/>
      <c r="AB107" s="475"/>
      <c r="AC107" s="475"/>
      <c r="AD107" s="475"/>
      <c r="AE107" s="374"/>
      <c r="AF107" s="286">
        <v>819</v>
      </c>
      <c r="AG107" s="474"/>
      <c r="AH107" s="475"/>
      <c r="AI107" s="475"/>
      <c r="AJ107" s="475"/>
      <c r="AK107" s="475"/>
      <c r="AL107" s="475"/>
      <c r="AM107" s="475"/>
      <c r="AN107" s="475"/>
      <c r="AO107" s="374"/>
      <c r="AP107" s="286">
        <v>770</v>
      </c>
      <c r="AQ107" s="474"/>
      <c r="AR107" s="475"/>
      <c r="AS107" s="475"/>
      <c r="AT107" s="475"/>
      <c r="AU107" s="475"/>
      <c r="AV107" s="475"/>
      <c r="AW107" s="475"/>
      <c r="AX107" s="475"/>
      <c r="AY107" s="478"/>
      <c r="AZ107" s="286">
        <v>869</v>
      </c>
      <c r="BA107" s="474"/>
      <c r="BB107" s="475"/>
      <c r="BC107" s="475"/>
      <c r="BD107" s="475"/>
      <c r="BE107" s="475"/>
      <c r="BF107" s="475"/>
      <c r="BG107" s="475"/>
      <c r="BH107" s="475"/>
      <c r="BI107" s="478"/>
      <c r="BJ107" s="305">
        <v>884</v>
      </c>
      <c r="BK107" s="480"/>
      <c r="BL107" s="481"/>
      <c r="BM107" s="481"/>
      <c r="BN107" s="481"/>
      <c r="BO107" s="481"/>
      <c r="BP107" s="481"/>
      <c r="BQ107" s="481"/>
      <c r="BR107" s="481"/>
      <c r="BS107" s="482"/>
    </row>
    <row r="108" spans="1:71" s="284" customFormat="1" ht="20.25" customHeight="1">
      <c r="A108" s="283" t="s">
        <v>70</v>
      </c>
      <c r="B108" s="212">
        <f>IFERROR(B106/B105,"")</f>
        <v>0.28118574366004112</v>
      </c>
      <c r="C108" s="474"/>
      <c r="D108" s="475"/>
      <c r="E108" s="475"/>
      <c r="F108" s="475"/>
      <c r="G108" s="475"/>
      <c r="H108" s="475"/>
      <c r="I108" s="475"/>
      <c r="J108" s="475"/>
      <c r="K108" s="374"/>
      <c r="L108" s="216">
        <f>IFERROR(L106/L105,"")</f>
        <v>0.33506493506493507</v>
      </c>
      <c r="M108" s="474"/>
      <c r="N108" s="475"/>
      <c r="O108" s="475"/>
      <c r="P108" s="475"/>
      <c r="Q108" s="475"/>
      <c r="R108" s="475"/>
      <c r="S108" s="475"/>
      <c r="T108" s="475"/>
      <c r="U108" s="374"/>
      <c r="V108" s="216">
        <f>IFERROR(V106/V105,"")</f>
        <v>0.39403453689167978</v>
      </c>
      <c r="W108" s="474"/>
      <c r="X108" s="475"/>
      <c r="Y108" s="475"/>
      <c r="Z108" s="475"/>
      <c r="AA108" s="475"/>
      <c r="AB108" s="475"/>
      <c r="AC108" s="475"/>
      <c r="AD108" s="475"/>
      <c r="AE108" s="374"/>
      <c r="AF108" s="216">
        <f>IFERROR(AF106/AF105,"")</f>
        <v>0.41809369951534736</v>
      </c>
      <c r="AG108" s="474"/>
      <c r="AH108" s="475"/>
      <c r="AI108" s="475"/>
      <c r="AJ108" s="475"/>
      <c r="AK108" s="475"/>
      <c r="AL108" s="475"/>
      <c r="AM108" s="475"/>
      <c r="AN108" s="475"/>
      <c r="AO108" s="374"/>
      <c r="AP108" s="216">
        <f>IFERROR(AP106/AP105,"")</f>
        <v>0.42408376963350786</v>
      </c>
      <c r="AQ108" s="474"/>
      <c r="AR108" s="475"/>
      <c r="AS108" s="475"/>
      <c r="AT108" s="475"/>
      <c r="AU108" s="475"/>
      <c r="AV108" s="475"/>
      <c r="AW108" s="475"/>
      <c r="AX108" s="475"/>
      <c r="AY108" s="478"/>
      <c r="AZ108" s="216">
        <f>IFERROR(AZ106/AZ105,"")</f>
        <v>0.47121315969842359</v>
      </c>
      <c r="BA108" s="474"/>
      <c r="BB108" s="475"/>
      <c r="BC108" s="475"/>
      <c r="BD108" s="475"/>
      <c r="BE108" s="475"/>
      <c r="BF108" s="475"/>
      <c r="BG108" s="475"/>
      <c r="BH108" s="475"/>
      <c r="BI108" s="478"/>
      <c r="BJ108" s="216">
        <f>IFERROR(BJ106/BJ105,"")</f>
        <v>0.54571026722925453</v>
      </c>
      <c r="BK108" s="480"/>
      <c r="BL108" s="481"/>
      <c r="BM108" s="481"/>
      <c r="BN108" s="481"/>
      <c r="BO108" s="481"/>
      <c r="BP108" s="481"/>
      <c r="BQ108" s="481"/>
      <c r="BR108" s="481"/>
      <c r="BS108" s="482"/>
    </row>
    <row r="109" spans="1:71" s="284" customFormat="1" ht="20.25" customHeight="1">
      <c r="A109" s="283" t="s">
        <v>71</v>
      </c>
      <c r="B109" s="286">
        <v>1288</v>
      </c>
      <c r="C109" s="474"/>
      <c r="D109" s="475"/>
      <c r="E109" s="475"/>
      <c r="F109" s="475"/>
      <c r="G109" s="475"/>
      <c r="H109" s="475"/>
      <c r="I109" s="475"/>
      <c r="J109" s="475"/>
      <c r="K109" s="374"/>
      <c r="L109" s="287">
        <v>1138</v>
      </c>
      <c r="M109" s="474"/>
      <c r="N109" s="475"/>
      <c r="O109" s="475"/>
      <c r="P109" s="475"/>
      <c r="Q109" s="475"/>
      <c r="R109" s="475"/>
      <c r="S109" s="475"/>
      <c r="T109" s="475"/>
      <c r="U109" s="374"/>
      <c r="V109" s="286">
        <v>1041</v>
      </c>
      <c r="W109" s="474"/>
      <c r="X109" s="475"/>
      <c r="Y109" s="475"/>
      <c r="Z109" s="475"/>
      <c r="AA109" s="475"/>
      <c r="AB109" s="475"/>
      <c r="AC109" s="475"/>
      <c r="AD109" s="475"/>
      <c r="AE109" s="374"/>
      <c r="AF109" s="286">
        <v>1096</v>
      </c>
      <c r="AG109" s="474"/>
      <c r="AH109" s="475"/>
      <c r="AI109" s="475"/>
      <c r="AJ109" s="475"/>
      <c r="AK109" s="475"/>
      <c r="AL109" s="475"/>
      <c r="AM109" s="475"/>
      <c r="AN109" s="475"/>
      <c r="AO109" s="374"/>
      <c r="AP109" s="286">
        <v>1129</v>
      </c>
      <c r="AQ109" s="474"/>
      <c r="AR109" s="475"/>
      <c r="AS109" s="475"/>
      <c r="AT109" s="475"/>
      <c r="AU109" s="475"/>
      <c r="AV109" s="475"/>
      <c r="AW109" s="475"/>
      <c r="AX109" s="475"/>
      <c r="AY109" s="478"/>
      <c r="AZ109" s="286">
        <v>1133</v>
      </c>
      <c r="BA109" s="474"/>
      <c r="BB109" s="475"/>
      <c r="BC109" s="475"/>
      <c r="BD109" s="475"/>
      <c r="BE109" s="475"/>
      <c r="BF109" s="475"/>
      <c r="BG109" s="475"/>
      <c r="BH109" s="475"/>
      <c r="BI109" s="478"/>
      <c r="BJ109" s="305">
        <v>1329</v>
      </c>
      <c r="BK109" s="480"/>
      <c r="BL109" s="481"/>
      <c r="BM109" s="481"/>
      <c r="BN109" s="481"/>
      <c r="BO109" s="481"/>
      <c r="BP109" s="481"/>
      <c r="BQ109" s="481"/>
      <c r="BR109" s="481"/>
      <c r="BS109" s="482"/>
    </row>
    <row r="110" spans="1:71" s="284" customFormat="1" ht="20.25" customHeight="1">
      <c r="A110" s="283" t="s">
        <v>72</v>
      </c>
      <c r="B110" s="212">
        <f>IFERROR(B109/B106,"")</f>
        <v>0.78488726386349783</v>
      </c>
      <c r="C110" s="474"/>
      <c r="D110" s="475"/>
      <c r="E110" s="475"/>
      <c r="F110" s="475"/>
      <c r="G110" s="475"/>
      <c r="H110" s="475"/>
      <c r="I110" s="475"/>
      <c r="J110" s="475"/>
      <c r="K110" s="374"/>
      <c r="L110" s="216">
        <f>IFERROR(L109/L106,"")</f>
        <v>0.88217054263565886</v>
      </c>
      <c r="M110" s="474"/>
      <c r="N110" s="475"/>
      <c r="O110" s="475"/>
      <c r="P110" s="475"/>
      <c r="Q110" s="475"/>
      <c r="R110" s="475"/>
      <c r="S110" s="475"/>
      <c r="T110" s="475"/>
      <c r="U110" s="374"/>
      <c r="V110" s="216">
        <f>IFERROR(V109/V106,"")</f>
        <v>0.82948207171314736</v>
      </c>
      <c r="W110" s="474"/>
      <c r="X110" s="475"/>
      <c r="Y110" s="475"/>
      <c r="Z110" s="475"/>
      <c r="AA110" s="475"/>
      <c r="AB110" s="475"/>
      <c r="AC110" s="475"/>
      <c r="AD110" s="475"/>
      <c r="AE110" s="374"/>
      <c r="AF110" s="216">
        <f>IFERROR(AF109/AF106,"")</f>
        <v>0.84698608964451316</v>
      </c>
      <c r="AG110" s="474"/>
      <c r="AH110" s="475"/>
      <c r="AI110" s="475"/>
      <c r="AJ110" s="475"/>
      <c r="AK110" s="475"/>
      <c r="AL110" s="475"/>
      <c r="AM110" s="475"/>
      <c r="AN110" s="475"/>
      <c r="AO110" s="374"/>
      <c r="AP110" s="216">
        <f>IFERROR(AP109/AP106,"")</f>
        <v>0.87114197530864201</v>
      </c>
      <c r="AQ110" s="474"/>
      <c r="AR110" s="475"/>
      <c r="AS110" s="475"/>
      <c r="AT110" s="475"/>
      <c r="AU110" s="475"/>
      <c r="AV110" s="475"/>
      <c r="AW110" s="475"/>
      <c r="AX110" s="475"/>
      <c r="AY110" s="478"/>
      <c r="AZ110" s="216">
        <f>IFERROR(AZ109/AZ106,"")</f>
        <v>0.82399999999999995</v>
      </c>
      <c r="BA110" s="474"/>
      <c r="BB110" s="475"/>
      <c r="BC110" s="475"/>
      <c r="BD110" s="475"/>
      <c r="BE110" s="475"/>
      <c r="BF110" s="475"/>
      <c r="BG110" s="475"/>
      <c r="BH110" s="475"/>
      <c r="BI110" s="478"/>
      <c r="BJ110" s="216">
        <f>IFERROR(BJ109/BJ106,"")</f>
        <v>0.85631443298969068</v>
      </c>
      <c r="BK110" s="480"/>
      <c r="BL110" s="481"/>
      <c r="BM110" s="481"/>
      <c r="BN110" s="481"/>
      <c r="BO110" s="481"/>
      <c r="BP110" s="481"/>
      <c r="BQ110" s="481"/>
      <c r="BR110" s="481"/>
      <c r="BS110" s="482"/>
    </row>
    <row r="111" spans="1:71" s="284" customFormat="1" ht="20.25" customHeight="1">
      <c r="A111" s="283" t="s">
        <v>73</v>
      </c>
      <c r="B111" s="214">
        <f>C100</f>
        <v>6356852.9100000001</v>
      </c>
      <c r="C111" s="474"/>
      <c r="D111" s="475"/>
      <c r="E111" s="475"/>
      <c r="F111" s="475"/>
      <c r="G111" s="475"/>
      <c r="H111" s="475"/>
      <c r="I111" s="475"/>
      <c r="J111" s="475"/>
      <c r="K111" s="374"/>
      <c r="L111" s="214">
        <f>M100</f>
        <v>6453081.4000000004</v>
      </c>
      <c r="M111" s="474"/>
      <c r="N111" s="475"/>
      <c r="O111" s="475"/>
      <c r="P111" s="475"/>
      <c r="Q111" s="475"/>
      <c r="R111" s="475"/>
      <c r="S111" s="475"/>
      <c r="T111" s="475"/>
      <c r="U111" s="374"/>
      <c r="V111" s="214">
        <f>W100</f>
        <v>6259720.4500000002</v>
      </c>
      <c r="W111" s="474"/>
      <c r="X111" s="475"/>
      <c r="Y111" s="475"/>
      <c r="Z111" s="475"/>
      <c r="AA111" s="475"/>
      <c r="AB111" s="475"/>
      <c r="AC111" s="475"/>
      <c r="AD111" s="475"/>
      <c r="AE111" s="374"/>
      <c r="AF111" s="214">
        <f>AG100</f>
        <v>6132306</v>
      </c>
      <c r="AG111" s="474"/>
      <c r="AH111" s="475"/>
      <c r="AI111" s="475"/>
      <c r="AJ111" s="475"/>
      <c r="AK111" s="475"/>
      <c r="AL111" s="475"/>
      <c r="AM111" s="475"/>
      <c r="AN111" s="475"/>
      <c r="AO111" s="374"/>
      <c r="AP111" s="214">
        <f>AQ100</f>
        <v>6237510.5999999996</v>
      </c>
      <c r="AQ111" s="474"/>
      <c r="AR111" s="475"/>
      <c r="AS111" s="475"/>
      <c r="AT111" s="475"/>
      <c r="AU111" s="475"/>
      <c r="AV111" s="475"/>
      <c r="AW111" s="475"/>
      <c r="AX111" s="475"/>
      <c r="AY111" s="478"/>
      <c r="AZ111" s="214">
        <f>BA100</f>
        <v>7043103.8999999994</v>
      </c>
      <c r="BA111" s="474"/>
      <c r="BB111" s="475"/>
      <c r="BC111" s="475"/>
      <c r="BD111" s="475"/>
      <c r="BE111" s="475"/>
      <c r="BF111" s="475"/>
      <c r="BG111" s="475"/>
      <c r="BH111" s="475"/>
      <c r="BI111" s="478"/>
      <c r="BJ111" s="214">
        <f>BK100</f>
        <v>7386553.0300000003</v>
      </c>
      <c r="BK111" s="480"/>
      <c r="BL111" s="481"/>
      <c r="BM111" s="481"/>
      <c r="BN111" s="481"/>
      <c r="BO111" s="481"/>
      <c r="BP111" s="481"/>
      <c r="BQ111" s="481"/>
      <c r="BR111" s="481"/>
      <c r="BS111" s="482"/>
    </row>
    <row r="112" spans="1:71" s="284" customFormat="1" ht="20.25" customHeight="1">
      <c r="A112" s="283" t="s">
        <v>74</v>
      </c>
      <c r="B112" s="214">
        <f>J100</f>
        <v>4863478.0600000005</v>
      </c>
      <c r="C112" s="474"/>
      <c r="D112" s="475"/>
      <c r="E112" s="475"/>
      <c r="F112" s="475"/>
      <c r="G112" s="475"/>
      <c r="H112" s="475"/>
      <c r="I112" s="475"/>
      <c r="J112" s="475"/>
      <c r="K112" s="374"/>
      <c r="L112" s="214">
        <f>T100</f>
        <v>4915718</v>
      </c>
      <c r="M112" s="474"/>
      <c r="N112" s="475"/>
      <c r="O112" s="475"/>
      <c r="P112" s="475"/>
      <c r="Q112" s="475"/>
      <c r="R112" s="475"/>
      <c r="S112" s="475"/>
      <c r="T112" s="475"/>
      <c r="U112" s="374"/>
      <c r="V112" s="214">
        <f>AD100</f>
        <v>4793186.45</v>
      </c>
      <c r="W112" s="474"/>
      <c r="X112" s="475"/>
      <c r="Y112" s="475"/>
      <c r="Z112" s="475"/>
      <c r="AA112" s="475"/>
      <c r="AB112" s="475"/>
      <c r="AC112" s="475"/>
      <c r="AD112" s="475"/>
      <c r="AE112" s="374"/>
      <c r="AF112" s="214">
        <f>AN100</f>
        <v>4578228</v>
      </c>
      <c r="AG112" s="474"/>
      <c r="AH112" s="475"/>
      <c r="AI112" s="475"/>
      <c r="AJ112" s="475"/>
      <c r="AK112" s="475"/>
      <c r="AL112" s="475"/>
      <c r="AM112" s="475"/>
      <c r="AN112" s="475"/>
      <c r="AO112" s="374"/>
      <c r="AP112" s="214">
        <f>AX100</f>
        <v>4811262.4000000004</v>
      </c>
      <c r="AQ112" s="474"/>
      <c r="AR112" s="475"/>
      <c r="AS112" s="475"/>
      <c r="AT112" s="475"/>
      <c r="AU112" s="475"/>
      <c r="AV112" s="475"/>
      <c r="AW112" s="475"/>
      <c r="AX112" s="475"/>
      <c r="AY112" s="478"/>
      <c r="AZ112" s="214">
        <f>BH100</f>
        <v>5342027.5</v>
      </c>
      <c r="BA112" s="474"/>
      <c r="BB112" s="475"/>
      <c r="BC112" s="475"/>
      <c r="BD112" s="475"/>
      <c r="BE112" s="475"/>
      <c r="BF112" s="475"/>
      <c r="BG112" s="475"/>
      <c r="BH112" s="475"/>
      <c r="BI112" s="478"/>
      <c r="BJ112" s="214">
        <f>BR100</f>
        <v>5609430.3800000008</v>
      </c>
      <c r="BK112" s="480"/>
      <c r="BL112" s="481"/>
      <c r="BM112" s="481"/>
      <c r="BN112" s="481"/>
      <c r="BO112" s="481"/>
      <c r="BP112" s="481"/>
      <c r="BQ112" s="481"/>
      <c r="BR112" s="481"/>
      <c r="BS112" s="482"/>
    </row>
    <row r="113" spans="1:71" s="321" customFormat="1" ht="20.25" customHeight="1">
      <c r="A113" s="283" t="s">
        <v>176</v>
      </c>
      <c r="B113" s="322">
        <f>SUMIFS(J7:J28,E7:E28,"&gt;0")+
SUMIFS(J30:J44,E30:E44,"&gt;0")+
SUMIFS(J46:J58,E46:E58,"&gt;0")+
SUMIFS(J62:J72,E62:E72,"&gt;0")+
SUMIFS(J74:J84,E74:E84,"&gt;0")+
SUMIFS(J88:J97,E88:E97,"&gt;0")</f>
        <v>582596.06000000006</v>
      </c>
      <c r="C113" s="474"/>
      <c r="D113" s="475"/>
      <c r="E113" s="475"/>
      <c r="F113" s="475"/>
      <c r="G113" s="475"/>
      <c r="H113" s="475"/>
      <c r="I113" s="475"/>
      <c r="J113" s="475"/>
      <c r="K113" s="374"/>
      <c r="L113" s="322">
        <f>SUMIFS(T7:T28,O7:O28,"&gt;0")+
SUMIFS(T30:T44,O30:O44,"&gt;0")+
SUMIFS(T46:T58,O46:O58,"&gt;0")+
SUMIFS(T62:T72,O62:O72,"&gt;0")+
SUMIFS(T74:T84,O74:O84,"&gt;0")+
SUMIFS(T88:T97,O88:O97,"&gt;0")</f>
        <v>608940</v>
      </c>
      <c r="M113" s="474"/>
      <c r="N113" s="475"/>
      <c r="O113" s="475"/>
      <c r="P113" s="475"/>
      <c r="Q113" s="475"/>
      <c r="R113" s="475"/>
      <c r="S113" s="475"/>
      <c r="T113" s="475"/>
      <c r="U113" s="374"/>
      <c r="V113" s="322">
        <f>SUMIFS(AD7:AD28,Y7:Y28,"&gt;0")+
SUMIFS(AD30:AD44,Y30:Y44,"&gt;0")+
SUMIFS(AD46:AD58,Y46:Y58,"&gt;0")+
SUMIFS(AD62:AD72,Y62:Y72,"&gt;0")+
SUMIFS(AD74:AD84,Y74:Y84,"&gt;0")+
SUMIFS(AD88:AD97,Y88:Y97,"&gt;0")</f>
        <v>771532</v>
      </c>
      <c r="W113" s="474"/>
      <c r="X113" s="475"/>
      <c r="Y113" s="475"/>
      <c r="Z113" s="475"/>
      <c r="AA113" s="475"/>
      <c r="AB113" s="475"/>
      <c r="AC113" s="475"/>
      <c r="AD113" s="475"/>
      <c r="AE113" s="374"/>
      <c r="AF113" s="322">
        <f>SUMIFS(AN7:AN28,AI7:AI28,"&gt;0")+
SUMIFS(AN30:AN44,AI30:AI44,"&gt;0")+
SUMIFS(AN46:AN58,AI46:AI58,"&gt;0")+
SUMIFS(AN62:AN72,AI62:AI72,"&gt;0")+
SUMIFS(AN74:AN84,AI74:AI84,"&gt;0")+
SUMIFS(AN88:AN97,AI88:AI97,"&gt;0")</f>
        <v>766622</v>
      </c>
      <c r="AG113" s="474"/>
      <c r="AH113" s="475"/>
      <c r="AI113" s="475"/>
      <c r="AJ113" s="475"/>
      <c r="AK113" s="475"/>
      <c r="AL113" s="475"/>
      <c r="AM113" s="475"/>
      <c r="AN113" s="475"/>
      <c r="AO113" s="374"/>
      <c r="AP113" s="322">
        <f>SUMIFS(AX7:AX28,AS7:AS28,"&gt;0")+
SUMIFS(AX30:AX44,AS30:AS44,"&gt;0")+
SUMIFS(AX46:AX58,AS46:AS58,"&gt;0")+
SUMIFS(AX62:AX72,AS62:AS72,"&gt;0")+
SUMIFS(AX74:AX84,AS74:AS84,"&gt;0")+
SUMIFS(AX88:AX97,AS88:AS97,"&gt;0")</f>
        <v>832716.4</v>
      </c>
      <c r="AQ113" s="474"/>
      <c r="AR113" s="475"/>
      <c r="AS113" s="475"/>
      <c r="AT113" s="475"/>
      <c r="AU113" s="475"/>
      <c r="AV113" s="475"/>
      <c r="AW113" s="475"/>
      <c r="AX113" s="475"/>
      <c r="AY113" s="478"/>
      <c r="AZ113" s="322">
        <f>SUMIFS(BH7:BH28,BC7:BC28,"&gt;0")+
SUMIFS(BH30:BH44,BC30:BC44,"&gt;0")+
SUMIFS(BH46:BH58,BC46:BC58,"&gt;0")+
SUMIFS(BH62:BH72,BC62:BC72,"&gt;0")+
SUMIFS(BH74:BH84,BC74:BC84,"&gt;0")+
SUMIFS(BH88:BH97,BC88:BC97,"&gt;0")</f>
        <v>599946.6</v>
      </c>
      <c r="BA113" s="474"/>
      <c r="BB113" s="475"/>
      <c r="BC113" s="475"/>
      <c r="BD113" s="475"/>
      <c r="BE113" s="475"/>
      <c r="BF113" s="475"/>
      <c r="BG113" s="475"/>
      <c r="BH113" s="475"/>
      <c r="BI113" s="478"/>
      <c r="BJ113" s="322">
        <f>SUMIFS(BR7:BR28,BM7:BM28,"&gt;0")+
SUMIFS(BR30:BR44,BM30:BM44,"&gt;0")+
SUMIFS(BR46:BR58,BM46:BM58,"&gt;0")+
SUMIFS(BR62:BR72,BM62:BM72,"&gt;0")+
SUMIFS(BR74:BR84,BM74:BM84,"&gt;0")+
SUMIFS(BR88:BR97,BM88:BM97,"&gt;0")</f>
        <v>589233.86</v>
      </c>
      <c r="BK113" s="480"/>
      <c r="BL113" s="481"/>
      <c r="BM113" s="481"/>
      <c r="BN113" s="481"/>
      <c r="BO113" s="481"/>
      <c r="BP113" s="481"/>
      <c r="BQ113" s="481"/>
      <c r="BR113" s="481"/>
      <c r="BS113" s="482"/>
    </row>
    <row r="114" spans="1:71" s="321" customFormat="1" ht="20.25" customHeight="1">
      <c r="A114" s="283" t="s">
        <v>177</v>
      </c>
      <c r="B114" s="322">
        <f>E100-B113</f>
        <v>442509.85</v>
      </c>
      <c r="C114" s="474"/>
      <c r="D114" s="475"/>
      <c r="E114" s="475"/>
      <c r="F114" s="475"/>
      <c r="G114" s="475"/>
      <c r="H114" s="475"/>
      <c r="I114" s="475"/>
      <c r="J114" s="475"/>
      <c r="K114" s="374"/>
      <c r="L114" s="322">
        <f>O100-L113</f>
        <v>303962.40000000002</v>
      </c>
      <c r="M114" s="474"/>
      <c r="N114" s="475"/>
      <c r="O114" s="475"/>
      <c r="P114" s="475"/>
      <c r="Q114" s="475"/>
      <c r="R114" s="475"/>
      <c r="S114" s="475"/>
      <c r="T114" s="475"/>
      <c r="U114" s="374"/>
      <c r="V114" s="322">
        <f>Y100-V113</f>
        <v>235482</v>
      </c>
      <c r="W114" s="474"/>
      <c r="X114" s="475"/>
      <c r="Y114" s="475"/>
      <c r="Z114" s="475"/>
      <c r="AA114" s="475"/>
      <c r="AB114" s="475"/>
      <c r="AC114" s="475"/>
      <c r="AD114" s="475"/>
      <c r="AE114" s="374"/>
      <c r="AF114" s="322">
        <f>AI100-AF113</f>
        <v>327126</v>
      </c>
      <c r="AG114" s="474"/>
      <c r="AH114" s="475"/>
      <c r="AI114" s="475"/>
      <c r="AJ114" s="475"/>
      <c r="AK114" s="475"/>
      <c r="AL114" s="475"/>
      <c r="AM114" s="475"/>
      <c r="AN114" s="475"/>
      <c r="AO114" s="374"/>
      <c r="AP114" s="322">
        <f>AS100-AP113</f>
        <v>258373.20000000007</v>
      </c>
      <c r="AQ114" s="474"/>
      <c r="AR114" s="475"/>
      <c r="AS114" s="475"/>
      <c r="AT114" s="475"/>
      <c r="AU114" s="475"/>
      <c r="AV114" s="475"/>
      <c r="AW114" s="475"/>
      <c r="AX114" s="475"/>
      <c r="AY114" s="478"/>
      <c r="AZ114" s="322">
        <f>BC100-AZ113</f>
        <v>529074.00000000012</v>
      </c>
      <c r="BA114" s="474"/>
      <c r="BB114" s="475"/>
      <c r="BC114" s="475"/>
      <c r="BD114" s="475"/>
      <c r="BE114" s="475"/>
      <c r="BF114" s="475"/>
      <c r="BG114" s="475"/>
      <c r="BH114" s="475"/>
      <c r="BI114" s="478"/>
      <c r="BJ114" s="322">
        <f>BM100-BJ113</f>
        <v>468674.92000000004</v>
      </c>
      <c r="BK114" s="480"/>
      <c r="BL114" s="481"/>
      <c r="BM114" s="481"/>
      <c r="BN114" s="481"/>
      <c r="BO114" s="481"/>
      <c r="BP114" s="481"/>
      <c r="BQ114" s="481"/>
      <c r="BR114" s="481"/>
      <c r="BS114" s="482"/>
    </row>
    <row r="115" spans="1:71" s="284" customFormat="1" ht="20.25" customHeight="1">
      <c r="A115" s="283" t="s">
        <v>178</v>
      </c>
      <c r="B115" s="212">
        <f>IFERROR(B112/B111,"")</f>
        <v>0.76507638746041084</v>
      </c>
      <c r="C115" s="474"/>
      <c r="D115" s="475"/>
      <c r="E115" s="475"/>
      <c r="F115" s="475"/>
      <c r="G115" s="475"/>
      <c r="H115" s="475"/>
      <c r="I115" s="475"/>
      <c r="J115" s="475"/>
      <c r="K115" s="374"/>
      <c r="L115" s="216">
        <f>IFERROR(L112/L111,"")</f>
        <v>0.761762899814033</v>
      </c>
      <c r="M115" s="474"/>
      <c r="N115" s="475"/>
      <c r="O115" s="475"/>
      <c r="P115" s="475"/>
      <c r="Q115" s="475"/>
      <c r="R115" s="475"/>
      <c r="S115" s="475"/>
      <c r="T115" s="475"/>
      <c r="U115" s="374"/>
      <c r="V115" s="216">
        <f>IFERROR(V112/V111,"")</f>
        <v>0.76571893078707698</v>
      </c>
      <c r="W115" s="474"/>
      <c r="X115" s="475"/>
      <c r="Y115" s="475"/>
      <c r="Z115" s="475"/>
      <c r="AA115" s="475"/>
      <c r="AB115" s="475"/>
      <c r="AC115" s="475"/>
      <c r="AD115" s="475"/>
      <c r="AE115" s="374"/>
      <c r="AF115" s="216">
        <f>IFERROR(AF112/AF111,"")</f>
        <v>0.74657526874881974</v>
      </c>
      <c r="AG115" s="474"/>
      <c r="AH115" s="475"/>
      <c r="AI115" s="475"/>
      <c r="AJ115" s="475"/>
      <c r="AK115" s="475"/>
      <c r="AL115" s="475"/>
      <c r="AM115" s="475"/>
      <c r="AN115" s="475"/>
      <c r="AO115" s="374"/>
      <c r="AP115" s="216">
        <f>IFERROR(AP112/AP111,"")</f>
        <v>0.77134336252671065</v>
      </c>
      <c r="AQ115" s="474"/>
      <c r="AR115" s="475"/>
      <c r="AS115" s="475"/>
      <c r="AT115" s="475"/>
      <c r="AU115" s="475"/>
      <c r="AV115" s="475"/>
      <c r="AW115" s="475"/>
      <c r="AX115" s="475"/>
      <c r="AY115" s="478"/>
      <c r="AZ115" s="216">
        <f>IFERROR(AZ112/AZ111,"")</f>
        <v>0.75847631610262067</v>
      </c>
      <c r="BA115" s="474"/>
      <c r="BB115" s="475"/>
      <c r="BC115" s="475"/>
      <c r="BD115" s="475"/>
      <c r="BE115" s="475"/>
      <c r="BF115" s="475"/>
      <c r="BG115" s="475"/>
      <c r="BH115" s="475"/>
      <c r="BI115" s="478"/>
      <c r="BJ115" s="216">
        <f>IFERROR(BJ112/BJ111,"")</f>
        <v>0.75941110247468169</v>
      </c>
      <c r="BK115" s="480"/>
      <c r="BL115" s="481"/>
      <c r="BM115" s="481"/>
      <c r="BN115" s="481"/>
      <c r="BO115" s="481"/>
      <c r="BP115" s="481"/>
      <c r="BQ115" s="481"/>
      <c r="BR115" s="481"/>
      <c r="BS115" s="482"/>
    </row>
    <row r="116" spans="1:71" s="284" customFormat="1" ht="20.25" customHeight="1">
      <c r="A116" s="283" t="s">
        <v>179</v>
      </c>
      <c r="B116" s="288">
        <v>3687891</v>
      </c>
      <c r="C116" s="474"/>
      <c r="D116" s="475"/>
      <c r="E116" s="475"/>
      <c r="F116" s="475"/>
      <c r="G116" s="475"/>
      <c r="H116" s="475"/>
      <c r="I116" s="475"/>
      <c r="J116" s="475"/>
      <c r="K116" s="374"/>
      <c r="L116" s="289">
        <v>3678858</v>
      </c>
      <c r="M116" s="474"/>
      <c r="N116" s="475"/>
      <c r="O116" s="475"/>
      <c r="P116" s="475"/>
      <c r="Q116" s="475"/>
      <c r="R116" s="475"/>
      <c r="S116" s="475"/>
      <c r="T116" s="475"/>
      <c r="U116" s="374"/>
      <c r="V116" s="288">
        <v>3801328</v>
      </c>
      <c r="W116" s="474"/>
      <c r="X116" s="475"/>
      <c r="Y116" s="475"/>
      <c r="Z116" s="475"/>
      <c r="AA116" s="475"/>
      <c r="AB116" s="475"/>
      <c r="AC116" s="475"/>
      <c r="AD116" s="475"/>
      <c r="AE116" s="374"/>
      <c r="AF116" s="288">
        <v>3771437</v>
      </c>
      <c r="AG116" s="474"/>
      <c r="AH116" s="475"/>
      <c r="AI116" s="475"/>
      <c r="AJ116" s="475"/>
      <c r="AK116" s="475"/>
      <c r="AL116" s="475"/>
      <c r="AM116" s="475"/>
      <c r="AN116" s="475"/>
      <c r="AO116" s="374"/>
      <c r="AP116" s="288">
        <v>3530897</v>
      </c>
      <c r="AQ116" s="474"/>
      <c r="AR116" s="475"/>
      <c r="AS116" s="475"/>
      <c r="AT116" s="475"/>
      <c r="AU116" s="475"/>
      <c r="AV116" s="475"/>
      <c r="AW116" s="475"/>
      <c r="AX116" s="475"/>
      <c r="AY116" s="478"/>
      <c r="AZ116" s="288">
        <v>3697433</v>
      </c>
      <c r="BA116" s="474"/>
      <c r="BB116" s="475"/>
      <c r="BC116" s="475"/>
      <c r="BD116" s="475"/>
      <c r="BE116" s="475"/>
      <c r="BF116" s="475"/>
      <c r="BG116" s="475"/>
      <c r="BH116" s="475"/>
      <c r="BI116" s="478"/>
      <c r="BJ116" s="306">
        <v>3973535</v>
      </c>
      <c r="BK116" s="480"/>
      <c r="BL116" s="481"/>
      <c r="BM116" s="481"/>
      <c r="BN116" s="481"/>
      <c r="BO116" s="481"/>
      <c r="BP116" s="481"/>
      <c r="BQ116" s="481"/>
      <c r="BR116" s="481"/>
      <c r="BS116" s="482"/>
    </row>
    <row r="117" spans="1:71" s="284" customFormat="1" ht="20.25" customHeight="1">
      <c r="A117" s="283" t="s">
        <v>180</v>
      </c>
      <c r="B117" s="212">
        <f>IFERROR(E100/B116,"")</f>
        <v>0.27796534930126732</v>
      </c>
      <c r="C117" s="474"/>
      <c r="D117" s="475"/>
      <c r="E117" s="475"/>
      <c r="F117" s="475"/>
      <c r="G117" s="475"/>
      <c r="H117" s="475"/>
      <c r="I117" s="475"/>
      <c r="J117" s="475"/>
      <c r="K117" s="374"/>
      <c r="L117" s="217">
        <f>IFERROR(O100/L116,"")</f>
        <v>0.24814831124223877</v>
      </c>
      <c r="M117" s="474"/>
      <c r="N117" s="475"/>
      <c r="O117" s="475"/>
      <c r="P117" s="475"/>
      <c r="Q117" s="475"/>
      <c r="R117" s="475"/>
      <c r="S117" s="475"/>
      <c r="T117" s="475"/>
      <c r="U117" s="374"/>
      <c r="V117" s="217">
        <f>IFERROR(Y100/V116,"")</f>
        <v>0.2649111047507608</v>
      </c>
      <c r="W117" s="474"/>
      <c r="X117" s="475"/>
      <c r="Y117" s="475"/>
      <c r="Z117" s="475"/>
      <c r="AA117" s="475"/>
      <c r="AB117" s="475"/>
      <c r="AC117" s="475"/>
      <c r="AD117" s="475"/>
      <c r="AE117" s="374"/>
      <c r="AF117" s="217">
        <f>IFERROR(AI100/AF116,"")</f>
        <v>0.29000829126934907</v>
      </c>
      <c r="AG117" s="474"/>
      <c r="AH117" s="475"/>
      <c r="AI117" s="475"/>
      <c r="AJ117" s="475"/>
      <c r="AK117" s="475"/>
      <c r="AL117" s="475"/>
      <c r="AM117" s="475"/>
      <c r="AN117" s="475"/>
      <c r="AO117" s="374"/>
      <c r="AP117" s="217">
        <f>IFERROR(AS100/AP116,"")</f>
        <v>0.30901201592683109</v>
      </c>
      <c r="AQ117" s="474"/>
      <c r="AR117" s="475"/>
      <c r="AS117" s="475"/>
      <c r="AT117" s="475"/>
      <c r="AU117" s="475"/>
      <c r="AV117" s="475"/>
      <c r="AW117" s="475"/>
      <c r="AX117" s="475"/>
      <c r="AY117" s="478"/>
      <c r="AZ117" s="217">
        <f>IFERROR(BC100/AZ116,"")</f>
        <v>0.30535255135116718</v>
      </c>
      <c r="BA117" s="474"/>
      <c r="BB117" s="475"/>
      <c r="BC117" s="475"/>
      <c r="BD117" s="475"/>
      <c r="BE117" s="475"/>
      <c r="BF117" s="475"/>
      <c r="BG117" s="475"/>
      <c r="BH117" s="475"/>
      <c r="BI117" s="478"/>
      <c r="BJ117" s="217">
        <f>IFERROR(BM100/BJ116,"")</f>
        <v>0.26623869677755452</v>
      </c>
      <c r="BK117" s="480"/>
      <c r="BL117" s="481"/>
      <c r="BM117" s="481"/>
      <c r="BN117" s="481"/>
      <c r="BO117" s="481"/>
      <c r="BP117" s="481"/>
      <c r="BQ117" s="481"/>
      <c r="BR117" s="481"/>
      <c r="BS117" s="482"/>
    </row>
    <row r="118" spans="1:71" s="284" customFormat="1" ht="20.25" customHeight="1">
      <c r="A118" s="283" t="s">
        <v>181</v>
      </c>
      <c r="B118" s="212">
        <f>IFERROR(E100/C100,"")</f>
        <v>0.16125997006905735</v>
      </c>
      <c r="C118" s="474"/>
      <c r="D118" s="475"/>
      <c r="E118" s="475"/>
      <c r="F118" s="475"/>
      <c r="G118" s="475"/>
      <c r="H118" s="475"/>
      <c r="I118" s="475"/>
      <c r="J118" s="475"/>
      <c r="K118" s="374"/>
      <c r="L118" s="216">
        <f>IFERROR(O100/M100,"")</f>
        <v>0.1414676715530041</v>
      </c>
      <c r="M118" s="474"/>
      <c r="N118" s="475"/>
      <c r="O118" s="475"/>
      <c r="P118" s="475"/>
      <c r="Q118" s="475"/>
      <c r="R118" s="475"/>
      <c r="S118" s="475"/>
      <c r="T118" s="475"/>
      <c r="U118" s="374"/>
      <c r="V118" s="216">
        <f>IFERROR(Y100/W100,"")</f>
        <v>0.16087204022026255</v>
      </c>
      <c r="W118" s="474"/>
      <c r="X118" s="475"/>
      <c r="Y118" s="475"/>
      <c r="Z118" s="475"/>
      <c r="AA118" s="475"/>
      <c r="AB118" s="475"/>
      <c r="AC118" s="475"/>
      <c r="AD118" s="475"/>
      <c r="AE118" s="374"/>
      <c r="AF118" s="216">
        <f>IFERROR(AI100/AG100,"")</f>
        <v>0.17835835328504482</v>
      </c>
      <c r="AG118" s="474"/>
      <c r="AH118" s="475"/>
      <c r="AI118" s="475"/>
      <c r="AJ118" s="475"/>
      <c r="AK118" s="475"/>
      <c r="AL118" s="475"/>
      <c r="AM118" s="475"/>
      <c r="AN118" s="475"/>
      <c r="AO118" s="374"/>
      <c r="AP118" s="216">
        <f>IFERROR(AS100/AQ100,"")</f>
        <v>0.1749238871032941</v>
      </c>
      <c r="AQ118" s="474"/>
      <c r="AR118" s="475"/>
      <c r="AS118" s="475"/>
      <c r="AT118" s="475"/>
      <c r="AU118" s="475"/>
      <c r="AV118" s="475"/>
      <c r="AW118" s="475"/>
      <c r="AX118" s="475"/>
      <c r="AY118" s="478"/>
      <c r="AZ118" s="216">
        <f>IFERROR(BC100/BA100,"")</f>
        <v>0.16030156817649677</v>
      </c>
      <c r="BA118" s="474"/>
      <c r="BB118" s="475"/>
      <c r="BC118" s="475"/>
      <c r="BD118" s="475"/>
      <c r="BE118" s="475"/>
      <c r="BF118" s="475"/>
      <c r="BG118" s="475"/>
      <c r="BH118" s="475"/>
      <c r="BI118" s="478"/>
      <c r="BJ118" s="216">
        <f>IFERROR(BM100/BK100,"")</f>
        <v>0.14322090096738938</v>
      </c>
      <c r="BK118" s="480"/>
      <c r="BL118" s="481"/>
      <c r="BM118" s="481"/>
      <c r="BN118" s="481"/>
      <c r="BO118" s="481"/>
      <c r="BP118" s="481"/>
      <c r="BQ118" s="481"/>
      <c r="BR118" s="481"/>
      <c r="BS118" s="482"/>
    </row>
    <row r="119" spans="1:71" s="284" customFormat="1" ht="20.25" customHeight="1">
      <c r="A119" s="283" t="s">
        <v>182</v>
      </c>
      <c r="B119" s="212">
        <f>IFERROR(C61/B111,"")</f>
        <v>0.70234469370473451</v>
      </c>
      <c r="C119" s="474"/>
      <c r="D119" s="475"/>
      <c r="E119" s="475"/>
      <c r="F119" s="475"/>
      <c r="G119" s="475"/>
      <c r="H119" s="475"/>
      <c r="I119" s="475"/>
      <c r="J119" s="475"/>
      <c r="K119" s="374"/>
      <c r="L119" s="216">
        <f>IFERROR(M61/L111,"")</f>
        <v>0.6905791394480163</v>
      </c>
      <c r="M119" s="474"/>
      <c r="N119" s="475"/>
      <c r="O119" s="475"/>
      <c r="P119" s="475"/>
      <c r="Q119" s="475"/>
      <c r="R119" s="475"/>
      <c r="S119" s="475"/>
      <c r="T119" s="475"/>
      <c r="U119" s="374"/>
      <c r="V119" s="216">
        <f>IFERROR(W61/V111,"")</f>
        <v>0.68871398242712256</v>
      </c>
      <c r="W119" s="474"/>
      <c r="X119" s="475"/>
      <c r="Y119" s="475"/>
      <c r="Z119" s="475"/>
      <c r="AA119" s="475"/>
      <c r="AB119" s="475"/>
      <c r="AC119" s="475"/>
      <c r="AD119" s="475"/>
      <c r="AE119" s="374"/>
      <c r="AF119" s="216">
        <f>IFERROR(AG61/AF111,"")</f>
        <v>0.67543628775211151</v>
      </c>
      <c r="AG119" s="474"/>
      <c r="AH119" s="475"/>
      <c r="AI119" s="475"/>
      <c r="AJ119" s="475"/>
      <c r="AK119" s="475"/>
      <c r="AL119" s="475"/>
      <c r="AM119" s="475"/>
      <c r="AN119" s="475"/>
      <c r="AO119" s="374"/>
      <c r="AP119" s="216">
        <f>IFERROR(AQ61/AP111,"")</f>
        <v>0.67660447743367358</v>
      </c>
      <c r="AQ119" s="474"/>
      <c r="AR119" s="475"/>
      <c r="AS119" s="475"/>
      <c r="AT119" s="475"/>
      <c r="AU119" s="475"/>
      <c r="AV119" s="475"/>
      <c r="AW119" s="475"/>
      <c r="AX119" s="475"/>
      <c r="AY119" s="478"/>
      <c r="AZ119" s="216">
        <f>IFERROR(BA61/AZ111,"")</f>
        <v>0.67749227013391067</v>
      </c>
      <c r="BA119" s="474"/>
      <c r="BB119" s="475"/>
      <c r="BC119" s="475"/>
      <c r="BD119" s="475"/>
      <c r="BE119" s="475"/>
      <c r="BF119" s="475"/>
      <c r="BG119" s="475"/>
      <c r="BH119" s="475"/>
      <c r="BI119" s="478"/>
      <c r="BJ119" s="216">
        <f>IFERROR(BK61/BJ111,"")</f>
        <v>0.73064472807284508</v>
      </c>
      <c r="BK119" s="480"/>
      <c r="BL119" s="481"/>
      <c r="BM119" s="481"/>
      <c r="BN119" s="481"/>
      <c r="BO119" s="481"/>
      <c r="BP119" s="481"/>
      <c r="BQ119" s="481"/>
      <c r="BR119" s="481"/>
      <c r="BS119" s="482"/>
    </row>
    <row r="120" spans="1:71" s="284" customFormat="1" ht="20.25" customHeight="1">
      <c r="A120" s="283" t="s">
        <v>183</v>
      </c>
      <c r="B120" s="212">
        <f>IFERROR(C87/B111,"")</f>
        <v>9.5170363160093946E-2</v>
      </c>
      <c r="C120" s="474"/>
      <c r="D120" s="475"/>
      <c r="E120" s="475"/>
      <c r="F120" s="475"/>
      <c r="G120" s="475"/>
      <c r="H120" s="475"/>
      <c r="I120" s="475"/>
      <c r="J120" s="475"/>
      <c r="K120" s="374"/>
      <c r="L120" s="216">
        <f>IFERROR(M87/L111,"")</f>
        <v>0.11992038408193642</v>
      </c>
      <c r="M120" s="474"/>
      <c r="N120" s="475"/>
      <c r="O120" s="475"/>
      <c r="P120" s="475"/>
      <c r="Q120" s="475"/>
      <c r="R120" s="475"/>
      <c r="S120" s="475"/>
      <c r="T120" s="475"/>
      <c r="U120" s="374"/>
      <c r="V120" s="216">
        <f>IFERROR(W87/V111,"")</f>
        <v>0.12627200468672686</v>
      </c>
      <c r="W120" s="474"/>
      <c r="X120" s="475"/>
      <c r="Y120" s="475"/>
      <c r="Z120" s="475"/>
      <c r="AA120" s="475"/>
      <c r="AB120" s="475"/>
      <c r="AC120" s="475"/>
      <c r="AD120" s="475"/>
      <c r="AE120" s="374"/>
      <c r="AF120" s="216">
        <f>IFERROR(AG87/AF111,"")</f>
        <v>0.13356362190666937</v>
      </c>
      <c r="AG120" s="474"/>
      <c r="AH120" s="475"/>
      <c r="AI120" s="475"/>
      <c r="AJ120" s="475"/>
      <c r="AK120" s="475"/>
      <c r="AL120" s="475"/>
      <c r="AM120" s="475"/>
      <c r="AN120" s="475"/>
      <c r="AO120" s="374"/>
      <c r="AP120" s="216">
        <f>IFERROR(AQ87/AP111,"")</f>
        <v>0.14018397018836329</v>
      </c>
      <c r="AQ120" s="474"/>
      <c r="AR120" s="475"/>
      <c r="AS120" s="475"/>
      <c r="AT120" s="475"/>
      <c r="AU120" s="475"/>
      <c r="AV120" s="475"/>
      <c r="AW120" s="475"/>
      <c r="AX120" s="475"/>
      <c r="AY120" s="478"/>
      <c r="AZ120" s="216">
        <f>IFERROR(BA87/AZ111,"")</f>
        <v>0.14206569492748786</v>
      </c>
      <c r="BA120" s="474"/>
      <c r="BB120" s="475"/>
      <c r="BC120" s="475"/>
      <c r="BD120" s="475"/>
      <c r="BE120" s="475"/>
      <c r="BF120" s="475"/>
      <c r="BG120" s="475"/>
      <c r="BH120" s="475"/>
      <c r="BI120" s="478"/>
      <c r="BJ120" s="216">
        <f>IFERROR(BK87/BJ111,"")</f>
        <v>0.12955961950225109</v>
      </c>
      <c r="BK120" s="480"/>
      <c r="BL120" s="481"/>
      <c r="BM120" s="481"/>
      <c r="BN120" s="481"/>
      <c r="BO120" s="481"/>
      <c r="BP120" s="481"/>
      <c r="BQ120" s="481"/>
      <c r="BR120" s="481"/>
      <c r="BS120" s="482"/>
    </row>
    <row r="121" spans="1:71" s="284" customFormat="1" ht="20.25" customHeight="1">
      <c r="A121" s="283" t="s">
        <v>184</v>
      </c>
      <c r="B121" s="212">
        <f>IFERROR(SUM(C29,C73)/B111,"")</f>
        <v>0.59553792632902058</v>
      </c>
      <c r="C121" s="474"/>
      <c r="D121" s="475"/>
      <c r="E121" s="475"/>
      <c r="F121" s="475"/>
      <c r="G121" s="475"/>
      <c r="H121" s="475"/>
      <c r="I121" s="475"/>
      <c r="J121" s="475"/>
      <c r="K121" s="374"/>
      <c r="L121" s="216">
        <f>IFERROR(SUM(M29,M73)/L111,"")</f>
        <v>0.60009563803115817</v>
      </c>
      <c r="M121" s="474"/>
      <c r="N121" s="475"/>
      <c r="O121" s="475"/>
      <c r="P121" s="475"/>
      <c r="Q121" s="475"/>
      <c r="R121" s="475"/>
      <c r="S121" s="475"/>
      <c r="T121" s="475"/>
      <c r="U121" s="374"/>
      <c r="V121" s="216">
        <f>IFERROR(SUM(W29,W73)/V111,"")</f>
        <v>0.5808207377695277</v>
      </c>
      <c r="W121" s="474"/>
      <c r="X121" s="475"/>
      <c r="Y121" s="475"/>
      <c r="Z121" s="475"/>
      <c r="AA121" s="475"/>
      <c r="AB121" s="475"/>
      <c r="AC121" s="475"/>
      <c r="AD121" s="475"/>
      <c r="AE121" s="374"/>
      <c r="AF121" s="216">
        <f>IFERROR(SUM(AG29,AG73)/AF111,"")</f>
        <v>0.55865053048559543</v>
      </c>
      <c r="AG121" s="474"/>
      <c r="AH121" s="475"/>
      <c r="AI121" s="475"/>
      <c r="AJ121" s="475"/>
      <c r="AK121" s="475"/>
      <c r="AL121" s="475"/>
      <c r="AM121" s="475"/>
      <c r="AN121" s="475"/>
      <c r="AO121" s="374"/>
      <c r="AP121" s="216">
        <f>IFERROR(SUM(AQ29,AQ73)/AP111,"")</f>
        <v>0.5613481442420315</v>
      </c>
      <c r="AQ121" s="474"/>
      <c r="AR121" s="475"/>
      <c r="AS121" s="475"/>
      <c r="AT121" s="475"/>
      <c r="AU121" s="475"/>
      <c r="AV121" s="475"/>
      <c r="AW121" s="475"/>
      <c r="AX121" s="475"/>
      <c r="AY121" s="478"/>
      <c r="AZ121" s="216">
        <f>IFERROR(SUM(BA29,BA73)/AZ111,"")</f>
        <v>0.57726215000179115</v>
      </c>
      <c r="BA121" s="474"/>
      <c r="BB121" s="475"/>
      <c r="BC121" s="475"/>
      <c r="BD121" s="475"/>
      <c r="BE121" s="475"/>
      <c r="BF121" s="475"/>
      <c r="BG121" s="475"/>
      <c r="BH121" s="475"/>
      <c r="BI121" s="478"/>
      <c r="BJ121" s="216">
        <f>IFERROR(SUM(BK29,BK73)/BJ111,"")</f>
        <v>0.63575882159475949</v>
      </c>
      <c r="BK121" s="480"/>
      <c r="BL121" s="481"/>
      <c r="BM121" s="481"/>
      <c r="BN121" s="481"/>
      <c r="BO121" s="481"/>
      <c r="BP121" s="481"/>
      <c r="BQ121" s="481"/>
      <c r="BR121" s="481"/>
      <c r="BS121" s="482"/>
    </row>
    <row r="122" spans="1:71" s="284" customFormat="1" ht="20.25" customHeight="1">
      <c r="A122" s="283" t="s">
        <v>185</v>
      </c>
      <c r="B122" s="212">
        <f>IFERROR(SUM(C45,C85)/B111,"")</f>
        <v>0.193141797896343</v>
      </c>
      <c r="C122" s="474"/>
      <c r="D122" s="475"/>
      <c r="E122" s="475"/>
      <c r="F122" s="475"/>
      <c r="G122" s="475"/>
      <c r="H122" s="475"/>
      <c r="I122" s="475"/>
      <c r="J122" s="475"/>
      <c r="K122" s="374"/>
      <c r="L122" s="216">
        <f>IFERROR(SUM(M45,M85)/L111,"")</f>
        <v>0.19627150526878523</v>
      </c>
      <c r="M122" s="474"/>
      <c r="N122" s="475"/>
      <c r="O122" s="475"/>
      <c r="P122" s="475"/>
      <c r="Q122" s="475"/>
      <c r="R122" s="475"/>
      <c r="S122" s="475"/>
      <c r="T122" s="475"/>
      <c r="U122" s="374"/>
      <c r="V122" s="216">
        <f>IFERROR(SUM(W45,W85)/V111,"")</f>
        <v>0.21825016163461419</v>
      </c>
      <c r="W122" s="474"/>
      <c r="X122" s="475"/>
      <c r="Y122" s="475"/>
      <c r="Z122" s="475"/>
      <c r="AA122" s="475"/>
      <c r="AB122" s="475"/>
      <c r="AC122" s="475"/>
      <c r="AD122" s="475"/>
      <c r="AE122" s="374"/>
      <c r="AF122" s="216">
        <f>IFERROR(SUM(AG45,AG85)/AF111,"")</f>
        <v>0.23503719481708837</v>
      </c>
      <c r="AG122" s="474"/>
      <c r="AH122" s="475"/>
      <c r="AI122" s="475"/>
      <c r="AJ122" s="475"/>
      <c r="AK122" s="475"/>
      <c r="AL122" s="475"/>
      <c r="AM122" s="475"/>
      <c r="AN122" s="475"/>
      <c r="AO122" s="374"/>
      <c r="AP122" s="216">
        <f>IFERROR(SUM(AQ45,AQ85)/AP111,"")</f>
        <v>0.24148512068260053</v>
      </c>
      <c r="AQ122" s="474"/>
      <c r="AR122" s="475"/>
      <c r="AS122" s="475"/>
      <c r="AT122" s="475"/>
      <c r="AU122" s="475"/>
      <c r="AV122" s="475"/>
      <c r="AW122" s="475"/>
      <c r="AX122" s="475"/>
      <c r="AY122" s="478"/>
      <c r="AZ122" s="216">
        <f>IFERROR(SUM(BA45,BA85)/AZ111,"")</f>
        <v>0.23088229608539498</v>
      </c>
      <c r="BA122" s="474"/>
      <c r="BB122" s="475"/>
      <c r="BC122" s="475"/>
      <c r="BD122" s="475"/>
      <c r="BE122" s="475"/>
      <c r="BF122" s="475"/>
      <c r="BG122" s="475"/>
      <c r="BH122" s="475"/>
      <c r="BI122" s="478"/>
      <c r="BJ122" s="216">
        <f>IFERROR(SUM(BK45,BK85)/BJ111,"")</f>
        <v>0.21317831383659611</v>
      </c>
      <c r="BK122" s="480"/>
      <c r="BL122" s="481"/>
      <c r="BM122" s="481"/>
      <c r="BN122" s="481"/>
      <c r="BO122" s="481"/>
      <c r="BP122" s="481"/>
      <c r="BQ122" s="481"/>
      <c r="BR122" s="481"/>
      <c r="BS122" s="482"/>
    </row>
    <row r="123" spans="1:71" s="284" customFormat="1" ht="20.25" customHeight="1">
      <c r="A123" s="283" t="s">
        <v>186</v>
      </c>
      <c r="B123" s="212">
        <f>IFERROR(SUM(C59)/B111,"")</f>
        <v>8.8353326394648331E-3</v>
      </c>
      <c r="C123" s="474"/>
      <c r="D123" s="475"/>
      <c r="E123" s="475"/>
      <c r="F123" s="475"/>
      <c r="G123" s="475"/>
      <c r="H123" s="475"/>
      <c r="I123" s="475"/>
      <c r="J123" s="475"/>
      <c r="K123" s="374"/>
      <c r="L123" s="216">
        <f>IFERROR(SUM(M59)/L111,"")</f>
        <v>1.4132380230009184E-2</v>
      </c>
      <c r="M123" s="474"/>
      <c r="N123" s="475"/>
      <c r="O123" s="475"/>
      <c r="P123" s="475"/>
      <c r="Q123" s="475"/>
      <c r="R123" s="475"/>
      <c r="S123" s="475"/>
      <c r="T123" s="475"/>
      <c r="U123" s="374"/>
      <c r="V123" s="216">
        <f>IFERROR(SUM(W59)/V111,"")</f>
        <v>1.5915087709707548E-2</v>
      </c>
      <c r="W123" s="474"/>
      <c r="X123" s="475"/>
      <c r="Y123" s="475"/>
      <c r="Z123" s="475"/>
      <c r="AA123" s="475"/>
      <c r="AB123" s="475"/>
      <c r="AC123" s="475"/>
      <c r="AD123" s="475"/>
      <c r="AE123" s="374"/>
      <c r="AF123" s="216">
        <f>IFERROR(SUM(AG59)/AF111,"")</f>
        <v>1.5312184356097037E-2</v>
      </c>
      <c r="AG123" s="474"/>
      <c r="AH123" s="475"/>
      <c r="AI123" s="475"/>
      <c r="AJ123" s="475"/>
      <c r="AK123" s="475"/>
      <c r="AL123" s="475"/>
      <c r="AM123" s="475"/>
      <c r="AN123" s="475"/>
      <c r="AO123" s="374"/>
      <c r="AP123" s="216">
        <f>IFERROR(SUM(AQ59)/AP111,"")</f>
        <v>1.3955182697404957E-2</v>
      </c>
      <c r="AQ123" s="474"/>
      <c r="AR123" s="475"/>
      <c r="AS123" s="475"/>
      <c r="AT123" s="475"/>
      <c r="AU123" s="475"/>
      <c r="AV123" s="475"/>
      <c r="AW123" s="475"/>
      <c r="AX123" s="475"/>
      <c r="AY123" s="478"/>
      <c r="AZ123" s="216">
        <f>IFERROR(SUM(BA59)/AZ111,"")</f>
        <v>1.1413518974212493E-2</v>
      </c>
      <c r="BA123" s="474"/>
      <c r="BB123" s="475"/>
      <c r="BC123" s="475"/>
      <c r="BD123" s="475"/>
      <c r="BE123" s="475"/>
      <c r="BF123" s="475"/>
      <c r="BG123" s="475"/>
      <c r="BH123" s="475"/>
      <c r="BI123" s="478"/>
      <c r="BJ123" s="216">
        <f>IFERROR(SUM(BK59)/BJ111,"")</f>
        <v>1.126721214374061E-2</v>
      </c>
      <c r="BK123" s="480"/>
      <c r="BL123" s="481"/>
      <c r="BM123" s="481"/>
      <c r="BN123" s="481"/>
      <c r="BO123" s="481"/>
      <c r="BP123" s="481"/>
      <c r="BQ123" s="481"/>
      <c r="BR123" s="481"/>
      <c r="BS123" s="482"/>
    </row>
    <row r="124" spans="1:71" s="284" customFormat="1" ht="20.25" customHeight="1" thickBot="1">
      <c r="A124" s="283" t="s">
        <v>187</v>
      </c>
      <c r="B124" s="213">
        <f>IFERROR(C98/B111,"")</f>
        <v>0.20248494313517157</v>
      </c>
      <c r="C124" s="476"/>
      <c r="D124" s="477"/>
      <c r="E124" s="477"/>
      <c r="F124" s="477"/>
      <c r="G124" s="477"/>
      <c r="H124" s="477"/>
      <c r="I124" s="477"/>
      <c r="J124" s="477"/>
      <c r="K124" s="375"/>
      <c r="L124" s="218">
        <f>IFERROR(M98/L111,"")</f>
        <v>0.18950047647004731</v>
      </c>
      <c r="M124" s="476"/>
      <c r="N124" s="477"/>
      <c r="O124" s="477"/>
      <c r="P124" s="477"/>
      <c r="Q124" s="477"/>
      <c r="R124" s="477"/>
      <c r="S124" s="477"/>
      <c r="T124" s="477"/>
      <c r="U124" s="375"/>
      <c r="V124" s="218">
        <f>IFERROR(W98/V111,"")</f>
        <v>0.18501401288615052</v>
      </c>
      <c r="W124" s="476"/>
      <c r="X124" s="477"/>
      <c r="Y124" s="477"/>
      <c r="Z124" s="477"/>
      <c r="AA124" s="477"/>
      <c r="AB124" s="477"/>
      <c r="AC124" s="477"/>
      <c r="AD124" s="477"/>
      <c r="AE124" s="375"/>
      <c r="AF124" s="218">
        <f>IFERROR(AG98/AF111,"")</f>
        <v>0.19100009034121912</v>
      </c>
      <c r="AG124" s="476"/>
      <c r="AH124" s="477"/>
      <c r="AI124" s="477"/>
      <c r="AJ124" s="477"/>
      <c r="AK124" s="477"/>
      <c r="AL124" s="477"/>
      <c r="AM124" s="477"/>
      <c r="AN124" s="477"/>
      <c r="AO124" s="375"/>
      <c r="AP124" s="218">
        <f>IFERROR(AQ98/AP111,"")</f>
        <v>0.1832115523779631</v>
      </c>
      <c r="AQ124" s="476"/>
      <c r="AR124" s="477"/>
      <c r="AS124" s="477"/>
      <c r="AT124" s="477"/>
      <c r="AU124" s="477"/>
      <c r="AV124" s="477"/>
      <c r="AW124" s="477"/>
      <c r="AX124" s="477"/>
      <c r="AY124" s="479"/>
      <c r="AZ124" s="218">
        <f>IFERROR(BA98/AZ111,"")</f>
        <v>0.18044203493860145</v>
      </c>
      <c r="BA124" s="476"/>
      <c r="BB124" s="477"/>
      <c r="BC124" s="477"/>
      <c r="BD124" s="477"/>
      <c r="BE124" s="477"/>
      <c r="BF124" s="477"/>
      <c r="BG124" s="477"/>
      <c r="BH124" s="477"/>
      <c r="BI124" s="479"/>
      <c r="BJ124" s="218">
        <f>IFERROR(BK98/BJ111,"")</f>
        <v>0.1397956524249038</v>
      </c>
      <c r="BK124" s="483"/>
      <c r="BL124" s="484"/>
      <c r="BM124" s="484"/>
      <c r="BN124" s="484"/>
      <c r="BO124" s="484"/>
      <c r="BP124" s="484"/>
      <c r="BQ124" s="484"/>
      <c r="BR124" s="484"/>
      <c r="BS124" s="485"/>
    </row>
    <row r="125" spans="1:71" s="84" customFormat="1">
      <c r="B125" s="204"/>
      <c r="C125" s="202"/>
      <c r="D125" s="138"/>
      <c r="E125" s="202"/>
      <c r="F125" s="202"/>
      <c r="G125" s="202"/>
      <c r="H125" s="202"/>
      <c r="I125" s="202"/>
      <c r="J125" s="202"/>
      <c r="K125" s="202"/>
      <c r="L125" s="109"/>
      <c r="M125" s="140"/>
      <c r="N125" s="140"/>
      <c r="O125" s="140"/>
      <c r="P125" s="140"/>
      <c r="Q125" s="140"/>
      <c r="R125" s="140"/>
      <c r="S125" s="140"/>
      <c r="T125" s="140"/>
      <c r="U125" s="140"/>
      <c r="V125" s="109"/>
      <c r="W125" s="140"/>
      <c r="X125" s="132"/>
      <c r="Y125" s="140"/>
      <c r="Z125" s="140"/>
      <c r="AA125" s="140"/>
      <c r="AB125" s="140"/>
      <c r="AC125" s="140"/>
      <c r="AD125" s="140"/>
      <c r="AE125" s="140"/>
      <c r="AF125" s="109"/>
      <c r="AG125" s="140"/>
      <c r="AH125" s="132"/>
      <c r="AI125" s="140"/>
      <c r="AJ125" s="140"/>
      <c r="AK125" s="140"/>
      <c r="AL125" s="140"/>
      <c r="AM125" s="140"/>
      <c r="AN125" s="140"/>
      <c r="AO125" s="140"/>
      <c r="AP125" s="109"/>
      <c r="AQ125" s="140"/>
      <c r="AR125" s="132"/>
      <c r="AS125" s="140"/>
      <c r="AT125" s="140"/>
      <c r="AU125" s="140"/>
      <c r="AV125" s="140"/>
      <c r="AW125" s="140"/>
      <c r="AX125" s="140"/>
      <c r="AY125" s="140"/>
      <c r="AZ125" s="109"/>
      <c r="BA125" s="140"/>
      <c r="BB125" s="132"/>
      <c r="BC125" s="140"/>
      <c r="BD125" s="140"/>
      <c r="BE125" s="140"/>
      <c r="BF125" s="140"/>
      <c r="BG125" s="140"/>
      <c r="BH125" s="140"/>
      <c r="BI125" s="140"/>
      <c r="BJ125" s="109"/>
      <c r="BK125" s="140"/>
      <c r="BL125" s="132"/>
      <c r="BM125" s="140"/>
      <c r="BN125" s="140"/>
      <c r="BO125" s="140"/>
      <c r="BP125" s="140"/>
      <c r="BQ125" s="140"/>
      <c r="BR125" s="140"/>
      <c r="BS125" s="140"/>
    </row>
    <row r="126" spans="1:71" s="84" customFormat="1">
      <c r="B126" s="204"/>
      <c r="C126" s="202"/>
      <c r="D126" s="202"/>
      <c r="E126" s="202"/>
      <c r="F126" s="202"/>
      <c r="G126" s="202"/>
      <c r="H126" s="202"/>
      <c r="I126" s="202"/>
      <c r="J126" s="202"/>
      <c r="K126" s="202"/>
      <c r="L126" s="109"/>
      <c r="M126" s="140"/>
      <c r="N126" s="140"/>
      <c r="O126" s="140"/>
      <c r="P126" s="140"/>
      <c r="Q126" s="140"/>
      <c r="R126" s="140"/>
      <c r="S126" s="140"/>
      <c r="T126" s="140"/>
      <c r="U126" s="140"/>
      <c r="V126" s="109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09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09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09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09"/>
      <c r="BK126" s="140"/>
      <c r="BL126" s="140"/>
      <c r="BM126" s="140"/>
      <c r="BN126" s="140"/>
      <c r="BO126" s="140"/>
      <c r="BP126" s="140"/>
      <c r="BQ126" s="140"/>
      <c r="BR126" s="140"/>
      <c r="BS126" s="140"/>
    </row>
    <row r="127" spans="1:71" s="84" customFormat="1"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M127" s="142"/>
      <c r="N127" s="142"/>
      <c r="O127" s="142"/>
      <c r="P127" s="142"/>
      <c r="Q127" s="142"/>
      <c r="R127" s="142"/>
      <c r="S127" s="142"/>
      <c r="T127" s="142"/>
      <c r="U127" s="142"/>
      <c r="V127" s="114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14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14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14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14"/>
      <c r="BK127" s="142"/>
      <c r="BL127" s="142"/>
      <c r="BM127" s="142"/>
      <c r="BN127" s="142"/>
      <c r="BO127" s="142"/>
      <c r="BP127" s="142"/>
      <c r="BQ127" s="142"/>
      <c r="BR127" s="142"/>
      <c r="BS127" s="142"/>
    </row>
    <row r="128" spans="1:71" s="84" customFormat="1">
      <c r="B128" s="204"/>
      <c r="C128" s="206"/>
      <c r="D128" s="206"/>
      <c r="E128" s="206"/>
      <c r="F128" s="206"/>
      <c r="G128" s="206"/>
      <c r="H128" s="206"/>
      <c r="I128" s="206"/>
      <c r="J128" s="206"/>
      <c r="K128" s="206"/>
      <c r="M128" s="142"/>
      <c r="N128" s="142"/>
      <c r="O128" s="142"/>
      <c r="P128" s="142"/>
      <c r="Q128" s="142"/>
      <c r="R128" s="142"/>
      <c r="S128" s="142"/>
      <c r="T128" s="142"/>
      <c r="U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</row>
    <row r="129" spans="2:71" s="84" customFormat="1">
      <c r="B129" s="204"/>
      <c r="C129" s="206"/>
      <c r="D129" s="206"/>
      <c r="E129" s="206"/>
      <c r="F129" s="206"/>
      <c r="G129" s="206"/>
      <c r="H129" s="206"/>
      <c r="I129" s="206"/>
      <c r="J129" s="206"/>
      <c r="K129" s="206"/>
      <c r="M129" s="142"/>
      <c r="N129" s="142"/>
      <c r="O129" s="142"/>
      <c r="P129" s="142"/>
      <c r="Q129" s="142"/>
      <c r="R129" s="142"/>
      <c r="S129" s="142"/>
      <c r="T129" s="142"/>
      <c r="U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</row>
    <row r="130" spans="2:71" s="84" customFormat="1">
      <c r="B130" s="204"/>
      <c r="C130" s="206"/>
      <c r="D130" s="206"/>
      <c r="E130" s="206"/>
      <c r="F130" s="206"/>
      <c r="G130" s="206"/>
      <c r="H130" s="206"/>
      <c r="I130" s="206"/>
      <c r="J130" s="206"/>
      <c r="K130" s="206"/>
      <c r="M130" s="142"/>
      <c r="N130" s="142"/>
      <c r="O130" s="142"/>
      <c r="P130" s="142"/>
      <c r="Q130" s="142"/>
      <c r="R130" s="142"/>
      <c r="S130" s="142"/>
      <c r="T130" s="142"/>
      <c r="U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</row>
    <row r="131" spans="2:71" s="84" customFormat="1">
      <c r="B131" s="204"/>
      <c r="C131" s="206"/>
      <c r="D131" s="206"/>
      <c r="E131" s="206"/>
      <c r="F131" s="206"/>
      <c r="G131" s="206"/>
      <c r="H131" s="206"/>
      <c r="I131" s="206"/>
      <c r="J131" s="206"/>
      <c r="K131" s="206"/>
      <c r="M131" s="142"/>
      <c r="N131" s="142"/>
      <c r="O131" s="142"/>
      <c r="P131" s="142"/>
      <c r="Q131" s="142"/>
      <c r="R131" s="142"/>
      <c r="S131" s="142"/>
      <c r="T131" s="142"/>
      <c r="U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</row>
    <row r="132" spans="2:71" s="84" customFormat="1">
      <c r="B132" s="204"/>
      <c r="C132" s="206"/>
      <c r="D132" s="206"/>
      <c r="E132" s="206"/>
      <c r="F132" s="206"/>
      <c r="G132" s="206"/>
      <c r="H132" s="206"/>
      <c r="I132" s="206"/>
      <c r="J132" s="206"/>
      <c r="K132" s="206"/>
      <c r="M132" s="142"/>
      <c r="N132" s="142"/>
      <c r="O132" s="142"/>
      <c r="P132" s="142"/>
      <c r="Q132" s="142"/>
      <c r="R132" s="142"/>
      <c r="S132" s="142"/>
      <c r="T132" s="142"/>
      <c r="U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</row>
    <row r="133" spans="2:71" s="84" customFormat="1">
      <c r="B133" s="204"/>
      <c r="C133" s="206"/>
      <c r="D133" s="206"/>
      <c r="E133" s="206"/>
      <c r="F133" s="206"/>
      <c r="G133" s="206"/>
      <c r="H133" s="206"/>
      <c r="I133" s="206"/>
      <c r="J133" s="206"/>
      <c r="K133" s="206"/>
      <c r="M133" s="142"/>
      <c r="N133" s="142"/>
      <c r="O133" s="142"/>
      <c r="P133" s="142"/>
      <c r="Q133" s="142"/>
      <c r="R133" s="142"/>
      <c r="S133" s="142"/>
      <c r="T133" s="142"/>
      <c r="U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</row>
    <row r="134" spans="2:71" s="84" customFormat="1">
      <c r="B134" s="204"/>
      <c r="C134" s="206"/>
      <c r="D134" s="206"/>
      <c r="E134" s="206"/>
      <c r="F134" s="206"/>
      <c r="G134" s="206"/>
      <c r="H134" s="206"/>
      <c r="I134" s="206"/>
      <c r="J134" s="206"/>
      <c r="K134" s="206"/>
      <c r="M134" s="142"/>
      <c r="N134" s="142"/>
      <c r="O134" s="142"/>
      <c r="P134" s="142"/>
      <c r="Q134" s="142"/>
      <c r="R134" s="142"/>
      <c r="S134" s="142"/>
      <c r="T134" s="142"/>
      <c r="U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</row>
    <row r="135" spans="2:71" s="84" customFormat="1">
      <c r="B135" s="204"/>
      <c r="C135" s="206"/>
      <c r="D135" s="206"/>
      <c r="E135" s="206"/>
      <c r="F135" s="206"/>
      <c r="G135" s="206"/>
      <c r="H135" s="206"/>
      <c r="I135" s="206"/>
      <c r="J135" s="206"/>
      <c r="K135" s="206"/>
      <c r="M135" s="142"/>
      <c r="N135" s="142"/>
      <c r="O135" s="142"/>
      <c r="P135" s="142"/>
      <c r="Q135" s="142"/>
      <c r="R135" s="142"/>
      <c r="S135" s="142"/>
      <c r="T135" s="142"/>
      <c r="U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</row>
    <row r="136" spans="2:71" s="84" customFormat="1">
      <c r="B136" s="204"/>
      <c r="C136" s="206"/>
      <c r="D136" s="206"/>
      <c r="E136" s="206"/>
      <c r="F136" s="206"/>
      <c r="G136" s="206"/>
      <c r="H136" s="206"/>
      <c r="I136" s="206"/>
      <c r="J136" s="206"/>
      <c r="K136" s="206"/>
      <c r="M136" s="142"/>
      <c r="N136" s="142"/>
      <c r="O136" s="142"/>
      <c r="P136" s="142"/>
      <c r="Q136" s="142"/>
      <c r="R136" s="142"/>
      <c r="S136" s="142"/>
      <c r="T136" s="142"/>
      <c r="U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</row>
    <row r="137" spans="2:71" s="84" customFormat="1">
      <c r="B137" s="204"/>
      <c r="C137" s="206"/>
      <c r="D137" s="206"/>
      <c r="E137" s="206"/>
      <c r="F137" s="206"/>
      <c r="G137" s="206"/>
      <c r="H137" s="206"/>
      <c r="I137" s="206"/>
      <c r="J137" s="206"/>
      <c r="K137" s="206"/>
      <c r="M137" s="142"/>
      <c r="N137" s="142"/>
      <c r="O137" s="142"/>
      <c r="P137" s="142"/>
      <c r="Q137" s="142"/>
      <c r="R137" s="142"/>
      <c r="S137" s="142"/>
      <c r="T137" s="142"/>
      <c r="U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</row>
    <row r="138" spans="2:71" s="84" customFormat="1">
      <c r="B138" s="204"/>
      <c r="C138" s="206"/>
      <c r="D138" s="206"/>
      <c r="E138" s="206"/>
      <c r="F138" s="206"/>
      <c r="G138" s="206"/>
      <c r="H138" s="206"/>
      <c r="I138" s="206"/>
      <c r="J138" s="206"/>
      <c r="K138" s="206"/>
      <c r="M138" s="142"/>
      <c r="N138" s="142"/>
      <c r="O138" s="142"/>
      <c r="P138" s="142"/>
      <c r="Q138" s="142"/>
      <c r="R138" s="142"/>
      <c r="S138" s="142"/>
      <c r="T138" s="142"/>
      <c r="U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</row>
    <row r="139" spans="2:71" s="84" customFormat="1">
      <c r="B139" s="204"/>
      <c r="C139" s="206"/>
      <c r="D139" s="206"/>
      <c r="E139" s="206"/>
      <c r="F139" s="206"/>
      <c r="G139" s="206"/>
      <c r="H139" s="206"/>
      <c r="I139" s="206"/>
      <c r="J139" s="206"/>
      <c r="K139" s="206"/>
      <c r="M139" s="142"/>
      <c r="N139" s="142"/>
      <c r="O139" s="142"/>
      <c r="P139" s="142"/>
      <c r="Q139" s="142"/>
      <c r="R139" s="142"/>
      <c r="S139" s="142"/>
      <c r="T139" s="142"/>
      <c r="U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</row>
    <row r="140" spans="2:71" s="84" customFormat="1">
      <c r="B140" s="204"/>
      <c r="C140" s="206"/>
      <c r="D140" s="206"/>
      <c r="E140" s="206"/>
      <c r="F140" s="206"/>
      <c r="G140" s="206"/>
      <c r="H140" s="206"/>
      <c r="I140" s="206"/>
      <c r="J140" s="206"/>
      <c r="K140" s="206"/>
      <c r="M140" s="142"/>
      <c r="N140" s="142"/>
      <c r="O140" s="142"/>
      <c r="P140" s="142"/>
      <c r="Q140" s="142"/>
      <c r="R140" s="142"/>
      <c r="S140" s="142"/>
      <c r="T140" s="142"/>
      <c r="U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</row>
    <row r="141" spans="2:71" s="84" customFormat="1">
      <c r="B141" s="204"/>
      <c r="C141" s="206"/>
      <c r="D141" s="206"/>
      <c r="E141" s="206"/>
      <c r="F141" s="206"/>
      <c r="G141" s="206"/>
      <c r="H141" s="206"/>
      <c r="I141" s="206"/>
      <c r="J141" s="206"/>
      <c r="K141" s="206"/>
      <c r="M141" s="142"/>
      <c r="N141" s="142"/>
      <c r="O141" s="142"/>
      <c r="P141" s="142"/>
      <c r="Q141" s="142"/>
      <c r="R141" s="142"/>
      <c r="S141" s="142"/>
      <c r="T141" s="142"/>
      <c r="U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</row>
    <row r="142" spans="2:71" s="84" customFormat="1">
      <c r="B142" s="204"/>
      <c r="C142" s="206"/>
      <c r="D142" s="206"/>
      <c r="E142" s="206"/>
      <c r="F142" s="206"/>
      <c r="G142" s="206"/>
      <c r="H142" s="206"/>
      <c r="I142" s="206"/>
      <c r="J142" s="206"/>
      <c r="K142" s="206"/>
      <c r="M142" s="142"/>
      <c r="N142" s="142"/>
      <c r="O142" s="142"/>
      <c r="P142" s="142"/>
      <c r="Q142" s="142"/>
      <c r="R142" s="142"/>
      <c r="S142" s="142"/>
      <c r="T142" s="142"/>
      <c r="U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</row>
    <row r="143" spans="2:71" s="84" customFormat="1">
      <c r="B143" s="204"/>
      <c r="C143" s="206"/>
      <c r="D143" s="206"/>
      <c r="E143" s="206"/>
      <c r="F143" s="206"/>
      <c r="G143" s="206"/>
      <c r="H143" s="206"/>
      <c r="I143" s="206"/>
      <c r="J143" s="206"/>
      <c r="K143" s="206"/>
      <c r="M143" s="142"/>
      <c r="N143" s="142"/>
      <c r="O143" s="142"/>
      <c r="P143" s="142"/>
      <c r="Q143" s="142"/>
      <c r="R143" s="142"/>
      <c r="S143" s="142"/>
      <c r="T143" s="142"/>
      <c r="U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</row>
    <row r="144" spans="2:71" s="84" customFormat="1">
      <c r="B144" s="204"/>
      <c r="C144" s="206"/>
      <c r="D144" s="206"/>
      <c r="E144" s="206"/>
      <c r="F144" s="206"/>
      <c r="G144" s="206"/>
      <c r="H144" s="206"/>
      <c r="I144" s="206"/>
      <c r="J144" s="206"/>
      <c r="K144" s="206"/>
      <c r="M144" s="142"/>
      <c r="N144" s="142"/>
      <c r="O144" s="142"/>
      <c r="P144" s="142"/>
      <c r="Q144" s="142"/>
      <c r="R144" s="142"/>
      <c r="S144" s="142"/>
      <c r="T144" s="142"/>
      <c r="U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</row>
    <row r="145" spans="2:71" s="84" customFormat="1">
      <c r="B145" s="204"/>
      <c r="C145" s="206"/>
      <c r="D145" s="206"/>
      <c r="E145" s="206"/>
      <c r="F145" s="206"/>
      <c r="G145" s="206"/>
      <c r="H145" s="206"/>
      <c r="I145" s="206"/>
      <c r="J145" s="206"/>
      <c r="K145" s="206"/>
      <c r="M145" s="142"/>
      <c r="N145" s="142"/>
      <c r="O145" s="142"/>
      <c r="P145" s="142"/>
      <c r="Q145" s="142"/>
      <c r="R145" s="142"/>
      <c r="S145" s="142"/>
      <c r="T145" s="142"/>
      <c r="U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</row>
    <row r="146" spans="2:71" s="84" customFormat="1">
      <c r="B146" s="204"/>
      <c r="C146" s="206"/>
      <c r="D146" s="206"/>
      <c r="E146" s="206"/>
      <c r="F146" s="206"/>
      <c r="G146" s="206"/>
      <c r="H146" s="206"/>
      <c r="I146" s="206"/>
      <c r="J146" s="206"/>
      <c r="K146" s="206"/>
      <c r="M146" s="142"/>
      <c r="N146" s="142"/>
      <c r="O146" s="142"/>
      <c r="P146" s="142"/>
      <c r="Q146" s="142"/>
      <c r="R146" s="142"/>
      <c r="S146" s="142"/>
      <c r="T146" s="142"/>
      <c r="U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</row>
    <row r="147" spans="2:71">
      <c r="B147" s="207"/>
      <c r="C147" s="208"/>
      <c r="D147" s="208"/>
      <c r="E147" s="208"/>
      <c r="F147" s="208"/>
      <c r="G147" s="208"/>
      <c r="H147" s="208"/>
      <c r="I147" s="208"/>
      <c r="J147" s="208"/>
      <c r="K147" s="208"/>
    </row>
    <row r="148" spans="2:71">
      <c r="B148" s="207"/>
      <c r="C148" s="208"/>
      <c r="D148" s="208"/>
      <c r="E148" s="208"/>
      <c r="F148" s="208"/>
      <c r="G148" s="208"/>
      <c r="H148" s="208"/>
      <c r="I148" s="208"/>
      <c r="J148" s="208"/>
      <c r="K148" s="208"/>
    </row>
    <row r="149" spans="2:71">
      <c r="B149" s="207"/>
      <c r="C149" s="208"/>
      <c r="D149" s="208"/>
      <c r="E149" s="208"/>
      <c r="F149" s="208"/>
      <c r="G149" s="208"/>
      <c r="H149" s="208"/>
      <c r="I149" s="208"/>
      <c r="J149" s="208"/>
      <c r="K149" s="208"/>
    </row>
    <row r="150" spans="2:71">
      <c r="B150" s="207"/>
      <c r="C150" s="208"/>
      <c r="D150" s="208"/>
      <c r="E150" s="208"/>
      <c r="F150" s="208"/>
      <c r="G150" s="208"/>
      <c r="H150" s="208"/>
      <c r="I150" s="208"/>
      <c r="J150" s="208"/>
      <c r="K150" s="208"/>
    </row>
    <row r="151" spans="2:71">
      <c r="B151" s="207"/>
      <c r="C151" s="208"/>
      <c r="D151" s="208"/>
      <c r="E151" s="208"/>
      <c r="F151" s="208"/>
      <c r="G151" s="208"/>
      <c r="H151" s="208"/>
      <c r="I151" s="208"/>
      <c r="J151" s="208"/>
      <c r="K151" s="208"/>
    </row>
    <row r="152" spans="2:71">
      <c r="B152" s="207"/>
      <c r="C152" s="208"/>
      <c r="D152" s="208"/>
      <c r="E152" s="208"/>
      <c r="F152" s="208"/>
      <c r="G152" s="208"/>
      <c r="H152" s="208"/>
      <c r="I152" s="208"/>
      <c r="J152" s="208"/>
      <c r="K152" s="208"/>
    </row>
    <row r="153" spans="2:71">
      <c r="B153" s="207"/>
      <c r="C153" s="208"/>
      <c r="D153" s="208"/>
      <c r="E153" s="208"/>
      <c r="F153" s="208"/>
      <c r="G153" s="208"/>
      <c r="H153" s="208"/>
      <c r="I153" s="208"/>
      <c r="J153" s="208"/>
      <c r="K153" s="208"/>
    </row>
    <row r="154" spans="2:71">
      <c r="B154" s="207"/>
      <c r="C154" s="208"/>
      <c r="D154" s="208"/>
      <c r="E154" s="208"/>
      <c r="F154" s="208"/>
      <c r="G154" s="208"/>
      <c r="H154" s="208"/>
      <c r="I154" s="208"/>
      <c r="J154" s="208"/>
      <c r="K154" s="208"/>
    </row>
    <row r="155" spans="2:71">
      <c r="B155" s="207"/>
      <c r="C155" s="208"/>
      <c r="D155" s="208"/>
      <c r="E155" s="208"/>
      <c r="F155" s="208"/>
      <c r="G155" s="208"/>
      <c r="H155" s="208"/>
      <c r="I155" s="208"/>
      <c r="J155" s="208"/>
      <c r="K155" s="208"/>
    </row>
    <row r="156" spans="2:71">
      <c r="B156" s="207"/>
      <c r="C156" s="208"/>
      <c r="D156" s="208"/>
      <c r="E156" s="208"/>
      <c r="F156" s="208"/>
      <c r="G156" s="208"/>
      <c r="H156" s="208"/>
      <c r="I156" s="208"/>
      <c r="J156" s="208"/>
      <c r="K156" s="208"/>
    </row>
    <row r="157" spans="2:71">
      <c r="B157" s="207"/>
      <c r="C157" s="208"/>
      <c r="D157" s="208"/>
      <c r="E157" s="208"/>
      <c r="F157" s="208"/>
      <c r="G157" s="208"/>
      <c r="H157" s="208"/>
      <c r="I157" s="208"/>
      <c r="J157" s="208"/>
      <c r="K157" s="208"/>
    </row>
    <row r="158" spans="2:71">
      <c r="B158" s="207"/>
      <c r="C158" s="208"/>
      <c r="D158" s="208"/>
      <c r="E158" s="208"/>
      <c r="F158" s="208"/>
      <c r="G158" s="208"/>
      <c r="H158" s="208"/>
      <c r="I158" s="208"/>
      <c r="J158" s="208"/>
      <c r="K158" s="208"/>
    </row>
    <row r="159" spans="2:71">
      <c r="B159" s="207"/>
      <c r="C159" s="208"/>
      <c r="D159" s="208"/>
      <c r="E159" s="208"/>
      <c r="F159" s="208"/>
      <c r="G159" s="208"/>
      <c r="H159" s="208"/>
      <c r="I159" s="208"/>
      <c r="J159" s="208"/>
      <c r="K159" s="208"/>
    </row>
    <row r="160" spans="2:71">
      <c r="B160" s="207"/>
      <c r="C160" s="208"/>
      <c r="D160" s="208"/>
      <c r="E160" s="208"/>
      <c r="F160" s="208"/>
      <c r="G160" s="208"/>
      <c r="H160" s="208"/>
      <c r="I160" s="208"/>
      <c r="J160" s="208"/>
      <c r="K160" s="208"/>
    </row>
    <row r="161" spans="2:11">
      <c r="B161" s="207"/>
      <c r="C161" s="208"/>
      <c r="D161" s="208"/>
      <c r="E161" s="208"/>
      <c r="F161" s="208"/>
      <c r="G161" s="208"/>
      <c r="H161" s="208"/>
      <c r="I161" s="208"/>
      <c r="J161" s="208"/>
      <c r="K161" s="208"/>
    </row>
    <row r="162" spans="2:11">
      <c r="B162" s="207"/>
      <c r="C162" s="208"/>
      <c r="D162" s="208"/>
      <c r="E162" s="208"/>
      <c r="F162" s="208"/>
      <c r="G162" s="208"/>
      <c r="H162" s="208"/>
      <c r="I162" s="208"/>
      <c r="J162" s="208"/>
      <c r="K162" s="208"/>
    </row>
    <row r="163" spans="2:11">
      <c r="B163" s="207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>
      <c r="B164" s="207"/>
      <c r="C164" s="208"/>
      <c r="D164" s="208"/>
      <c r="E164" s="208"/>
      <c r="F164" s="208"/>
      <c r="G164" s="208"/>
      <c r="H164" s="208"/>
      <c r="I164" s="208"/>
      <c r="J164" s="208"/>
      <c r="K164" s="208"/>
    </row>
    <row r="165" spans="2:11">
      <c r="B165" s="207"/>
      <c r="C165" s="208"/>
      <c r="D165" s="208"/>
      <c r="E165" s="208"/>
      <c r="F165" s="208"/>
      <c r="G165" s="208"/>
      <c r="H165" s="208"/>
      <c r="I165" s="208"/>
      <c r="J165" s="208"/>
      <c r="K165" s="208"/>
    </row>
    <row r="166" spans="2:11">
      <c r="B166" s="207"/>
      <c r="C166" s="208"/>
      <c r="D166" s="208"/>
      <c r="E166" s="208"/>
      <c r="F166" s="208"/>
      <c r="G166" s="208"/>
      <c r="H166" s="208"/>
      <c r="I166" s="208"/>
      <c r="J166" s="208"/>
      <c r="K166" s="208"/>
    </row>
    <row r="167" spans="2:11">
      <c r="B167" s="207"/>
      <c r="C167" s="208"/>
      <c r="D167" s="208"/>
      <c r="E167" s="208"/>
      <c r="F167" s="208"/>
      <c r="G167" s="208"/>
      <c r="H167" s="208"/>
      <c r="I167" s="208"/>
      <c r="J167" s="208"/>
      <c r="K167" s="208"/>
    </row>
    <row r="168" spans="2:11">
      <c r="B168" s="207"/>
      <c r="C168" s="208"/>
      <c r="D168" s="208"/>
      <c r="E168" s="208"/>
      <c r="F168" s="208"/>
      <c r="G168" s="208"/>
      <c r="H168" s="208"/>
      <c r="I168" s="208"/>
      <c r="J168" s="208"/>
      <c r="K168" s="208"/>
    </row>
    <row r="169" spans="2:11">
      <c r="B169" s="207"/>
      <c r="C169" s="208"/>
      <c r="D169" s="208"/>
      <c r="E169" s="208"/>
      <c r="F169" s="208"/>
      <c r="G169" s="208"/>
      <c r="H169" s="208"/>
      <c r="I169" s="208"/>
      <c r="J169" s="208"/>
      <c r="K169" s="208"/>
    </row>
  </sheetData>
  <sheetProtection formatColumns="0" insertRows="0"/>
  <mergeCells count="28">
    <mergeCell ref="BJ2:BS2"/>
    <mergeCell ref="E5:I5"/>
    <mergeCell ref="O5:S5"/>
    <mergeCell ref="Y5:AC5"/>
    <mergeCell ref="AI5:AM5"/>
    <mergeCell ref="AS5:AW5"/>
    <mergeCell ref="BC5:BG5"/>
    <mergeCell ref="BM5:BQ5"/>
    <mergeCell ref="B2:J2"/>
    <mergeCell ref="L2:T2"/>
    <mergeCell ref="V2:AD2"/>
    <mergeCell ref="AF2:AN2"/>
    <mergeCell ref="AP2:AY2"/>
    <mergeCell ref="AZ2:BI2"/>
    <mergeCell ref="BK104:BS104"/>
    <mergeCell ref="C105:J124"/>
    <mergeCell ref="M105:T124"/>
    <mergeCell ref="W105:AD124"/>
    <mergeCell ref="AG105:AN124"/>
    <mergeCell ref="AQ105:AY124"/>
    <mergeCell ref="BA105:BI124"/>
    <mergeCell ref="BK105:BS124"/>
    <mergeCell ref="C104:J104"/>
    <mergeCell ref="M104:T104"/>
    <mergeCell ref="W104:AD104"/>
    <mergeCell ref="AG104:AN104"/>
    <mergeCell ref="AQ104:AY104"/>
    <mergeCell ref="BA104:BI104"/>
  </mergeCells>
  <dataValidations count="2">
    <dataValidation type="whole" operator="greaterThanOrEqual" allowBlank="1" showInputMessage="1" showErrorMessage="1" errorTitle="Data Type Error" error="Value must be a number greater than or equal to 0." sqref="B84:D84 L58:N58 B97:D97 B72:D72 B58:D58 B44:D44 L44:N44 L28:N28 L72:N72 L84:N84 B28:D28 V84:X84 L97:N97 V97:X97 V72:X72 V58:X58 V44:X44 V28:X28 AF84:AH84 AF97:AH97 AF72:AH72 AF58:AH58 AF44:AH44 AF28:AH28 AP84:AR84 AP97:AR97 AP72:AR72 AP58:AR58 AP44:AR44 AP28:AR28 W65:X71 C47:D57 W75:X83 AQ47:AR57 AG47:AH57 M47:N57 W47:X57 AQ65:AR71 AG65:AH71 M65:N71 C65:D71 AQ75:AR83 AG75:AH83 C75:D83 M75:N83 AQ89:AR96 AG89:AH96 W89:X96 C89:D96 M89:N96 AZ84:BB84 AZ97:BB97 AZ72:BB72 AZ58:BB58 AZ44:BB44 AZ28:BB28 BA47:BB57 BA65:BB71 BA75:BB83 BA89:BB96 BJ84:BL84 BJ97:BL97 BJ72:BL72 BJ58:BL58 BJ44:BL44 BJ28:BL28 BK75:BL83 W31:X43 BK89:BL96 BK47:BL57 BK65:BL71 BK31:BL43 BA31:BB43 C31:D43 M31:N43 AG31:AH43 AQ31:AR43 BK10:BL27 BA10:BB27 W10:X27 C10:D27 AG10:AH27 AQ10:AR27 M10:N27" xr:uid="{BDAC7E91-02DF-4137-8840-A62F808E6A86}">
      <formula1>0</formula1>
    </dataValidation>
    <dataValidation type="custom" operator="greaterThanOrEqual" allowBlank="1" showInputMessage="1" showErrorMessage="1" errorTitle="data type error" error="value must be a number" sqref="Y84:AE84 L116 B109 L109 L105:L107 B105:B107 Y97:AE97 Y44:AE44 Y58:AE58 V105:V107 V116 V109 U65:V65 AF10:AF18 U89:V89 V75:V78 B116 AS28:AY28 AP75:AP78 AI84:AO84 AI97:AO97 AI44:AO44 AI58:AO58 AF105:AF107 AF116 AF109 AP10:AP18 AS75:AX78 AS72:AY72 AS84:AY84 AS97:AY97 AS44:AY44 AP105:AP107 AP116 AP109 AS58:AY58 AI72:AO72 AI75:AN78 Y75:AD78 AI28:AO28 Y72:AE72 Y28:AE28 U47:V47 AF75:AF78 O65:T72 O47:T58 V10:V18 E47:K58 E89:K97 AO66:AO71 AE66:AE71 U66:U72 L47:L57 E75:K84 U90:U97 AE90:AE96 AO90:AO96 O75:U84 AE75:AE83 AO75:AO83 E65:K72 B47:B57 L65:L71 B65:B71 L75:L83 B75:B83 L89:L96 U48:U58 AE48:AE57 AO48:AO57 B89:B96 O89:T97 AZ75:AZ78 BC75:BH78 BC28:BI28 BC72:BI72 BC84:BI84 BC97:BI97 AZ105:AZ107 AZ116 AZ109 BC44:BI44 BC58:BI58 BC47:BJ47 BC65:BJ65 BC89:BJ89 BC10:BH18 Y47:AF47 Y65:AF65 Y89:AF89 Y10:AD18 AI47:AP47 AI65:AP65 AI89:AP89 AI10:AN18 AS89:AZ89 AS65:AZ65 AS47:AZ47 AS10:AX18 AZ10:AZ18 AY66:AY71 AY90:AY96 AY75:AY83 AY48:AY57 BI48:BJ57 BM75:BS84 BI75:BJ83 BI66:BJ71 BJ105:BJ107 BJ116 BJ109 BM47:BS58 BM65:BS72 BM89:BS97 B31:B43 BI90:BJ96 BI32:BJ43 BM32:BS44 AY32:AY43 K32:K44 AE32:AE43 U32:U44 AO32:AO43 O31:T44 L31:L43 E31:J44 BM10:BS28 BI10:BJ27 AY10:AY27 L10:L27 AO10:AO27 AE10:AE27 O10:U28 B10:B27 E10:K28" xr:uid="{8EE7714C-08A2-4CB1-887F-62D8E19B7D20}">
      <formula1>ISNUMBER(B10)</formula1>
    </dataValidation>
  </dataValidations>
  <pageMargins left="0.3" right="0.3" top="0.75" bottom="0.3" header="0.3" footer="0.25"/>
  <pageSetup scale="29" fitToHeight="0" orientation="portrait" r:id="rId1"/>
  <headerFooter>
    <oddHeader>&amp;C&amp;"-,Bold"&amp;22Mid-Plains Community College
&amp;A</oddHead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ColWidth="11.42578125" defaultRowHeight="15"/>
  <cols>
    <col min="1" max="1" width="32.5703125" style="10" customWidth="1"/>
    <col min="2" max="4" width="12.7109375" style="10" customWidth="1"/>
    <col min="5" max="13" width="13.28515625" style="10" customWidth="1"/>
    <col min="14" max="26" width="11.42578125" style="185"/>
    <col min="27" max="16384" width="11.42578125" style="10"/>
  </cols>
  <sheetData>
    <row r="1" spans="1:13">
      <c r="A1" s="7"/>
    </row>
    <row r="2" spans="1:13" ht="15.75" thickBot="1">
      <c r="A2" s="7" t="s">
        <v>93</v>
      </c>
      <c r="B2" s="239" t="s">
        <v>94</v>
      </c>
      <c r="C2" s="239" t="s">
        <v>95</v>
      </c>
      <c r="D2" s="239" t="s">
        <v>95</v>
      </c>
      <c r="E2" s="239" t="s">
        <v>95</v>
      </c>
      <c r="F2" s="153" t="s">
        <v>95</v>
      </c>
      <c r="G2" s="153" t="s">
        <v>95</v>
      </c>
      <c r="H2" s="153" t="s">
        <v>95</v>
      </c>
      <c r="I2" s="153" t="s">
        <v>95</v>
      </c>
      <c r="J2" s="153" t="s">
        <v>95</v>
      </c>
      <c r="K2" s="153" t="s">
        <v>95</v>
      </c>
      <c r="L2" s="153" t="s">
        <v>96</v>
      </c>
      <c r="M2" s="153" t="s">
        <v>96</v>
      </c>
    </row>
    <row r="3" spans="1:13" ht="15.75" thickBot="1">
      <c r="A3" s="240" t="s">
        <v>123</v>
      </c>
      <c r="B3" s="241" t="s">
        <v>97</v>
      </c>
      <c r="C3" s="155" t="s">
        <v>82</v>
      </c>
      <c r="D3" s="155" t="s">
        <v>83</v>
      </c>
      <c r="E3" s="156" t="s">
        <v>84</v>
      </c>
      <c r="F3" s="156" t="s">
        <v>81</v>
      </c>
      <c r="G3" s="156" t="s">
        <v>80</v>
      </c>
      <c r="H3" s="156" t="s">
        <v>85</v>
      </c>
      <c r="I3" s="156" t="s">
        <v>86</v>
      </c>
      <c r="J3" s="156" t="s">
        <v>88</v>
      </c>
      <c r="K3" s="156" t="s">
        <v>89</v>
      </c>
      <c r="L3" s="156" t="s">
        <v>90</v>
      </c>
      <c r="M3" s="156" t="s">
        <v>198</v>
      </c>
    </row>
    <row r="4" spans="1:13">
      <c r="A4" s="157" t="s">
        <v>98</v>
      </c>
      <c r="B4" s="152"/>
      <c r="C4" s="220">
        <v>8279695</v>
      </c>
      <c r="D4" s="158">
        <f>C67</f>
        <v>8620622</v>
      </c>
      <c r="E4" s="158">
        <f t="shared" ref="E4:I4" si="0">D67</f>
        <v>9893634</v>
      </c>
      <c r="F4" s="158">
        <f t="shared" si="0"/>
        <v>9801000.1899999976</v>
      </c>
      <c r="G4" s="158">
        <f t="shared" si="0"/>
        <v>10382214.189999998</v>
      </c>
      <c r="H4" s="158">
        <f t="shared" si="0"/>
        <v>11837862.189999998</v>
      </c>
      <c r="I4" s="158">
        <f t="shared" si="0"/>
        <v>12672843.189999998</v>
      </c>
      <c r="J4" s="158">
        <f>I67</f>
        <v>12131691.189999998</v>
      </c>
      <c r="K4" s="158">
        <f>J67</f>
        <v>11678415.189999998</v>
      </c>
      <c r="L4" s="158">
        <f>K67</f>
        <v>10983856.189999998</v>
      </c>
      <c r="M4" s="158">
        <f>L67</f>
        <v>8956032.1899999976</v>
      </c>
    </row>
    <row r="5" spans="1:13">
      <c r="A5" s="159"/>
      <c r="B5" s="152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>
      <c r="A6" s="159" t="s">
        <v>99</v>
      </c>
      <c r="B6" s="152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>
      <c r="A7" s="157" t="s">
        <v>9</v>
      </c>
      <c r="B7" s="179"/>
      <c r="C7" s="184">
        <v>5027926</v>
      </c>
      <c r="D7" s="184">
        <v>5331456.74</v>
      </c>
      <c r="E7" s="184">
        <v>4309273.1900000004</v>
      </c>
      <c r="F7" s="184">
        <v>4310312</v>
      </c>
      <c r="G7" s="184">
        <f>3801328+449549</f>
        <v>4250877</v>
      </c>
      <c r="H7" s="184">
        <f>4530647+391077-326948</f>
        <v>4594776</v>
      </c>
      <c r="I7" s="184">
        <f>4297811+398430-316412</f>
        <v>4379829</v>
      </c>
      <c r="J7" s="184">
        <f>4463750+384524-J28</f>
        <v>4540974</v>
      </c>
      <c r="K7" s="184">
        <f>4266967+357055-K28</f>
        <v>4330590</v>
      </c>
      <c r="L7" s="184">
        <f>4909398+365000-L28</f>
        <v>4962398</v>
      </c>
      <c r="M7" s="184">
        <f>5000000+385000-M28</f>
        <v>5065000</v>
      </c>
    </row>
    <row r="8" spans="1:13">
      <c r="A8" s="157" t="s">
        <v>100</v>
      </c>
      <c r="B8" s="179"/>
      <c r="C8" s="180">
        <v>0</v>
      </c>
      <c r="D8" s="180">
        <v>0</v>
      </c>
      <c r="E8" s="180">
        <v>0</v>
      </c>
      <c r="F8" s="180">
        <v>0</v>
      </c>
      <c r="G8" s="180"/>
      <c r="H8" s="180"/>
      <c r="I8" s="180"/>
      <c r="J8" s="180"/>
      <c r="K8" s="180"/>
      <c r="L8" s="180"/>
      <c r="M8" s="180"/>
    </row>
    <row r="9" spans="1:13" ht="15.75" thickBot="1">
      <c r="A9" s="161" t="s">
        <v>101</v>
      </c>
      <c r="B9" s="181"/>
      <c r="C9" s="182">
        <v>-905965</v>
      </c>
      <c r="D9" s="182">
        <v>-1005762.74</v>
      </c>
      <c r="E9" s="182">
        <v>-938681</v>
      </c>
      <c r="F9" s="182">
        <v>-977428</v>
      </c>
      <c r="G9" s="182">
        <v>-1115774</v>
      </c>
      <c r="H9" s="182">
        <v>-1170810</v>
      </c>
      <c r="I9" s="182">
        <v>-1193357</v>
      </c>
      <c r="J9" s="182">
        <v>-1248427</v>
      </c>
      <c r="K9" s="182">
        <v>-1142913</v>
      </c>
      <c r="L9" s="182">
        <v>-1158600</v>
      </c>
      <c r="M9" s="182">
        <v>-1200000</v>
      </c>
    </row>
    <row r="10" spans="1:13" ht="15.75" thickTop="1">
      <c r="A10" s="157" t="s">
        <v>102</v>
      </c>
      <c r="B10" s="152"/>
      <c r="C10" s="160">
        <f>SUM(C8:C9)</f>
        <v>-905965</v>
      </c>
      <c r="D10" s="160">
        <f>SUM(D8:D9)</f>
        <v>-1005762.74</v>
      </c>
      <c r="E10" s="160">
        <f t="shared" ref="E10:H10" si="1">SUM(E8:E9)</f>
        <v>-938681</v>
      </c>
      <c r="F10" s="160">
        <f t="shared" si="1"/>
        <v>-977428</v>
      </c>
      <c r="G10" s="160">
        <f t="shared" si="1"/>
        <v>-1115774</v>
      </c>
      <c r="H10" s="160">
        <f t="shared" si="1"/>
        <v>-1170810</v>
      </c>
      <c r="I10" s="160">
        <f t="shared" ref="I10:J10" si="2">SUM(I8:I9)</f>
        <v>-1193357</v>
      </c>
      <c r="J10" s="160">
        <f t="shared" si="2"/>
        <v>-1248427</v>
      </c>
      <c r="K10" s="160">
        <f t="shared" ref="K10:L10" si="3">SUM(K8:K9)</f>
        <v>-1142913</v>
      </c>
      <c r="L10" s="160">
        <f t="shared" si="3"/>
        <v>-1158600</v>
      </c>
      <c r="M10" s="160">
        <f t="shared" ref="M10" si="4">SUM(M8:M9)</f>
        <v>-1200000</v>
      </c>
    </row>
    <row r="11" spans="1:13" ht="18" customHeight="1">
      <c r="A11" s="162" t="s">
        <v>103</v>
      </c>
      <c r="B11" s="231"/>
      <c r="C11" s="232">
        <v>-337982</v>
      </c>
      <c r="D11" s="232">
        <v>-317990</v>
      </c>
      <c r="E11" s="232">
        <v>-357298</v>
      </c>
      <c r="F11" s="232">
        <v>-367886</v>
      </c>
      <c r="G11" s="232">
        <v>-449549</v>
      </c>
      <c r="H11" s="232">
        <v>-391077</v>
      </c>
      <c r="I11" s="232">
        <v>-398430</v>
      </c>
      <c r="J11" s="232">
        <v>-384524</v>
      </c>
      <c r="K11" s="232">
        <v>-357055</v>
      </c>
      <c r="L11" s="232">
        <v>-365000</v>
      </c>
      <c r="M11" s="232">
        <v>-385000</v>
      </c>
    </row>
    <row r="12" spans="1:13">
      <c r="A12" s="157" t="s">
        <v>104</v>
      </c>
      <c r="B12" s="152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s="185" customFormat="1">
      <c r="A13" s="183" t="s">
        <v>105</v>
      </c>
      <c r="B13" s="179"/>
      <c r="C13" s="184">
        <f>C7+C10+C11</f>
        <v>3783979</v>
      </c>
      <c r="D13" s="184">
        <f>D7+D10+D11</f>
        <v>4007704</v>
      </c>
      <c r="E13" s="184">
        <f t="shared" ref="E13:H13" si="5">E7+E10+E11</f>
        <v>3013294.1900000004</v>
      </c>
      <c r="F13" s="184">
        <f t="shared" si="5"/>
        <v>2964998</v>
      </c>
      <c r="G13" s="184">
        <f t="shared" si="5"/>
        <v>2685554</v>
      </c>
      <c r="H13" s="184">
        <f t="shared" si="5"/>
        <v>3032889</v>
      </c>
      <c r="I13" s="184">
        <f t="shared" ref="I13:J13" si="6">I7+I10+I11</f>
        <v>2788042</v>
      </c>
      <c r="J13" s="184">
        <f t="shared" si="6"/>
        <v>2908023</v>
      </c>
      <c r="K13" s="184">
        <f t="shared" ref="K13:L13" si="7">K7+K10+K11</f>
        <v>2830622</v>
      </c>
      <c r="L13" s="184">
        <f t="shared" si="7"/>
        <v>3438798</v>
      </c>
      <c r="M13" s="184">
        <f t="shared" ref="M13" si="8">M7+M10+M11</f>
        <v>3480000</v>
      </c>
    </row>
    <row r="14" spans="1:13" s="185" customFormat="1">
      <c r="A14" s="183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</row>
    <row r="15" spans="1:13">
      <c r="A15" s="159" t="s">
        <v>106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>
      <c r="A16" s="183" t="s">
        <v>133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>
      <c r="A17" s="183" t="s">
        <v>134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</row>
    <row r="18" spans="1:13">
      <c r="A18" s="183" t="s">
        <v>135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>
      <c r="A19" s="183" t="s">
        <v>136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3">
      <c r="A20" s="183" t="s">
        <v>137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21" spans="1:13">
      <c r="A21" s="183" t="s">
        <v>138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1:13">
      <c r="A22" s="183" t="s">
        <v>139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>
      <c r="A23" s="183" t="s">
        <v>140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>
      <c r="A24" s="183" t="s">
        <v>141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>
      <c r="A25" s="183" t="s">
        <v>142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>
      <c r="A26" s="183" t="s">
        <v>143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>
      <c r="A27" s="183" t="s">
        <v>144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>
      <c r="A28" s="233"/>
      <c r="B28" s="184"/>
      <c r="C28" s="184">
        <v>439560</v>
      </c>
      <c r="D28" s="184">
        <v>444092</v>
      </c>
      <c r="E28" s="184">
        <v>358895</v>
      </c>
      <c r="F28" s="184">
        <v>346300</v>
      </c>
      <c r="G28" s="184">
        <v>337272</v>
      </c>
      <c r="H28" s="184">
        <v>326948</v>
      </c>
      <c r="I28" s="184">
        <f>'Student Fee Schedule'!AF6</f>
        <v>316412</v>
      </c>
      <c r="J28" s="184">
        <f>'Student Fee Schedule'!AG6</f>
        <v>307300</v>
      </c>
      <c r="K28" s="184">
        <f>'Student Fee Schedule'!AH6</f>
        <v>293432</v>
      </c>
      <c r="L28" s="184">
        <v>312000</v>
      </c>
      <c r="M28" s="184">
        <v>320000</v>
      </c>
    </row>
    <row r="29" spans="1:13">
      <c r="A29" s="233"/>
      <c r="B29" s="184"/>
      <c r="C29" s="184">
        <v>98873</v>
      </c>
      <c r="D29" s="184">
        <v>127760</v>
      </c>
      <c r="E29" s="184">
        <v>124006</v>
      </c>
      <c r="F29" s="184">
        <v>110534</v>
      </c>
      <c r="G29" s="184">
        <v>82382</v>
      </c>
      <c r="H29" s="184">
        <v>81737</v>
      </c>
      <c r="I29" s="184">
        <v>114469</v>
      </c>
      <c r="J29" s="184">
        <v>162366</v>
      </c>
      <c r="K29" s="184">
        <v>189120</v>
      </c>
      <c r="L29" s="184">
        <v>190000</v>
      </c>
      <c r="M29" s="184">
        <v>190000</v>
      </c>
    </row>
    <row r="30" spans="1:13" s="185" customForma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13">
      <c r="A31" s="188" t="s">
        <v>121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13">
      <c r="A32" s="157" t="s">
        <v>107</v>
      </c>
      <c r="B32" s="158"/>
      <c r="C32" s="158">
        <f t="shared" ref="C32:D32" si="9">SUM(C15:C31)</f>
        <v>538433</v>
      </c>
      <c r="D32" s="158">
        <f t="shared" si="9"/>
        <v>571852</v>
      </c>
      <c r="E32" s="158">
        <f t="shared" ref="E32:J32" si="10">SUM(E15:E31)</f>
        <v>482901</v>
      </c>
      <c r="F32" s="158">
        <f t="shared" si="10"/>
        <v>456834</v>
      </c>
      <c r="G32" s="158">
        <f t="shared" si="10"/>
        <v>419654</v>
      </c>
      <c r="H32" s="158">
        <f t="shared" si="10"/>
        <v>408685</v>
      </c>
      <c r="I32" s="158">
        <f t="shared" si="10"/>
        <v>430881</v>
      </c>
      <c r="J32" s="158">
        <f t="shared" si="10"/>
        <v>469666</v>
      </c>
      <c r="K32" s="158">
        <f t="shared" ref="K32:L32" si="11">SUM(K15:K31)</f>
        <v>482552</v>
      </c>
      <c r="L32" s="158">
        <f t="shared" si="11"/>
        <v>502000</v>
      </c>
      <c r="M32" s="158">
        <f t="shared" ref="M32" si="12">SUM(M15:M31)</f>
        <v>510000</v>
      </c>
    </row>
    <row r="33" spans="1:13">
      <c r="A33" s="157"/>
      <c r="B33" s="164"/>
      <c r="C33" s="165"/>
      <c r="D33" s="165"/>
      <c r="E33" s="166"/>
      <c r="F33" s="166"/>
      <c r="G33" s="166"/>
      <c r="H33" s="166"/>
      <c r="I33" s="166"/>
      <c r="J33" s="166"/>
      <c r="K33" s="166"/>
      <c r="L33" s="166"/>
      <c r="M33" s="166"/>
    </row>
    <row r="34" spans="1:13">
      <c r="A34" s="157"/>
      <c r="B34" s="164"/>
      <c r="C34" s="165"/>
      <c r="D34" s="165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>
      <c r="A35" s="159" t="s">
        <v>108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>
      <c r="A36" s="234" t="s">
        <v>145</v>
      </c>
      <c r="B36" s="184"/>
      <c r="C36" s="184">
        <v>30832</v>
      </c>
      <c r="D36" s="184">
        <v>30751</v>
      </c>
      <c r="E36" s="184">
        <v>33845</v>
      </c>
      <c r="F36" s="184">
        <v>44391</v>
      </c>
      <c r="G36" s="184">
        <v>67025</v>
      </c>
      <c r="H36" s="184">
        <v>107481</v>
      </c>
      <c r="I36" s="184">
        <v>106194</v>
      </c>
      <c r="J36" s="184">
        <v>62583</v>
      </c>
      <c r="K36" s="184">
        <v>18163</v>
      </c>
      <c r="L36" s="184">
        <v>47500</v>
      </c>
      <c r="M36" s="184">
        <v>95000</v>
      </c>
    </row>
    <row r="37" spans="1:13">
      <c r="A37" s="234" t="s">
        <v>146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>
      <c r="A38" s="234" t="s">
        <v>147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>
      <c r="A39" s="234" t="s">
        <v>148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3">
      <c r="A40" s="234" t="s">
        <v>149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1:13">
      <c r="A41" s="234" t="s">
        <v>150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>
      <c r="A42" s="234" t="s">
        <v>151</v>
      </c>
      <c r="B42" s="184"/>
      <c r="C42" s="184">
        <v>14878</v>
      </c>
      <c r="D42" s="184">
        <v>13847</v>
      </c>
      <c r="E42" s="184">
        <v>14046</v>
      </c>
      <c r="F42" s="184">
        <v>12588</v>
      </c>
      <c r="G42" s="184">
        <v>10289</v>
      </c>
      <c r="H42" s="184">
        <v>15919</v>
      </c>
      <c r="I42" s="184">
        <v>13729</v>
      </c>
      <c r="J42" s="184">
        <v>14824</v>
      </c>
      <c r="K42" s="184">
        <v>10986</v>
      </c>
      <c r="L42" s="184">
        <v>11500</v>
      </c>
      <c r="M42" s="184">
        <v>11500</v>
      </c>
    </row>
    <row r="43" spans="1:13">
      <c r="A43" s="234" t="s">
        <v>152</v>
      </c>
      <c r="B43" s="184"/>
      <c r="C43" s="184">
        <v>53874</v>
      </c>
      <c r="D43" s="184">
        <v>48476</v>
      </c>
      <c r="E43" s="184">
        <v>26281</v>
      </c>
      <c r="F43" s="184">
        <v>24073</v>
      </c>
      <c r="G43" s="184">
        <v>24117</v>
      </c>
      <c r="H43" s="184">
        <v>21194</v>
      </c>
      <c r="I43" s="184">
        <v>13646</v>
      </c>
      <c r="J43" s="184">
        <v>10971</v>
      </c>
      <c r="K43" s="184">
        <v>18243</v>
      </c>
      <c r="L43" s="184">
        <v>17500</v>
      </c>
      <c r="M43" s="184">
        <v>18000</v>
      </c>
    </row>
    <row r="44" spans="1:13">
      <c r="A44" s="234" t="s">
        <v>153</v>
      </c>
      <c r="B44" s="184"/>
      <c r="C44" s="184">
        <v>137482</v>
      </c>
      <c r="D44" s="184">
        <v>149839</v>
      </c>
      <c r="E44" s="184">
        <v>122958</v>
      </c>
      <c r="F44" s="184">
        <v>141716</v>
      </c>
      <c r="G44" s="184">
        <v>149152</v>
      </c>
      <c r="H44" s="184">
        <v>124928</v>
      </c>
      <c r="I44" s="184">
        <v>118801</v>
      </c>
      <c r="J44" s="184">
        <v>162366</v>
      </c>
      <c r="K44" s="184">
        <v>171768</v>
      </c>
      <c r="L44" s="184">
        <v>125000</v>
      </c>
      <c r="M44" s="184">
        <v>85000</v>
      </c>
    </row>
    <row r="45" spans="1:13">
      <c r="A45" s="234" t="s">
        <v>154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</row>
    <row r="46" spans="1:13">
      <c r="A46" s="234" t="s">
        <v>155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</row>
    <row r="47" spans="1:13">
      <c r="A47" s="234" t="s">
        <v>156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</row>
    <row r="48" spans="1:13">
      <c r="A48" s="234" t="s">
        <v>157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>
      <c r="A49" s="234" t="s">
        <v>158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1:13">
      <c r="A50" s="234" t="s">
        <v>144</v>
      </c>
      <c r="B50" s="184"/>
      <c r="C50" s="184">
        <v>770207</v>
      </c>
      <c r="D50" s="184">
        <v>291810</v>
      </c>
      <c r="E50" s="184">
        <v>252202</v>
      </c>
      <c r="F50" s="184">
        <v>280149</v>
      </c>
      <c r="G50" s="184">
        <v>284744</v>
      </c>
      <c r="H50" s="184">
        <v>373955</v>
      </c>
      <c r="I50" s="184">
        <f>388649-114469</f>
        <v>274180</v>
      </c>
      <c r="J50" s="184">
        <f>183249+147934</f>
        <v>331183</v>
      </c>
      <c r="K50" s="184">
        <v>176957</v>
      </c>
      <c r="L50" s="184">
        <v>241000</v>
      </c>
      <c r="M50" s="184">
        <v>250000</v>
      </c>
    </row>
    <row r="51" spans="1:13">
      <c r="A51" s="23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3">
      <c r="A52" s="234" t="s">
        <v>159</v>
      </c>
      <c r="B52" s="184"/>
      <c r="C52" s="184">
        <v>9878401</v>
      </c>
      <c r="D52" s="184">
        <v>10597878</v>
      </c>
      <c r="E52" s="184">
        <v>11258187</v>
      </c>
      <c r="F52" s="184">
        <v>11775594</v>
      </c>
      <c r="G52" s="184">
        <v>12312321</v>
      </c>
      <c r="H52" s="184">
        <v>11444969</v>
      </c>
      <c r="I52" s="184">
        <v>11290389</v>
      </c>
      <c r="J52" s="184">
        <v>11391308</v>
      </c>
      <c r="K52" s="184">
        <v>11700115</v>
      </c>
      <c r="L52" s="184">
        <v>12485586</v>
      </c>
      <c r="M52" s="184">
        <v>12865000</v>
      </c>
    </row>
    <row r="53" spans="1:13">
      <c r="A53" s="234" t="s">
        <v>160</v>
      </c>
      <c r="B53" s="184"/>
      <c r="C53" s="184">
        <v>8195685</v>
      </c>
      <c r="D53" s="184">
        <v>8524038</v>
      </c>
      <c r="E53" s="184">
        <v>8907632</v>
      </c>
      <c r="F53" s="184">
        <v>8748097</v>
      </c>
      <c r="G53" s="184">
        <v>8849338</v>
      </c>
      <c r="H53" s="184">
        <v>8793245</v>
      </c>
      <c r="I53" s="184">
        <v>8986485</v>
      </c>
      <c r="J53" s="184">
        <v>9230578</v>
      </c>
      <c r="K53" s="184">
        <v>9483134</v>
      </c>
      <c r="L53" s="184">
        <v>9730198</v>
      </c>
      <c r="M53" s="184">
        <v>10125000</v>
      </c>
    </row>
    <row r="54" spans="1:13">
      <c r="A54" s="234" t="s">
        <v>161</v>
      </c>
      <c r="B54" s="184"/>
      <c r="C54" s="184">
        <v>-137482</v>
      </c>
      <c r="D54" s="184">
        <v>-149839</v>
      </c>
      <c r="E54" s="184">
        <v>-122958</v>
      </c>
      <c r="F54" s="184">
        <v>-141716</v>
      </c>
      <c r="G54" s="184">
        <v>-149152</v>
      </c>
      <c r="H54" s="184">
        <v>-124928</v>
      </c>
      <c r="I54" s="184">
        <v>-118801</v>
      </c>
      <c r="J54" s="184">
        <f>-J29</f>
        <v>-162366</v>
      </c>
      <c r="K54" s="184">
        <f>-K29</f>
        <v>-189120</v>
      </c>
      <c r="L54" s="184">
        <f>-L29</f>
        <v>-190000</v>
      </c>
      <c r="M54" s="184">
        <f>-M29</f>
        <v>-190000</v>
      </c>
    </row>
    <row r="55" spans="1:13" s="185" customFormat="1">
      <c r="A55" s="183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>
      <c r="A56" s="188" t="s">
        <v>121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</row>
    <row r="57" spans="1:13">
      <c r="A57" s="157" t="s">
        <v>109</v>
      </c>
      <c r="B57" s="158"/>
      <c r="C57" s="158">
        <f t="shared" ref="C57:H57" si="13">SUM(C35:C56)</f>
        <v>18943877</v>
      </c>
      <c r="D57" s="158">
        <f t="shared" si="13"/>
        <v>19506800</v>
      </c>
      <c r="E57" s="158">
        <f t="shared" si="13"/>
        <v>20492193</v>
      </c>
      <c r="F57" s="158">
        <f t="shared" si="13"/>
        <v>20884892</v>
      </c>
      <c r="G57" s="158">
        <f t="shared" si="13"/>
        <v>21547834</v>
      </c>
      <c r="H57" s="158">
        <f t="shared" si="13"/>
        <v>20756763</v>
      </c>
      <c r="I57" s="158">
        <f t="shared" ref="I57:J57" si="14">SUM(I35:I56)</f>
        <v>20684623</v>
      </c>
      <c r="J57" s="158">
        <f t="shared" si="14"/>
        <v>21041447</v>
      </c>
      <c r="K57" s="158">
        <f t="shared" ref="K57:L57" si="15">SUM(K35:K56)</f>
        <v>21390246</v>
      </c>
      <c r="L57" s="158">
        <f t="shared" si="15"/>
        <v>22468284</v>
      </c>
      <c r="M57" s="158">
        <f t="shared" ref="M57" si="16">SUM(M35:M56)</f>
        <v>23259500</v>
      </c>
    </row>
    <row r="58" spans="1:13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</row>
    <row r="59" spans="1:13">
      <c r="A59" s="157" t="s">
        <v>110</v>
      </c>
      <c r="B59" s="158"/>
      <c r="C59" s="158">
        <f t="shared" ref="C59:H59" si="17">C57+C32+C13</f>
        <v>23266289</v>
      </c>
      <c r="D59" s="158">
        <f t="shared" si="17"/>
        <v>24086356</v>
      </c>
      <c r="E59" s="158">
        <f t="shared" si="17"/>
        <v>23988388.190000001</v>
      </c>
      <c r="F59" s="158">
        <f t="shared" si="17"/>
        <v>24306724</v>
      </c>
      <c r="G59" s="158">
        <f t="shared" si="17"/>
        <v>24653042</v>
      </c>
      <c r="H59" s="158">
        <f t="shared" si="17"/>
        <v>24198337</v>
      </c>
      <c r="I59" s="158">
        <f t="shared" ref="I59:J59" si="18">I57+I32+I13</f>
        <v>23903546</v>
      </c>
      <c r="J59" s="158">
        <f t="shared" si="18"/>
        <v>24419136</v>
      </c>
      <c r="K59" s="158">
        <f t="shared" ref="K59:L59" si="19">K57+K32+K13</f>
        <v>24703420</v>
      </c>
      <c r="L59" s="158">
        <f t="shared" si="19"/>
        <v>26409082</v>
      </c>
      <c r="M59" s="158">
        <f t="shared" ref="M59" si="20">M57+M32+M13</f>
        <v>27249500</v>
      </c>
    </row>
    <row r="60" spans="1:13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</row>
    <row r="61" spans="1:13">
      <c r="A61" s="157" t="s">
        <v>111</v>
      </c>
      <c r="B61" s="158"/>
      <c r="C61" s="160">
        <f t="shared" ref="C61:H61" si="21">C59+C4</f>
        <v>31545984</v>
      </c>
      <c r="D61" s="160">
        <f t="shared" si="21"/>
        <v>32706978</v>
      </c>
      <c r="E61" s="160">
        <f t="shared" si="21"/>
        <v>33882022.189999998</v>
      </c>
      <c r="F61" s="160">
        <f t="shared" si="21"/>
        <v>34107724.189999998</v>
      </c>
      <c r="G61" s="160">
        <f t="shared" si="21"/>
        <v>35035256.189999998</v>
      </c>
      <c r="H61" s="160">
        <f t="shared" si="21"/>
        <v>36036199.189999998</v>
      </c>
      <c r="I61" s="160">
        <f t="shared" ref="I61:J61" si="22">I59+I4</f>
        <v>36576389.189999998</v>
      </c>
      <c r="J61" s="160">
        <f t="shared" si="22"/>
        <v>36550827.189999998</v>
      </c>
      <c r="K61" s="160">
        <f t="shared" ref="K61:L61" si="23">K59+K4</f>
        <v>36381835.189999998</v>
      </c>
      <c r="L61" s="160">
        <f t="shared" si="23"/>
        <v>37392938.189999998</v>
      </c>
      <c r="M61" s="160">
        <f t="shared" ref="M61" si="24">M59+M4</f>
        <v>36205532.189999998</v>
      </c>
    </row>
    <row r="62" spans="1:13">
      <c r="A62" s="157"/>
      <c r="B62" s="158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</row>
    <row r="63" spans="1:13">
      <c r="A63" s="157" t="s">
        <v>112</v>
      </c>
      <c r="B63" s="184"/>
      <c r="C63" s="180">
        <v>-23210730</v>
      </c>
      <c r="D63" s="180">
        <v>-23106433</v>
      </c>
      <c r="E63" s="180">
        <v>-23706778</v>
      </c>
      <c r="F63" s="180">
        <v>-23785920</v>
      </c>
      <c r="G63" s="180">
        <f>-24811478+1115774</f>
        <v>-23695704</v>
      </c>
      <c r="H63" s="180">
        <f>-25096880+1170810</f>
        <v>-23926070</v>
      </c>
      <c r="I63" s="180">
        <f>-25505922+1193357</f>
        <v>-24312565</v>
      </c>
      <c r="J63" s="180">
        <f>-26303026+1248427</f>
        <v>-25054599</v>
      </c>
      <c r="K63" s="180">
        <f>-26424839+1142913</f>
        <v>-25281926</v>
      </c>
      <c r="L63" s="180">
        <f>-29595506+1158600</f>
        <v>-28436906</v>
      </c>
      <c r="M63" s="180">
        <f>-29500000+1200000</f>
        <v>-28300000</v>
      </c>
    </row>
    <row r="64" spans="1:13">
      <c r="A64" s="157" t="s">
        <v>113</v>
      </c>
      <c r="B64" s="184"/>
      <c r="C64" s="180">
        <v>-9721</v>
      </c>
      <c r="D64" s="180">
        <v>-11764</v>
      </c>
      <c r="E64" s="180">
        <v>-9185</v>
      </c>
      <c r="F64" s="180"/>
      <c r="G64" s="180"/>
      <c r="H64" s="180"/>
      <c r="I64" s="180"/>
      <c r="J64" s="180"/>
      <c r="K64" s="180"/>
      <c r="L64" s="180"/>
      <c r="M64" s="180"/>
    </row>
    <row r="65" spans="1:13">
      <c r="A65" s="157" t="s">
        <v>114</v>
      </c>
      <c r="B65" s="184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</row>
    <row r="66" spans="1:13">
      <c r="A66" s="151" t="s">
        <v>115</v>
      </c>
      <c r="B66" s="235"/>
      <c r="C66" s="236">
        <v>295089</v>
      </c>
      <c r="D66" s="236">
        <v>304853</v>
      </c>
      <c r="E66" s="237">
        <v>-365059</v>
      </c>
      <c r="F66" s="237">
        <v>60410</v>
      </c>
      <c r="G66" s="237">
        <f>783054-284744</f>
        <v>498310</v>
      </c>
      <c r="H66" s="237">
        <v>562714</v>
      </c>
      <c r="I66" s="237">
        <v>-132133</v>
      </c>
      <c r="J66" s="237">
        <v>182187</v>
      </c>
      <c r="K66" s="237">
        <v>-116053</v>
      </c>
      <c r="L66" s="237"/>
      <c r="M66" s="237"/>
    </row>
    <row r="67" spans="1:13">
      <c r="A67" s="162" t="s">
        <v>116</v>
      </c>
      <c r="B67" s="154"/>
      <c r="C67" s="168">
        <f>C66+C65+C64+C63+C61</f>
        <v>8620622</v>
      </c>
      <c r="D67" s="168">
        <f>D66+D65+D64+D63+D61</f>
        <v>9893634</v>
      </c>
      <c r="E67" s="168">
        <f t="shared" ref="E67:H67" si="25">E66+E65+E64+E63+E61</f>
        <v>9801000.1899999976</v>
      </c>
      <c r="F67" s="168">
        <f t="shared" si="25"/>
        <v>10382214.189999998</v>
      </c>
      <c r="G67" s="168">
        <f t="shared" si="25"/>
        <v>11837862.189999998</v>
      </c>
      <c r="H67" s="168">
        <f t="shared" si="25"/>
        <v>12672843.189999998</v>
      </c>
      <c r="I67" s="168">
        <f t="shared" ref="I67:J67" si="26">I66+I65+I64+I63+I61</f>
        <v>12131691.189999998</v>
      </c>
      <c r="J67" s="168">
        <f t="shared" si="26"/>
        <v>11678415.189999998</v>
      </c>
      <c r="K67" s="168">
        <f t="shared" ref="K67:L67" si="27">K66+K65+K64+K63+K61</f>
        <v>10983856.189999998</v>
      </c>
      <c r="L67" s="168">
        <f t="shared" si="27"/>
        <v>8956032.1899999976</v>
      </c>
      <c r="M67" s="168">
        <f t="shared" ref="M67" si="28">M66+M65+M64+M63+M61</f>
        <v>7905532.1899999976</v>
      </c>
    </row>
    <row r="68" spans="1:13">
      <c r="A68" s="157"/>
      <c r="B68" s="179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3">
      <c r="A69" s="157" t="s">
        <v>117</v>
      </c>
      <c r="B69" s="179"/>
      <c r="C69" s="186">
        <v>23210730</v>
      </c>
      <c r="D69" s="186">
        <v>23106433</v>
      </c>
      <c r="E69" s="186">
        <v>23706778</v>
      </c>
      <c r="F69" s="186">
        <v>23785920</v>
      </c>
      <c r="G69" s="186">
        <v>23695704</v>
      </c>
      <c r="H69" s="186">
        <v>23926070</v>
      </c>
      <c r="I69" s="186">
        <v>24312565</v>
      </c>
      <c r="J69" s="186">
        <f>-J63</f>
        <v>25054599</v>
      </c>
      <c r="K69" s="186">
        <f>-K63</f>
        <v>25281926</v>
      </c>
      <c r="L69" s="186">
        <f>-L63</f>
        <v>28436906</v>
      </c>
      <c r="M69" s="186">
        <f>-M63</f>
        <v>28300000</v>
      </c>
    </row>
    <row r="70" spans="1:13">
      <c r="A70" s="157" t="s">
        <v>118</v>
      </c>
      <c r="B70" s="179"/>
      <c r="C70" s="186">
        <v>9721</v>
      </c>
      <c r="D70" s="186">
        <v>11764</v>
      </c>
      <c r="E70" s="186">
        <v>9185</v>
      </c>
      <c r="F70" s="186">
        <v>0</v>
      </c>
      <c r="G70" s="186">
        <v>0</v>
      </c>
      <c r="H70" s="186">
        <v>0</v>
      </c>
      <c r="I70" s="186">
        <v>0</v>
      </c>
      <c r="J70" s="186">
        <v>0</v>
      </c>
      <c r="K70" s="186">
        <v>0</v>
      </c>
      <c r="L70" s="186">
        <v>0</v>
      </c>
      <c r="M70" s="186">
        <v>0</v>
      </c>
    </row>
    <row r="71" spans="1:13">
      <c r="A71" s="157" t="s">
        <v>119</v>
      </c>
      <c r="B71" s="179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</row>
    <row r="72" spans="1:13">
      <c r="A72" s="162" t="s">
        <v>120</v>
      </c>
      <c r="B72" s="231"/>
      <c r="C72" s="238">
        <f>SUM(C69:C71)</f>
        <v>23220451</v>
      </c>
      <c r="D72" s="238">
        <f t="shared" ref="D72:H72" si="29">SUM(D69:D71)</f>
        <v>23118197</v>
      </c>
      <c r="E72" s="238">
        <f t="shared" si="29"/>
        <v>23715963</v>
      </c>
      <c r="F72" s="238">
        <f t="shared" si="29"/>
        <v>23785920</v>
      </c>
      <c r="G72" s="238">
        <f t="shared" si="29"/>
        <v>23695704</v>
      </c>
      <c r="H72" s="238">
        <f t="shared" si="29"/>
        <v>23926070</v>
      </c>
      <c r="I72" s="238">
        <f t="shared" ref="I72:J72" si="30">SUM(I69:I71)</f>
        <v>24312565</v>
      </c>
      <c r="J72" s="238">
        <f t="shared" si="30"/>
        <v>25054599</v>
      </c>
      <c r="K72" s="238">
        <f t="shared" ref="K72:L72" si="31">SUM(K69:K71)</f>
        <v>25281926</v>
      </c>
      <c r="L72" s="238">
        <f t="shared" si="31"/>
        <v>28436906</v>
      </c>
      <c r="M72" s="238">
        <f t="shared" ref="M72" si="32">SUM(M69:M71)</f>
        <v>28300000</v>
      </c>
    </row>
    <row r="77" spans="1:13">
      <c r="C77" s="167"/>
    </row>
  </sheetData>
  <sheetProtection formatColumns="0" insertRows="0" selectLockedCells="1"/>
  <dataValidations count="1">
    <dataValidation type="whole" operator="lessThan" allowBlank="1" showErrorMessage="1" prompt="Amount must be negative." sqref="C8:C9 C11 C63:C66" xr:uid="{00000000-0002-0000-0300-000000000000}">
      <formula1>0</formula1>
    </dataValidation>
  </dataValidations>
  <pageMargins left="0.5" right="0.5" top="0.84" bottom="0.5" header="0.3" footer="0.3"/>
  <pageSetup scale="65" orientation="portrait" r:id="rId1"/>
  <headerFooter>
    <oddHeader>&amp;C&amp;"-,Bold"&amp;16Mid-Plains Community College
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58ca16-43fc-4a5f-a656-da05a4a4cbf9" xsi:nil="true"/>
    <lcf76f155ced4ddcb4097134ff3c332f xmlns="055ab5b5-a603-4391-b6c3-7d2fb6de76a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ADF832474A6F4F8C294B7516DDB43D" ma:contentTypeVersion="19" ma:contentTypeDescription="Create a new document." ma:contentTypeScope="" ma:versionID="fda60c9513fa0cebe797b4b8d4f4b546">
  <xsd:schema xmlns:xsd="http://www.w3.org/2001/XMLSchema" xmlns:xs="http://www.w3.org/2001/XMLSchema" xmlns:p="http://schemas.microsoft.com/office/2006/metadata/properties" xmlns:ns2="055ab5b5-a603-4391-b6c3-7d2fb6de76a6" xmlns:ns3="8a58ca16-43fc-4a5f-a656-da05a4a4cbf9" targetNamespace="http://schemas.microsoft.com/office/2006/metadata/properties" ma:root="true" ma:fieldsID="f31351bea137b23c5eb52f7c6836679e" ns2:_="" ns3:_="">
    <xsd:import namespace="055ab5b5-a603-4391-b6c3-7d2fb6de76a6"/>
    <xsd:import namespace="8a58ca16-43fc-4a5f-a656-da05a4a4c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ab5b5-a603-4391-b6c3-7d2fb6de7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f9ee17c-70ce-4f26-b936-1c9077dee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8ca16-43fc-4a5f-a656-da05a4a4cbf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713cd5-391f-45fc-94ab-f09ba3b07486}" ma:internalName="TaxCatchAll" ma:showField="CatchAllData" ma:web="8a58ca16-43fc-4a5f-a656-da05a4a4cb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C4B26-B7E3-40DF-80BC-0159CAB937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063BE-C058-4746-BC34-6BCCF1B1CAE4}">
  <ds:schemaRefs>
    <ds:schemaRef ds:uri="http://schemas.microsoft.com/office/2006/metadata/properties"/>
    <ds:schemaRef ds:uri="http://schemas.microsoft.com/office/infopath/2007/PartnerControls"/>
    <ds:schemaRef ds:uri="8a58ca16-43fc-4a5f-a656-da05a4a4cbf9"/>
    <ds:schemaRef ds:uri="055ab5b5-a603-4391-b6c3-7d2fb6de76a6"/>
  </ds:schemaRefs>
</ds:datastoreItem>
</file>

<file path=customXml/itemProps3.xml><?xml version="1.0" encoding="utf-8"?>
<ds:datastoreItem xmlns:ds="http://schemas.openxmlformats.org/officeDocument/2006/customXml" ds:itemID="{3A73A1DC-9322-47D2-A1E3-5D53CA197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5ab5b5-a603-4391-b6c3-7d2fb6de76a6"/>
    <ds:schemaRef ds:uri="8a58ca16-43fc-4a5f-a656-da05a4a4c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Enrollment &amp; Tuition Summary</vt:lpstr>
      <vt:lpstr>Student Fee Schedule</vt:lpstr>
      <vt:lpstr>Student Financial Aid</vt:lpstr>
      <vt:lpstr>Cash Fund Revenue Summary</vt:lpstr>
      <vt:lpstr>'Cash Fund Revenue Summary'!Print_Area</vt:lpstr>
      <vt:lpstr>'Enrollment &amp; Tuition Summary'!Print_Area</vt:lpstr>
      <vt:lpstr>'Student Fee Schedule'!Print_Area</vt:lpstr>
      <vt:lpstr>'Student Financial Aid'!Print_Area</vt:lpstr>
      <vt:lpstr>'Enrollment &amp; Tuition Summary'!Print_Titles</vt:lpstr>
      <vt:lpstr>'Student Financial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2021-12-10T17:51:27Z</dcterms:created>
  <dcterms:modified xsi:type="dcterms:W3CDTF">2023-05-25T15:18:20Z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0x01010038ADF832474A6F4F8C294B7516DDB43D</vt:lpwstr>
  </property>
</Properties>
</file>