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Research\Supplementals\2023\Nov\For Website\"/>
    </mc:Choice>
  </mc:AlternateContent>
  <xr:revisionPtr revIDLastSave="0" documentId="13_ncr:1_{4E05B224-AB2E-4F02-8055-EA603462CA3C}" xr6:coauthVersionLast="47" xr6:coauthVersionMax="47" xr10:uidLastSave="{00000000-0000-0000-0000-000000000000}"/>
  <bookViews>
    <workbookView xWindow="-120" yWindow="-120" windowWidth="29040" windowHeight="17640" xr2:uid="{85C2DA5C-BAB0-4F7B-BD8B-2260ED948F4B}"/>
  </bookViews>
  <sheets>
    <sheet name="Enrollment &amp; Tuition Summary " sheetId="2" r:id="rId1"/>
    <sheet name="Student Fee Schedule" sheetId="3" r:id="rId2"/>
    <sheet name="Student Financial Aid" sheetId="4" r:id="rId3"/>
    <sheet name="Cash Fund Revenue Summary" sheetId="1" r:id="rId4"/>
  </sheets>
  <definedNames>
    <definedName name="_xlnm.Print_Area" localSheetId="3">'Cash Fund Revenue Summary'!$A$1:$M$55</definedName>
    <definedName name="_xlnm.Print_Area" localSheetId="0">'Enrollment &amp; Tuition Summary '!$B$1:$AL$32</definedName>
    <definedName name="_xlnm.Print_Area" localSheetId="1">'Student Fee Schedule'!$B$1:$AL$42</definedName>
    <definedName name="_xlnm.Print_Area" localSheetId="2">'Student Financial Aid'!$L$7:$AD$140</definedName>
    <definedName name="_xlnm.Print_Titles" localSheetId="0">'Enrollment &amp; Tuition Summary '!$A:$C,'Enrollment &amp; Tuition Summary '!$1:$2</definedName>
    <definedName name="_xlnm.Print_Titles" localSheetId="2">'Student Financial Aid'!$A:$A,'Student Financial Aid'!$1:$6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C51" i="4" l="1"/>
  <c r="BU51" i="4"/>
  <c r="BV51" i="4" s="1"/>
  <c r="BS51" i="4"/>
  <c r="BK51" i="4"/>
  <c r="BL51" i="4" s="1"/>
  <c r="BI51" i="4"/>
  <c r="BA51" i="4"/>
  <c r="BB51" i="4" s="1"/>
  <c r="AY51" i="4"/>
  <c r="AQ51" i="4"/>
  <c r="AR51" i="4" s="1"/>
  <c r="AO51" i="4"/>
  <c r="AG51" i="4"/>
  <c r="AH51" i="4" s="1"/>
  <c r="AE51" i="4"/>
  <c r="W51" i="4"/>
  <c r="X51" i="4" s="1"/>
  <c r="U51" i="4"/>
  <c r="M51" i="4"/>
  <c r="N51" i="4" s="1"/>
  <c r="K51" i="4"/>
  <c r="C51" i="4"/>
  <c r="D51" i="4" s="1"/>
  <c r="BD22" i="2" l="1"/>
  <c r="BD18" i="2"/>
  <c r="AY22" i="2"/>
  <c r="AY18" i="2"/>
  <c r="N38" i="1"/>
  <c r="N22" i="1"/>
  <c r="N10" i="1"/>
  <c r="N13" i="1" s="1"/>
  <c r="M38" i="1"/>
  <c r="M22" i="1"/>
  <c r="M10" i="1"/>
  <c r="BU112" i="4"/>
  <c r="BV112" i="4" s="1"/>
  <c r="BU111" i="4"/>
  <c r="BV111" i="4" s="1"/>
  <c r="BU110" i="4"/>
  <c r="BV110" i="4" s="1"/>
  <c r="BU109" i="4"/>
  <c r="BV109" i="4" s="1"/>
  <c r="BU108" i="4"/>
  <c r="BV108" i="4" s="1"/>
  <c r="BU107" i="4"/>
  <c r="BV107" i="4" s="1"/>
  <c r="BU106" i="4"/>
  <c r="BV106" i="4" s="1"/>
  <c r="BU105" i="4"/>
  <c r="BV105" i="4" s="1"/>
  <c r="BU98" i="4"/>
  <c r="BV98" i="4" s="1"/>
  <c r="BU97" i="4"/>
  <c r="BV97" i="4" s="1"/>
  <c r="BU96" i="4"/>
  <c r="BV96" i="4" s="1"/>
  <c r="BU91" i="4"/>
  <c r="BV91" i="4" s="1"/>
  <c r="BU90" i="4"/>
  <c r="BV90" i="4" s="1"/>
  <c r="BU89" i="4"/>
  <c r="BV89" i="4" s="1"/>
  <c r="BU88" i="4"/>
  <c r="BV88" i="4" s="1"/>
  <c r="BU87" i="4"/>
  <c r="BV87" i="4" s="1"/>
  <c r="BU86" i="4"/>
  <c r="BV86" i="4" s="1"/>
  <c r="BU77" i="4"/>
  <c r="BV77" i="4" s="1"/>
  <c r="BU76" i="4"/>
  <c r="BV76" i="4" s="1"/>
  <c r="BU75" i="4"/>
  <c r="BV75" i="4" s="1"/>
  <c r="BU74" i="4"/>
  <c r="BV74" i="4" s="1"/>
  <c r="BU73" i="4"/>
  <c r="BV73" i="4" s="1"/>
  <c r="BU72" i="4"/>
  <c r="BV72" i="4" s="1"/>
  <c r="BU71" i="4"/>
  <c r="BV71" i="4" s="1"/>
  <c r="BU70" i="4"/>
  <c r="BV70" i="4" s="1"/>
  <c r="BU69" i="4"/>
  <c r="BV69" i="4" s="1"/>
  <c r="BU68" i="4"/>
  <c r="BV68" i="4" s="1"/>
  <c r="BU67" i="4"/>
  <c r="BV67" i="4" s="1"/>
  <c r="BU66" i="4"/>
  <c r="BV66" i="4" s="1"/>
  <c r="BU65" i="4"/>
  <c r="BV65" i="4" s="1"/>
  <c r="BU64" i="4"/>
  <c r="BV64" i="4" s="1"/>
  <c r="BU63" i="4"/>
  <c r="BV63" i="4" s="1"/>
  <c r="BV62" i="4"/>
  <c r="BU62" i="4"/>
  <c r="BU57" i="4"/>
  <c r="BV57" i="4" s="1"/>
  <c r="BU56" i="4"/>
  <c r="BV56" i="4" s="1"/>
  <c r="BU55" i="4"/>
  <c r="BV55" i="4" s="1"/>
  <c r="BU54" i="4"/>
  <c r="BV54" i="4" s="1"/>
  <c r="BU53" i="4"/>
  <c r="BV53" i="4" s="1"/>
  <c r="BU52" i="4"/>
  <c r="BV52" i="4" s="1"/>
  <c r="BU50" i="4"/>
  <c r="BU49" i="4"/>
  <c r="BV49" i="4" s="1"/>
  <c r="BU48" i="4"/>
  <c r="BV48" i="4" s="1"/>
  <c r="BU43" i="4"/>
  <c r="BV43" i="4" s="1"/>
  <c r="BU42" i="4"/>
  <c r="BV42" i="4" s="1"/>
  <c r="BU41" i="4"/>
  <c r="BV41" i="4" s="1"/>
  <c r="BV40" i="4"/>
  <c r="BU40" i="4"/>
  <c r="BU39" i="4"/>
  <c r="BV39" i="4" s="1"/>
  <c r="BU38" i="4"/>
  <c r="BV38" i="4" s="1"/>
  <c r="BU37" i="4"/>
  <c r="BV37" i="4" s="1"/>
  <c r="BU36" i="4"/>
  <c r="BV36" i="4" s="1"/>
  <c r="BU35" i="4"/>
  <c r="BV35" i="4" s="1"/>
  <c r="BU34" i="4"/>
  <c r="BV34" i="4" s="1"/>
  <c r="BU33" i="4"/>
  <c r="BV33" i="4" s="1"/>
  <c r="BU32" i="4"/>
  <c r="BV32" i="4" s="1"/>
  <c r="BU31" i="4"/>
  <c r="BV31" i="4" s="1"/>
  <c r="BU30" i="4"/>
  <c r="BV30" i="4" s="1"/>
  <c r="BU29" i="4"/>
  <c r="BV29" i="4" s="1"/>
  <c r="BU28" i="4"/>
  <c r="BV28" i="4" s="1"/>
  <c r="BU27" i="4"/>
  <c r="BV27" i="4" s="1"/>
  <c r="BV26" i="4"/>
  <c r="BU26" i="4"/>
  <c r="BU25" i="4"/>
  <c r="BV25" i="4" s="1"/>
  <c r="BU24" i="4"/>
  <c r="BV24" i="4" s="1"/>
  <c r="BU23" i="4"/>
  <c r="BV23" i="4" s="1"/>
  <c r="BU22" i="4"/>
  <c r="BV22" i="4" s="1"/>
  <c r="BU21" i="4"/>
  <c r="BV21" i="4" s="1"/>
  <c r="BU20" i="4"/>
  <c r="BV20" i="4" s="1"/>
  <c r="BU19" i="4"/>
  <c r="BV19" i="4" s="1"/>
  <c r="BU18" i="4"/>
  <c r="BV18" i="4" s="1"/>
  <c r="BU17" i="4"/>
  <c r="BV17" i="4" s="1"/>
  <c r="BU16" i="4"/>
  <c r="BV16" i="4" s="1"/>
  <c r="BU15" i="4"/>
  <c r="BV15" i="4" s="1"/>
  <c r="BU14" i="4"/>
  <c r="BV14" i="4" s="1"/>
  <c r="BV13" i="4"/>
  <c r="BU13" i="4"/>
  <c r="BU12" i="4"/>
  <c r="BV12" i="4" s="1"/>
  <c r="BT126" i="4"/>
  <c r="BT124" i="4"/>
  <c r="BU120" i="4"/>
  <c r="BT120" i="4"/>
  <c r="CB114" i="4"/>
  <c r="CA114" i="4"/>
  <c r="BZ114" i="4"/>
  <c r="BY114" i="4"/>
  <c r="BX114" i="4"/>
  <c r="BW114" i="4"/>
  <c r="BT114" i="4"/>
  <c r="CC112" i="4"/>
  <c r="CC111" i="4"/>
  <c r="CC110" i="4"/>
  <c r="CC109" i="4"/>
  <c r="CC108" i="4"/>
  <c r="CC107" i="4"/>
  <c r="CC106" i="4"/>
  <c r="CC105" i="4"/>
  <c r="CB100" i="4"/>
  <c r="CA100" i="4"/>
  <c r="CA102" i="4" s="1"/>
  <c r="BZ100" i="4"/>
  <c r="BY100" i="4"/>
  <c r="BX100" i="4"/>
  <c r="BW100" i="4"/>
  <c r="BT100" i="4"/>
  <c r="CC98" i="4"/>
  <c r="CC97" i="4"/>
  <c r="CC96" i="4"/>
  <c r="CB93" i="4"/>
  <c r="CA93" i="4"/>
  <c r="BZ93" i="4"/>
  <c r="BY93" i="4"/>
  <c r="BX93" i="4"/>
  <c r="BW93" i="4"/>
  <c r="BT93" i="4"/>
  <c r="CC91" i="4"/>
  <c r="CC90" i="4"/>
  <c r="CC89" i="4"/>
  <c r="CC88" i="4"/>
  <c r="CC87" i="4"/>
  <c r="CC86" i="4"/>
  <c r="CB79" i="4"/>
  <c r="CA79" i="4"/>
  <c r="BZ79" i="4"/>
  <c r="BY79" i="4"/>
  <c r="BX79" i="4"/>
  <c r="BW79" i="4"/>
  <c r="BT79" i="4"/>
  <c r="CC77" i="4"/>
  <c r="CC76" i="4"/>
  <c r="CC75" i="4"/>
  <c r="CC74" i="4"/>
  <c r="CC73" i="4"/>
  <c r="CC72" i="4"/>
  <c r="CC71" i="4"/>
  <c r="CC70" i="4"/>
  <c r="CC69" i="4"/>
  <c r="CC68" i="4"/>
  <c r="CC67" i="4"/>
  <c r="CC66" i="4"/>
  <c r="CC65" i="4"/>
  <c r="CC64" i="4"/>
  <c r="CC63" i="4"/>
  <c r="CC62" i="4"/>
  <c r="CB59" i="4"/>
  <c r="CA59" i="4"/>
  <c r="BZ59" i="4"/>
  <c r="BY59" i="4"/>
  <c r="BX59" i="4"/>
  <c r="BW59" i="4"/>
  <c r="BT59" i="4"/>
  <c r="CC57" i="4"/>
  <c r="CC56" i="4"/>
  <c r="CC55" i="4"/>
  <c r="CC54" i="4"/>
  <c r="CC53" i="4"/>
  <c r="CC52" i="4"/>
  <c r="CC50" i="4"/>
  <c r="CC49" i="4"/>
  <c r="CC48" i="4"/>
  <c r="CB45" i="4"/>
  <c r="CA45" i="4"/>
  <c r="BZ45" i="4"/>
  <c r="BY45" i="4"/>
  <c r="BX45" i="4"/>
  <c r="BX81" i="4" s="1"/>
  <c r="BW45" i="4"/>
  <c r="CC43" i="4"/>
  <c r="CC42" i="4"/>
  <c r="CC41" i="4"/>
  <c r="CC40" i="4"/>
  <c r="CC39" i="4"/>
  <c r="CC38" i="4"/>
  <c r="CC37" i="4"/>
  <c r="CC36" i="4"/>
  <c r="CC35" i="4"/>
  <c r="CC34" i="4"/>
  <c r="CC33" i="4"/>
  <c r="CC32" i="4"/>
  <c r="CC31" i="4"/>
  <c r="CC30" i="4"/>
  <c r="CC29" i="4"/>
  <c r="CC28" i="4"/>
  <c r="CC27" i="4"/>
  <c r="CC26" i="4"/>
  <c r="CC25" i="4"/>
  <c r="CC24" i="4"/>
  <c r="CC23" i="4"/>
  <c r="BT45" i="4"/>
  <c r="CC22" i="4"/>
  <c r="CC21" i="4"/>
  <c r="CC20" i="4"/>
  <c r="CC19" i="4"/>
  <c r="CC18" i="4"/>
  <c r="CC17" i="4"/>
  <c r="CC16" i="4"/>
  <c r="CC15" i="4"/>
  <c r="CC14" i="4"/>
  <c r="CC13" i="4"/>
  <c r="CC12" i="4"/>
  <c r="CC11" i="4"/>
  <c r="BU11" i="4"/>
  <c r="Y41" i="3"/>
  <c r="BJ126" i="4"/>
  <c r="AZ126" i="4"/>
  <c r="AP126" i="4"/>
  <c r="AF126" i="4"/>
  <c r="V126" i="4"/>
  <c r="L126" i="4"/>
  <c r="B126" i="4"/>
  <c r="BJ124" i="4"/>
  <c r="AZ124" i="4"/>
  <c r="AP124" i="4"/>
  <c r="AF124" i="4"/>
  <c r="V124" i="4"/>
  <c r="L124" i="4"/>
  <c r="B124" i="4"/>
  <c r="BJ120" i="4"/>
  <c r="BK120" i="4" s="1"/>
  <c r="AZ120" i="4"/>
  <c r="BA120" i="4" s="1"/>
  <c r="AP120" i="4"/>
  <c r="AQ120" i="4" s="1"/>
  <c r="AF120" i="4"/>
  <c r="AG120" i="4" s="1"/>
  <c r="V120" i="4"/>
  <c r="W120" i="4" s="1"/>
  <c r="L120" i="4"/>
  <c r="M120" i="4" s="1"/>
  <c r="B120" i="4"/>
  <c r="C120" i="4" s="1"/>
  <c r="BR114" i="4"/>
  <c r="BQ114" i="4"/>
  <c r="BP114" i="4"/>
  <c r="BO114" i="4"/>
  <c r="BN114" i="4"/>
  <c r="BM114" i="4"/>
  <c r="BJ114" i="4"/>
  <c r="BH114" i="4"/>
  <c r="BG114" i="4"/>
  <c r="BE114" i="4"/>
  <c r="BD114" i="4"/>
  <c r="BC114" i="4"/>
  <c r="AZ114" i="4"/>
  <c r="AX114" i="4"/>
  <c r="AW114" i="4"/>
  <c r="AU114" i="4"/>
  <c r="AT114" i="4"/>
  <c r="AS114" i="4"/>
  <c r="AP114" i="4"/>
  <c r="AN114" i="4"/>
  <c r="AM114" i="4"/>
  <c r="AK114" i="4"/>
  <c r="AJ114" i="4"/>
  <c r="AI114" i="4"/>
  <c r="AF114" i="4"/>
  <c r="AD114" i="4"/>
  <c r="AC114" i="4"/>
  <c r="AA114" i="4"/>
  <c r="Z114" i="4"/>
  <c r="Y114" i="4"/>
  <c r="V114" i="4"/>
  <c r="T114" i="4"/>
  <c r="S114" i="4"/>
  <c r="R114" i="4"/>
  <c r="Q114" i="4"/>
  <c r="P114" i="4"/>
  <c r="O114" i="4"/>
  <c r="L114" i="4"/>
  <c r="J114" i="4"/>
  <c r="I114" i="4"/>
  <c r="H114" i="4"/>
  <c r="G114" i="4"/>
  <c r="F114" i="4"/>
  <c r="E114" i="4"/>
  <c r="B114" i="4"/>
  <c r="BS112" i="4"/>
  <c r="BK112" i="4"/>
  <c r="BL112" i="4" s="1"/>
  <c r="BI112" i="4"/>
  <c r="BA112" i="4"/>
  <c r="BB112" i="4" s="1"/>
  <c r="AY112" i="4"/>
  <c r="AQ112" i="4"/>
  <c r="AR112" i="4" s="1"/>
  <c r="AO112" i="4"/>
  <c r="AG112" i="4"/>
  <c r="AH112" i="4" s="1"/>
  <c r="AE112" i="4"/>
  <c r="W112" i="4"/>
  <c r="X112" i="4" s="1"/>
  <c r="U112" i="4"/>
  <c r="M112" i="4"/>
  <c r="N112" i="4" s="1"/>
  <c r="K112" i="4"/>
  <c r="C112" i="4"/>
  <c r="D112" i="4" s="1"/>
  <c r="BS111" i="4"/>
  <c r="BK111" i="4"/>
  <c r="BL111" i="4" s="1"/>
  <c r="BI111" i="4"/>
  <c r="BB111" i="4"/>
  <c r="BA111" i="4"/>
  <c r="AY111" i="4"/>
  <c r="AQ111" i="4"/>
  <c r="AR111" i="4" s="1"/>
  <c r="AO111" i="4"/>
  <c r="AG111" i="4"/>
  <c r="AH111" i="4" s="1"/>
  <c r="AE111" i="4"/>
  <c r="W111" i="4"/>
  <c r="X111" i="4" s="1"/>
  <c r="U111" i="4"/>
  <c r="M111" i="4"/>
  <c r="N111" i="4" s="1"/>
  <c r="K111" i="4"/>
  <c r="C111" i="4"/>
  <c r="D111" i="4" s="1"/>
  <c r="BS110" i="4"/>
  <c r="BK110" i="4"/>
  <c r="BL110" i="4" s="1"/>
  <c r="BI110" i="4"/>
  <c r="BA110" i="4"/>
  <c r="BB110" i="4" s="1"/>
  <c r="AY110" i="4"/>
  <c r="AQ110" i="4"/>
  <c r="AR110" i="4" s="1"/>
  <c r="AO110" i="4"/>
  <c r="AG110" i="4"/>
  <c r="AH110" i="4" s="1"/>
  <c r="AE110" i="4"/>
  <c r="W110" i="4"/>
  <c r="X110" i="4" s="1"/>
  <c r="U110" i="4"/>
  <c r="M110" i="4"/>
  <c r="N110" i="4" s="1"/>
  <c r="K110" i="4"/>
  <c r="C110" i="4"/>
  <c r="D110" i="4" s="1"/>
  <c r="BS109" i="4"/>
  <c r="BK109" i="4"/>
  <c r="BL109" i="4" s="1"/>
  <c r="BI109" i="4"/>
  <c r="BA109" i="4"/>
  <c r="BB109" i="4" s="1"/>
  <c r="AY109" i="4"/>
  <c r="AQ109" i="4"/>
  <c r="AR109" i="4" s="1"/>
  <c r="AO109" i="4"/>
  <c r="AG109" i="4"/>
  <c r="AH109" i="4" s="1"/>
  <c r="AE109" i="4"/>
  <c r="W109" i="4"/>
  <c r="X109" i="4" s="1"/>
  <c r="U109" i="4"/>
  <c r="M109" i="4"/>
  <c r="N109" i="4" s="1"/>
  <c r="K109" i="4"/>
  <c r="C109" i="4"/>
  <c r="D109" i="4" s="1"/>
  <c r="BS108" i="4"/>
  <c r="BK108" i="4"/>
  <c r="BL108" i="4" s="1"/>
  <c r="BI108" i="4"/>
  <c r="BA108" i="4"/>
  <c r="BB108" i="4" s="1"/>
  <c r="AY108" i="4"/>
  <c r="AQ108" i="4"/>
  <c r="AR108" i="4" s="1"/>
  <c r="AO108" i="4"/>
  <c r="AG108" i="4"/>
  <c r="AH108" i="4" s="1"/>
  <c r="AE108" i="4"/>
  <c r="W108" i="4"/>
  <c r="X108" i="4" s="1"/>
  <c r="U108" i="4"/>
  <c r="M108" i="4"/>
  <c r="N108" i="4" s="1"/>
  <c r="K108" i="4"/>
  <c r="C108" i="4"/>
  <c r="D108" i="4" s="1"/>
  <c r="BS107" i="4"/>
  <c r="BK107" i="4"/>
  <c r="BL107" i="4" s="1"/>
  <c r="BI107" i="4"/>
  <c r="BB107" i="4"/>
  <c r="BA107" i="4"/>
  <c r="AY107" i="4"/>
  <c r="AQ107" i="4"/>
  <c r="AR107" i="4" s="1"/>
  <c r="AO107" i="4"/>
  <c r="AG107" i="4"/>
  <c r="AH107" i="4" s="1"/>
  <c r="AE107" i="4"/>
  <c r="W107" i="4"/>
  <c r="X107" i="4" s="1"/>
  <c r="U107" i="4"/>
  <c r="M107" i="4"/>
  <c r="N107" i="4" s="1"/>
  <c r="K107" i="4"/>
  <c r="C107" i="4"/>
  <c r="D107" i="4" s="1"/>
  <c r="BS106" i="4"/>
  <c r="BK106" i="4"/>
  <c r="BL106" i="4" s="1"/>
  <c r="BI106" i="4"/>
  <c r="BF106" i="4"/>
  <c r="BA106" i="4" s="1"/>
  <c r="BB106" i="4" s="1"/>
  <c r="AY106" i="4"/>
  <c r="AV106" i="4"/>
  <c r="AQ106" i="4" s="1"/>
  <c r="AR106" i="4" s="1"/>
  <c r="AO106" i="4"/>
  <c r="AL106" i="4"/>
  <c r="AG106" i="4" s="1"/>
  <c r="AH106" i="4" s="1"/>
  <c r="AE106" i="4"/>
  <c r="AB106" i="4"/>
  <c r="W106" i="4" s="1"/>
  <c r="X106" i="4" s="1"/>
  <c r="U106" i="4"/>
  <c r="M106" i="4"/>
  <c r="K106" i="4"/>
  <c r="C106" i="4"/>
  <c r="D106" i="4" s="1"/>
  <c r="BS105" i="4"/>
  <c r="BK105" i="4"/>
  <c r="BI105" i="4"/>
  <c r="BF105" i="4"/>
  <c r="BF114" i="4" s="1"/>
  <c r="AY105" i="4"/>
  <c r="AV105" i="4"/>
  <c r="AO105" i="4"/>
  <c r="AL105" i="4"/>
  <c r="AE105" i="4"/>
  <c r="AB105" i="4"/>
  <c r="W105" i="4"/>
  <c r="U105" i="4"/>
  <c r="M105" i="4"/>
  <c r="N105" i="4" s="1"/>
  <c r="K105" i="4"/>
  <c r="C105" i="4"/>
  <c r="G102" i="4"/>
  <c r="BR100" i="4"/>
  <c r="BQ100" i="4"/>
  <c r="BP100" i="4"/>
  <c r="BO100" i="4"/>
  <c r="BN100" i="4"/>
  <c r="BM100" i="4"/>
  <c r="BJ100" i="4"/>
  <c r="BH100" i="4"/>
  <c r="BG100" i="4"/>
  <c r="BF100" i="4"/>
  <c r="BE100" i="4"/>
  <c r="BD100" i="4"/>
  <c r="BC100" i="4"/>
  <c r="AZ100" i="4"/>
  <c r="AX100" i="4"/>
  <c r="AW100" i="4"/>
  <c r="AW102" i="4" s="1"/>
  <c r="AV100" i="4"/>
  <c r="AU100" i="4"/>
  <c r="AT100" i="4"/>
  <c r="AS100" i="4"/>
  <c r="AP100" i="4"/>
  <c r="AN100" i="4"/>
  <c r="AM100" i="4"/>
  <c r="AL100" i="4"/>
  <c r="AK100" i="4"/>
  <c r="AJ100" i="4"/>
  <c r="AI100" i="4"/>
  <c r="AF100" i="4"/>
  <c r="AD100" i="4"/>
  <c r="AC100" i="4"/>
  <c r="AB100" i="4"/>
  <c r="AA100" i="4"/>
  <c r="Z100" i="4"/>
  <c r="Y100" i="4"/>
  <c r="V100" i="4"/>
  <c r="T100" i="4"/>
  <c r="S100" i="4"/>
  <c r="R100" i="4"/>
  <c r="Q100" i="4"/>
  <c r="P100" i="4"/>
  <c r="O100" i="4"/>
  <c r="L100" i="4"/>
  <c r="J100" i="4"/>
  <c r="I100" i="4"/>
  <c r="H100" i="4"/>
  <c r="G100" i="4"/>
  <c r="F100" i="4"/>
  <c r="E100" i="4"/>
  <c r="B100" i="4"/>
  <c r="BS98" i="4"/>
  <c r="BK98" i="4"/>
  <c r="BL98" i="4" s="1"/>
  <c r="BI98" i="4"/>
  <c r="BA98" i="4"/>
  <c r="BB98" i="4" s="1"/>
  <c r="AY98" i="4"/>
  <c r="AQ98" i="4"/>
  <c r="AR98" i="4" s="1"/>
  <c r="AO98" i="4"/>
  <c r="AG98" i="4"/>
  <c r="AH98" i="4" s="1"/>
  <c r="AE98" i="4"/>
  <c r="W98" i="4"/>
  <c r="X98" i="4" s="1"/>
  <c r="U98" i="4"/>
  <c r="M98" i="4"/>
  <c r="N98" i="4" s="1"/>
  <c r="K98" i="4"/>
  <c r="C98" i="4"/>
  <c r="D98" i="4" s="1"/>
  <c r="BS97" i="4"/>
  <c r="BK97" i="4"/>
  <c r="BL97" i="4" s="1"/>
  <c r="BI97" i="4"/>
  <c r="BA97" i="4"/>
  <c r="BB97" i="4" s="1"/>
  <c r="AY97" i="4"/>
  <c r="AQ97" i="4"/>
  <c r="AR97" i="4" s="1"/>
  <c r="AO97" i="4"/>
  <c r="AG97" i="4"/>
  <c r="AH97" i="4" s="1"/>
  <c r="AE97" i="4"/>
  <c r="W97" i="4"/>
  <c r="X97" i="4" s="1"/>
  <c r="U97" i="4"/>
  <c r="M97" i="4"/>
  <c r="N97" i="4" s="1"/>
  <c r="K97" i="4"/>
  <c r="C97" i="4"/>
  <c r="D97" i="4" s="1"/>
  <c r="BS96" i="4"/>
  <c r="BK96" i="4"/>
  <c r="BI96" i="4"/>
  <c r="BA96" i="4"/>
  <c r="AY96" i="4"/>
  <c r="AQ96" i="4"/>
  <c r="AO96" i="4"/>
  <c r="AG96" i="4"/>
  <c r="AE96" i="4"/>
  <c r="W96" i="4"/>
  <c r="U96" i="4"/>
  <c r="M96" i="4"/>
  <c r="K96" i="4"/>
  <c r="C96" i="4"/>
  <c r="BR93" i="4"/>
  <c r="BQ93" i="4"/>
  <c r="BP93" i="4"/>
  <c r="BO93" i="4"/>
  <c r="BN93" i="4"/>
  <c r="BM93" i="4"/>
  <c r="BJ93" i="4"/>
  <c r="BG93" i="4"/>
  <c r="BE93" i="4"/>
  <c r="BD93" i="4"/>
  <c r="BC93" i="4"/>
  <c r="AZ93" i="4"/>
  <c r="AX93" i="4"/>
  <c r="AW93" i="4"/>
  <c r="AV93" i="4"/>
  <c r="AV102" i="4" s="1"/>
  <c r="AU93" i="4"/>
  <c r="AT93" i="4"/>
  <c r="AS93" i="4"/>
  <c r="AP93" i="4"/>
  <c r="AM93" i="4"/>
  <c r="AL93" i="4"/>
  <c r="AK93" i="4"/>
  <c r="AK102" i="4" s="1"/>
  <c r="AJ93" i="4"/>
  <c r="AJ102" i="4" s="1"/>
  <c r="AI93" i="4"/>
  <c r="AF93" i="4"/>
  <c r="AD93" i="4"/>
  <c r="AD102" i="4" s="1"/>
  <c r="AC93" i="4"/>
  <c r="AB93" i="4"/>
  <c r="AA93" i="4"/>
  <c r="Z93" i="4"/>
  <c r="Y93" i="4"/>
  <c r="V93" i="4"/>
  <c r="T93" i="4"/>
  <c r="S93" i="4"/>
  <c r="R93" i="4"/>
  <c r="Q93" i="4"/>
  <c r="P93" i="4"/>
  <c r="O93" i="4"/>
  <c r="L93" i="4"/>
  <c r="L102" i="4" s="1"/>
  <c r="J93" i="4"/>
  <c r="J102" i="4" s="1"/>
  <c r="I93" i="4"/>
  <c r="H93" i="4"/>
  <c r="G93" i="4"/>
  <c r="F93" i="4"/>
  <c r="E93" i="4"/>
  <c r="B93" i="4"/>
  <c r="BS91" i="4"/>
  <c r="BK91" i="4"/>
  <c r="BL91" i="4" s="1"/>
  <c r="BI91" i="4"/>
  <c r="BA91" i="4"/>
  <c r="BB91" i="4" s="1"/>
  <c r="AY91" i="4"/>
  <c r="AQ91" i="4"/>
  <c r="AR91" i="4" s="1"/>
  <c r="AO91" i="4"/>
  <c r="AH91" i="4"/>
  <c r="AG91" i="4"/>
  <c r="AE91" i="4"/>
  <c r="W91" i="4"/>
  <c r="X91" i="4" s="1"/>
  <c r="U91" i="4"/>
  <c r="M91" i="4"/>
  <c r="N91" i="4" s="1"/>
  <c r="K91" i="4"/>
  <c r="C91" i="4"/>
  <c r="D91" i="4" s="1"/>
  <c r="BS90" i="4"/>
  <c r="BK90" i="4"/>
  <c r="BL90" i="4" s="1"/>
  <c r="BI90" i="4"/>
  <c r="BA90" i="4"/>
  <c r="BB90" i="4" s="1"/>
  <c r="AY90" i="4"/>
  <c r="AQ90" i="4"/>
  <c r="AR90" i="4" s="1"/>
  <c r="AO90" i="4"/>
  <c r="AG90" i="4"/>
  <c r="AH90" i="4" s="1"/>
  <c r="AE90" i="4"/>
  <c r="X90" i="4"/>
  <c r="W90" i="4"/>
  <c r="U90" i="4"/>
  <c r="M90" i="4"/>
  <c r="N90" i="4" s="1"/>
  <c r="K90" i="4"/>
  <c r="C90" i="4"/>
  <c r="D90" i="4" s="1"/>
  <c r="BS89" i="4"/>
  <c r="BK89" i="4"/>
  <c r="BL89" i="4" s="1"/>
  <c r="BI89" i="4"/>
  <c r="BA89" i="4"/>
  <c r="BB89" i="4" s="1"/>
  <c r="AY89" i="4"/>
  <c r="AQ89" i="4"/>
  <c r="AR89" i="4" s="1"/>
  <c r="AO89" i="4"/>
  <c r="AG89" i="4"/>
  <c r="AH89" i="4" s="1"/>
  <c r="AE89" i="4"/>
  <c r="W89" i="4"/>
  <c r="X89" i="4" s="1"/>
  <c r="U89" i="4"/>
  <c r="M89" i="4"/>
  <c r="N89" i="4" s="1"/>
  <c r="K89" i="4"/>
  <c r="C89" i="4"/>
  <c r="D89" i="4" s="1"/>
  <c r="BS88" i="4"/>
  <c r="BK88" i="4"/>
  <c r="BL88" i="4" s="1"/>
  <c r="BI88" i="4"/>
  <c r="BA88" i="4"/>
  <c r="BB88" i="4" s="1"/>
  <c r="AY88" i="4"/>
  <c r="AQ88" i="4"/>
  <c r="AR88" i="4" s="1"/>
  <c r="AO88" i="4"/>
  <c r="AG88" i="4"/>
  <c r="AE88" i="4"/>
  <c r="W88" i="4"/>
  <c r="X88" i="4" s="1"/>
  <c r="U88" i="4"/>
  <c r="N88" i="4"/>
  <c r="M88" i="4"/>
  <c r="K88" i="4"/>
  <c r="D88" i="4"/>
  <c r="C88" i="4"/>
  <c r="BS87" i="4"/>
  <c r="BK87" i="4"/>
  <c r="BI87" i="4"/>
  <c r="BA87" i="4"/>
  <c r="BB87" i="4" s="1"/>
  <c r="AY87" i="4"/>
  <c r="AQ87" i="4"/>
  <c r="AR87" i="4" s="1"/>
  <c r="AO87" i="4"/>
  <c r="AG87" i="4"/>
  <c r="AH87" i="4" s="1"/>
  <c r="AE87" i="4"/>
  <c r="W87" i="4"/>
  <c r="X87" i="4" s="1"/>
  <c r="U87" i="4"/>
  <c r="M87" i="4"/>
  <c r="N87" i="4" s="1"/>
  <c r="K87" i="4"/>
  <c r="C87" i="4"/>
  <c r="D87" i="4" s="1"/>
  <c r="BS86" i="4"/>
  <c r="BL86" i="4"/>
  <c r="BK86" i="4"/>
  <c r="BH86" i="4"/>
  <c r="BI86" i="4" s="1"/>
  <c r="BF86" i="4"/>
  <c r="AY86" i="4"/>
  <c r="AY93" i="4" s="1"/>
  <c r="AQ86" i="4"/>
  <c r="AN86" i="4"/>
  <c r="AN93" i="4" s="1"/>
  <c r="AG86" i="4"/>
  <c r="AH86" i="4" s="1"/>
  <c r="AE86" i="4"/>
  <c r="W86" i="4"/>
  <c r="X86" i="4" s="1"/>
  <c r="U86" i="4"/>
  <c r="N86" i="4"/>
  <c r="M86" i="4"/>
  <c r="K86" i="4"/>
  <c r="C86" i="4"/>
  <c r="D86" i="4" s="1"/>
  <c r="BR79" i="4"/>
  <c r="BQ79" i="4"/>
  <c r="BP79" i="4"/>
  <c r="BO79" i="4"/>
  <c r="BN79" i="4"/>
  <c r="BM79" i="4"/>
  <c r="BJ79" i="4"/>
  <c r="BH79" i="4"/>
  <c r="BG79" i="4"/>
  <c r="BF79" i="4"/>
  <c r="BE79" i="4"/>
  <c r="BD79" i="4"/>
  <c r="AZ79" i="4"/>
  <c r="AW79" i="4"/>
  <c r="AV79" i="4"/>
  <c r="AU79" i="4"/>
  <c r="AT79" i="4"/>
  <c r="AP79" i="4"/>
  <c r="AN79" i="4"/>
  <c r="AM79" i="4"/>
  <c r="AL79" i="4"/>
  <c r="AK79" i="4"/>
  <c r="AJ79" i="4"/>
  <c r="AF79" i="4"/>
  <c r="AD79" i="4"/>
  <c r="AC79" i="4"/>
  <c r="AB79" i="4"/>
  <c r="AA79" i="4"/>
  <c r="Z79" i="4"/>
  <c r="Y79" i="4"/>
  <c r="V79" i="4"/>
  <c r="T79" i="4"/>
  <c r="S79" i="4"/>
  <c r="R79" i="4"/>
  <c r="Q79" i="4"/>
  <c r="P79" i="4"/>
  <c r="O79" i="4"/>
  <c r="L79" i="4"/>
  <c r="J79" i="4"/>
  <c r="I79" i="4"/>
  <c r="H79" i="4"/>
  <c r="G79" i="4"/>
  <c r="F79" i="4"/>
  <c r="E79" i="4"/>
  <c r="B79" i="4"/>
  <c r="BS77" i="4"/>
  <c r="BK77" i="4"/>
  <c r="BL77" i="4" s="1"/>
  <c r="BI77" i="4"/>
  <c r="BA77" i="4"/>
  <c r="BB77" i="4" s="1"/>
  <c r="AY77" i="4"/>
  <c r="AQ77" i="4"/>
  <c r="AR77" i="4" s="1"/>
  <c r="AO77" i="4"/>
  <c r="AG77" i="4"/>
  <c r="AH77" i="4" s="1"/>
  <c r="AE77" i="4"/>
  <c r="W77" i="4"/>
  <c r="X77" i="4" s="1"/>
  <c r="U77" i="4"/>
  <c r="M77" i="4"/>
  <c r="N77" i="4" s="1"/>
  <c r="K77" i="4"/>
  <c r="C77" i="4"/>
  <c r="D77" i="4" s="1"/>
  <c r="BS76" i="4"/>
  <c r="BK76" i="4"/>
  <c r="BL76" i="4" s="1"/>
  <c r="BI76" i="4"/>
  <c r="BA76" i="4"/>
  <c r="BB76" i="4" s="1"/>
  <c r="AY76" i="4"/>
  <c r="AQ76" i="4"/>
  <c r="AR76" i="4" s="1"/>
  <c r="AO76" i="4"/>
  <c r="AG76" i="4"/>
  <c r="AH76" i="4" s="1"/>
  <c r="AE76" i="4"/>
  <c r="W76" i="4"/>
  <c r="X76" i="4" s="1"/>
  <c r="U76" i="4"/>
  <c r="M76" i="4"/>
  <c r="N76" i="4" s="1"/>
  <c r="K76" i="4"/>
  <c r="C76" i="4"/>
  <c r="D76" i="4" s="1"/>
  <c r="BS75" i="4"/>
  <c r="BK75" i="4"/>
  <c r="BL75" i="4" s="1"/>
  <c r="BI75" i="4"/>
  <c r="BA75" i="4"/>
  <c r="BB75" i="4" s="1"/>
  <c r="AY75" i="4"/>
  <c r="AQ75" i="4"/>
  <c r="AR75" i="4" s="1"/>
  <c r="AO75" i="4"/>
  <c r="AG75" i="4"/>
  <c r="AH75" i="4" s="1"/>
  <c r="AE75" i="4"/>
  <c r="W75" i="4"/>
  <c r="X75" i="4" s="1"/>
  <c r="U75" i="4"/>
  <c r="M75" i="4"/>
  <c r="N75" i="4" s="1"/>
  <c r="K75" i="4"/>
  <c r="C75" i="4"/>
  <c r="D75" i="4" s="1"/>
  <c r="BS74" i="4"/>
  <c r="BK74" i="4"/>
  <c r="BL74" i="4" s="1"/>
  <c r="BI74" i="4"/>
  <c r="BA74" i="4"/>
  <c r="BB74" i="4" s="1"/>
  <c r="AY74" i="4"/>
  <c r="AQ74" i="4"/>
  <c r="AR74" i="4" s="1"/>
  <c r="AO74" i="4"/>
  <c r="AG74" i="4"/>
  <c r="AH74" i="4" s="1"/>
  <c r="AE74" i="4"/>
  <c r="W74" i="4"/>
  <c r="X74" i="4" s="1"/>
  <c r="U74" i="4"/>
  <c r="M74" i="4"/>
  <c r="N74" i="4" s="1"/>
  <c r="K74" i="4"/>
  <c r="C74" i="4"/>
  <c r="D74" i="4" s="1"/>
  <c r="BS73" i="4"/>
  <c r="BK73" i="4"/>
  <c r="BL73" i="4" s="1"/>
  <c r="BI73" i="4"/>
  <c r="BA73" i="4"/>
  <c r="BB73" i="4" s="1"/>
  <c r="AY73" i="4"/>
  <c r="AQ73" i="4"/>
  <c r="AR73" i="4" s="1"/>
  <c r="AO73" i="4"/>
  <c r="AG73" i="4"/>
  <c r="AH73" i="4" s="1"/>
  <c r="AE73" i="4"/>
  <c r="W73" i="4"/>
  <c r="X73" i="4" s="1"/>
  <c r="U73" i="4"/>
  <c r="M73" i="4"/>
  <c r="N73" i="4" s="1"/>
  <c r="K73" i="4"/>
  <c r="C73" i="4"/>
  <c r="D73" i="4" s="1"/>
  <c r="BS72" i="4"/>
  <c r="BK72" i="4"/>
  <c r="BL72" i="4" s="1"/>
  <c r="BI72" i="4"/>
  <c r="BA72" i="4"/>
  <c r="BB72" i="4" s="1"/>
  <c r="AY72" i="4"/>
  <c r="AQ72" i="4"/>
  <c r="AR72" i="4" s="1"/>
  <c r="AO72" i="4"/>
  <c r="AG72" i="4"/>
  <c r="AH72" i="4" s="1"/>
  <c r="AE72" i="4"/>
  <c r="W72" i="4"/>
  <c r="X72" i="4" s="1"/>
  <c r="U72" i="4"/>
  <c r="M72" i="4"/>
  <c r="N72" i="4" s="1"/>
  <c r="K72" i="4"/>
  <c r="C72" i="4"/>
  <c r="D72" i="4" s="1"/>
  <c r="BS71" i="4"/>
  <c r="BK71" i="4"/>
  <c r="BL71" i="4" s="1"/>
  <c r="BI71" i="4"/>
  <c r="BA71" i="4"/>
  <c r="BB71" i="4" s="1"/>
  <c r="AY71" i="4"/>
  <c r="AQ71" i="4"/>
  <c r="AR71" i="4" s="1"/>
  <c r="AO71" i="4"/>
  <c r="AH71" i="4"/>
  <c r="AG71" i="4"/>
  <c r="AE71" i="4"/>
  <c r="W71" i="4"/>
  <c r="X71" i="4" s="1"/>
  <c r="U71" i="4"/>
  <c r="M71" i="4"/>
  <c r="N71" i="4" s="1"/>
  <c r="K71" i="4"/>
  <c r="C71" i="4"/>
  <c r="D71" i="4" s="1"/>
  <c r="BS70" i="4"/>
  <c r="BK70" i="4"/>
  <c r="BL70" i="4" s="1"/>
  <c r="BI70" i="4"/>
  <c r="BA70" i="4"/>
  <c r="BB70" i="4" s="1"/>
  <c r="AY70" i="4"/>
  <c r="AQ70" i="4"/>
  <c r="AR70" i="4" s="1"/>
  <c r="AO70" i="4"/>
  <c r="AG70" i="4"/>
  <c r="AH70" i="4" s="1"/>
  <c r="AE70" i="4"/>
  <c r="W70" i="4"/>
  <c r="X70" i="4" s="1"/>
  <c r="U70" i="4"/>
  <c r="M70" i="4"/>
  <c r="N70" i="4" s="1"/>
  <c r="K70" i="4"/>
  <c r="C70" i="4"/>
  <c r="D70" i="4" s="1"/>
  <c r="BS69" i="4"/>
  <c r="BK69" i="4"/>
  <c r="BL69" i="4" s="1"/>
  <c r="BI69" i="4"/>
  <c r="BA69" i="4"/>
  <c r="BB69" i="4" s="1"/>
  <c r="AY69" i="4"/>
  <c r="AQ69" i="4"/>
  <c r="AR69" i="4" s="1"/>
  <c r="AO69" i="4"/>
  <c r="AG69" i="4"/>
  <c r="AH69" i="4" s="1"/>
  <c r="AE69" i="4"/>
  <c r="W69" i="4"/>
  <c r="X69" i="4" s="1"/>
  <c r="U69" i="4"/>
  <c r="M69" i="4"/>
  <c r="N69" i="4" s="1"/>
  <c r="K69" i="4"/>
  <c r="C69" i="4"/>
  <c r="D69" i="4" s="1"/>
  <c r="BS68" i="4"/>
  <c r="BK68" i="4"/>
  <c r="BL68" i="4" s="1"/>
  <c r="BI68" i="4"/>
  <c r="BA68" i="4"/>
  <c r="BB68" i="4" s="1"/>
  <c r="AY68" i="4"/>
  <c r="AQ68" i="4"/>
  <c r="AR68" i="4" s="1"/>
  <c r="AO68" i="4"/>
  <c r="AG68" i="4"/>
  <c r="AH68" i="4" s="1"/>
  <c r="AE68" i="4"/>
  <c r="W68" i="4"/>
  <c r="X68" i="4" s="1"/>
  <c r="U68" i="4"/>
  <c r="M68" i="4"/>
  <c r="N68" i="4" s="1"/>
  <c r="K68" i="4"/>
  <c r="C68" i="4"/>
  <c r="D68" i="4" s="1"/>
  <c r="BS67" i="4"/>
  <c r="BK67" i="4"/>
  <c r="BL67" i="4" s="1"/>
  <c r="BI67" i="4"/>
  <c r="BA67" i="4"/>
  <c r="BB67" i="4" s="1"/>
  <c r="AY67" i="4"/>
  <c r="AQ67" i="4"/>
  <c r="AR67" i="4" s="1"/>
  <c r="AI67" i="4"/>
  <c r="AO67" i="4" s="1"/>
  <c r="AG67" i="4"/>
  <c r="AH67" i="4" s="1"/>
  <c r="AE67" i="4"/>
  <c r="W67" i="4"/>
  <c r="X67" i="4" s="1"/>
  <c r="U67" i="4"/>
  <c r="M67" i="4"/>
  <c r="N67" i="4" s="1"/>
  <c r="K67" i="4"/>
  <c r="C67" i="4"/>
  <c r="D67" i="4" s="1"/>
  <c r="BS66" i="4"/>
  <c r="BK66" i="4"/>
  <c r="BL66" i="4" s="1"/>
  <c r="BC66" i="4"/>
  <c r="BA66" i="4" s="1"/>
  <c r="AX66" i="4"/>
  <c r="AX79" i="4" s="1"/>
  <c r="AS66" i="4"/>
  <c r="AS79" i="4" s="1"/>
  <c r="AQ66" i="4"/>
  <c r="AR66" i="4" s="1"/>
  <c r="AI66" i="4"/>
  <c r="AG66" i="4" s="1"/>
  <c r="AH66" i="4" s="1"/>
  <c r="AE66" i="4"/>
  <c r="W66" i="4"/>
  <c r="X66" i="4" s="1"/>
  <c r="U66" i="4"/>
  <c r="M66" i="4"/>
  <c r="N66" i="4" s="1"/>
  <c r="K66" i="4"/>
  <c r="C66" i="4"/>
  <c r="D66" i="4" s="1"/>
  <c r="BS65" i="4"/>
  <c r="BK65" i="4"/>
  <c r="BL65" i="4" s="1"/>
  <c r="BI65" i="4"/>
  <c r="BA65" i="4"/>
  <c r="BB65" i="4" s="1"/>
  <c r="AY65" i="4"/>
  <c r="AQ65" i="4"/>
  <c r="AR65" i="4" s="1"/>
  <c r="AO65" i="4"/>
  <c r="AG65" i="4"/>
  <c r="AH65" i="4" s="1"/>
  <c r="AE65" i="4"/>
  <c r="W65" i="4"/>
  <c r="X65" i="4" s="1"/>
  <c r="U65" i="4"/>
  <c r="M65" i="4"/>
  <c r="N65" i="4" s="1"/>
  <c r="K65" i="4"/>
  <c r="C65" i="4"/>
  <c r="D65" i="4" s="1"/>
  <c r="BS64" i="4"/>
  <c r="BK64" i="4"/>
  <c r="BL64" i="4" s="1"/>
  <c r="BI64" i="4"/>
  <c r="BA64" i="4"/>
  <c r="BB64" i="4" s="1"/>
  <c r="AY64" i="4"/>
  <c r="AQ64" i="4"/>
  <c r="AR64" i="4" s="1"/>
  <c r="AO64" i="4"/>
  <c r="AH64" i="4"/>
  <c r="AG64" i="4"/>
  <c r="AE64" i="4"/>
  <c r="W64" i="4"/>
  <c r="X64" i="4" s="1"/>
  <c r="U64" i="4"/>
  <c r="M64" i="4"/>
  <c r="N64" i="4" s="1"/>
  <c r="K64" i="4"/>
  <c r="C64" i="4"/>
  <c r="D64" i="4" s="1"/>
  <c r="BS63" i="4"/>
  <c r="BK63" i="4"/>
  <c r="BL63" i="4" s="1"/>
  <c r="BI63" i="4"/>
  <c r="BA63" i="4"/>
  <c r="BB63" i="4" s="1"/>
  <c r="AY63" i="4"/>
  <c r="AQ63" i="4"/>
  <c r="AR63" i="4" s="1"/>
  <c r="AO63" i="4"/>
  <c r="AG63" i="4"/>
  <c r="AH63" i="4" s="1"/>
  <c r="AE63" i="4"/>
  <c r="W63" i="4"/>
  <c r="X63" i="4" s="1"/>
  <c r="U63" i="4"/>
  <c r="M63" i="4"/>
  <c r="N63" i="4" s="1"/>
  <c r="K63" i="4"/>
  <c r="D63" i="4"/>
  <c r="C63" i="4"/>
  <c r="BS62" i="4"/>
  <c r="BL62" i="4"/>
  <c r="BK62" i="4"/>
  <c r="BI62" i="4"/>
  <c r="BA62" i="4"/>
  <c r="BB62" i="4" s="1"/>
  <c r="AY62" i="4"/>
  <c r="AQ62" i="4"/>
  <c r="AR62" i="4" s="1"/>
  <c r="AI62" i="4"/>
  <c r="AG62" i="4" s="1"/>
  <c r="AH62" i="4" s="1"/>
  <c r="AE62" i="4"/>
  <c r="W62" i="4"/>
  <c r="U62" i="4"/>
  <c r="M62" i="4"/>
  <c r="N62" i="4" s="1"/>
  <c r="K62" i="4"/>
  <c r="C62" i="4"/>
  <c r="BR59" i="4"/>
  <c r="BQ59" i="4"/>
  <c r="BP59" i="4"/>
  <c r="BO59" i="4"/>
  <c r="BN59" i="4"/>
  <c r="BM59" i="4"/>
  <c r="BJ59" i="4"/>
  <c r="BH59" i="4"/>
  <c r="BG59" i="4"/>
  <c r="BF59" i="4"/>
  <c r="BE59" i="4"/>
  <c r="BD59" i="4"/>
  <c r="BC59" i="4"/>
  <c r="AZ59" i="4"/>
  <c r="AW59" i="4"/>
  <c r="AV59" i="4"/>
  <c r="AU59" i="4"/>
  <c r="AT59" i="4"/>
  <c r="AS59" i="4"/>
  <c r="AP59" i="4"/>
  <c r="AN59" i="4"/>
  <c r="AM59" i="4"/>
  <c r="AL59" i="4"/>
  <c r="AK59" i="4"/>
  <c r="AJ59" i="4"/>
  <c r="AI59" i="4"/>
  <c r="AF59" i="4"/>
  <c r="AD59" i="4"/>
  <c r="AC59" i="4"/>
  <c r="AB59" i="4"/>
  <c r="AA59" i="4"/>
  <c r="Z59" i="4"/>
  <c r="Y59" i="4"/>
  <c r="V59" i="4"/>
  <c r="T59" i="4"/>
  <c r="S59" i="4"/>
  <c r="R59" i="4"/>
  <c r="Q59" i="4"/>
  <c r="P59" i="4"/>
  <c r="O59" i="4"/>
  <c r="L59" i="4"/>
  <c r="J59" i="4"/>
  <c r="I59" i="4"/>
  <c r="H59" i="4"/>
  <c r="G59" i="4"/>
  <c r="F59" i="4"/>
  <c r="E59" i="4"/>
  <c r="B59" i="4"/>
  <c r="BS57" i="4"/>
  <c r="BK57" i="4"/>
  <c r="BL57" i="4" s="1"/>
  <c r="BI57" i="4"/>
  <c r="BA57" i="4"/>
  <c r="BB57" i="4" s="1"/>
  <c r="AY57" i="4"/>
  <c r="AQ57" i="4"/>
  <c r="AR57" i="4" s="1"/>
  <c r="AO57" i="4"/>
  <c r="AG57" i="4"/>
  <c r="AH57" i="4" s="1"/>
  <c r="AE57" i="4"/>
  <c r="W57" i="4"/>
  <c r="X57" i="4" s="1"/>
  <c r="U57" i="4"/>
  <c r="M57" i="4"/>
  <c r="N57" i="4" s="1"/>
  <c r="K57" i="4"/>
  <c r="C57" i="4"/>
  <c r="D57" i="4" s="1"/>
  <c r="BS56" i="4"/>
  <c r="BK56" i="4"/>
  <c r="BL56" i="4" s="1"/>
  <c r="BI56" i="4"/>
  <c r="BA56" i="4"/>
  <c r="BB56" i="4" s="1"/>
  <c r="AY56" i="4"/>
  <c r="AQ56" i="4"/>
  <c r="AR56" i="4" s="1"/>
  <c r="AO56" i="4"/>
  <c r="AG56" i="4"/>
  <c r="AH56" i="4" s="1"/>
  <c r="AE56" i="4"/>
  <c r="W56" i="4"/>
  <c r="X56" i="4" s="1"/>
  <c r="U56" i="4"/>
  <c r="M56" i="4"/>
  <c r="N56" i="4" s="1"/>
  <c r="K56" i="4"/>
  <c r="C56" i="4"/>
  <c r="D56" i="4" s="1"/>
  <c r="BS55" i="4"/>
  <c r="BK55" i="4"/>
  <c r="BL55" i="4" s="1"/>
  <c r="BI55" i="4"/>
  <c r="BA55" i="4"/>
  <c r="BB55" i="4" s="1"/>
  <c r="AY55" i="4"/>
  <c r="AQ55" i="4"/>
  <c r="AR55" i="4" s="1"/>
  <c r="AO55" i="4"/>
  <c r="AG55" i="4"/>
  <c r="AH55" i="4" s="1"/>
  <c r="AE55" i="4"/>
  <c r="W55" i="4"/>
  <c r="X55" i="4" s="1"/>
  <c r="U55" i="4"/>
  <c r="M55" i="4"/>
  <c r="N55" i="4" s="1"/>
  <c r="K55" i="4"/>
  <c r="C55" i="4"/>
  <c r="D55" i="4" s="1"/>
  <c r="BS54" i="4"/>
  <c r="BK54" i="4"/>
  <c r="BL54" i="4" s="1"/>
  <c r="BI54" i="4"/>
  <c r="BA54" i="4"/>
  <c r="BB54" i="4" s="1"/>
  <c r="AY54" i="4"/>
  <c r="AQ54" i="4"/>
  <c r="AR54" i="4" s="1"/>
  <c r="AO54" i="4"/>
  <c r="AG54" i="4"/>
  <c r="AH54" i="4" s="1"/>
  <c r="AE54" i="4"/>
  <c r="W54" i="4"/>
  <c r="X54" i="4" s="1"/>
  <c r="U54" i="4"/>
  <c r="M54" i="4"/>
  <c r="N54" i="4" s="1"/>
  <c r="K54" i="4"/>
  <c r="C54" i="4"/>
  <c r="D54" i="4" s="1"/>
  <c r="BS53" i="4"/>
  <c r="BK53" i="4"/>
  <c r="BL53" i="4" s="1"/>
  <c r="BI53" i="4"/>
  <c r="BA53" i="4"/>
  <c r="BB53" i="4" s="1"/>
  <c r="AY53" i="4"/>
  <c r="AQ53" i="4"/>
  <c r="AR53" i="4" s="1"/>
  <c r="AO53" i="4"/>
  <c r="AG53" i="4"/>
  <c r="AH53" i="4" s="1"/>
  <c r="AE53" i="4"/>
  <c r="W53" i="4"/>
  <c r="X53" i="4" s="1"/>
  <c r="U53" i="4"/>
  <c r="M53" i="4"/>
  <c r="N53" i="4" s="1"/>
  <c r="K53" i="4"/>
  <c r="C53" i="4"/>
  <c r="D53" i="4" s="1"/>
  <c r="BS52" i="4"/>
  <c r="BK52" i="4"/>
  <c r="BL52" i="4" s="1"/>
  <c r="BI52" i="4"/>
  <c r="BA52" i="4"/>
  <c r="BB52" i="4" s="1"/>
  <c r="AY52" i="4"/>
  <c r="AQ52" i="4"/>
  <c r="AR52" i="4" s="1"/>
  <c r="AO52" i="4"/>
  <c r="AG52" i="4"/>
  <c r="AH52" i="4" s="1"/>
  <c r="AE52" i="4"/>
  <c r="W52" i="4"/>
  <c r="X52" i="4" s="1"/>
  <c r="U52" i="4"/>
  <c r="N52" i="4"/>
  <c r="M52" i="4"/>
  <c r="K52" i="4"/>
  <c r="C52" i="4"/>
  <c r="D52" i="4" s="1"/>
  <c r="BS50" i="4"/>
  <c r="BK50" i="4"/>
  <c r="BL50" i="4" s="1"/>
  <c r="BI50" i="4"/>
  <c r="BA50" i="4"/>
  <c r="BB50" i="4" s="1"/>
  <c r="AX50" i="4"/>
  <c r="AY50" i="4" s="1"/>
  <c r="AQ50" i="4"/>
  <c r="AR50" i="4" s="1"/>
  <c r="AO50" i="4"/>
  <c r="AG50" i="4"/>
  <c r="AH50" i="4" s="1"/>
  <c r="AE50" i="4"/>
  <c r="W50" i="4"/>
  <c r="X50" i="4" s="1"/>
  <c r="U50" i="4"/>
  <c r="M50" i="4"/>
  <c r="N50" i="4" s="1"/>
  <c r="K50" i="4"/>
  <c r="C50" i="4"/>
  <c r="D50" i="4" s="1"/>
  <c r="BS49" i="4"/>
  <c r="BK49" i="4"/>
  <c r="BL49" i="4" s="1"/>
  <c r="BI49" i="4"/>
  <c r="BA49" i="4"/>
  <c r="AY49" i="4"/>
  <c r="AQ49" i="4"/>
  <c r="AR49" i="4" s="1"/>
  <c r="AO49" i="4"/>
  <c r="AG49" i="4"/>
  <c r="AE49" i="4"/>
  <c r="X49" i="4"/>
  <c r="W49" i="4"/>
  <c r="U49" i="4"/>
  <c r="M49" i="4"/>
  <c r="N49" i="4" s="1"/>
  <c r="K49" i="4"/>
  <c r="C49" i="4"/>
  <c r="D49" i="4" s="1"/>
  <c r="BS48" i="4"/>
  <c r="BK48" i="4"/>
  <c r="BL48" i="4" s="1"/>
  <c r="BI48" i="4"/>
  <c r="BA48" i="4"/>
  <c r="BB48" i="4" s="1"/>
  <c r="AY48" i="4"/>
  <c r="AQ48" i="4"/>
  <c r="AO48" i="4"/>
  <c r="AG48" i="4"/>
  <c r="AH48" i="4" s="1"/>
  <c r="AE48" i="4"/>
  <c r="W48" i="4"/>
  <c r="U48" i="4"/>
  <c r="M48" i="4"/>
  <c r="N48" i="4" s="1"/>
  <c r="K48" i="4"/>
  <c r="C48" i="4"/>
  <c r="BR45" i="4"/>
  <c r="BQ45" i="4"/>
  <c r="BP45" i="4"/>
  <c r="BO45" i="4"/>
  <c r="BN45" i="4"/>
  <c r="BM45" i="4"/>
  <c r="BG45" i="4"/>
  <c r="BE45" i="4"/>
  <c r="BD45" i="4"/>
  <c r="BC45" i="4"/>
  <c r="AW45" i="4"/>
  <c r="AU45" i="4"/>
  <c r="AT45" i="4"/>
  <c r="AS45" i="4"/>
  <c r="AN45" i="4"/>
  <c r="AM45" i="4"/>
  <c r="AK45" i="4"/>
  <c r="AJ45" i="4"/>
  <c r="AF45" i="4"/>
  <c r="AD45" i="4"/>
  <c r="AC45" i="4"/>
  <c r="AA45" i="4"/>
  <c r="Z45" i="4"/>
  <c r="Y45" i="4"/>
  <c r="V45" i="4"/>
  <c r="V81" i="4" s="1"/>
  <c r="T45" i="4"/>
  <c r="S45" i="4"/>
  <c r="R45" i="4"/>
  <c r="Q45" i="4"/>
  <c r="P45" i="4"/>
  <c r="O45" i="4"/>
  <c r="L45" i="4"/>
  <c r="J45" i="4"/>
  <c r="I45" i="4"/>
  <c r="H45" i="4"/>
  <c r="G45" i="4"/>
  <c r="F45" i="4"/>
  <c r="E45" i="4"/>
  <c r="B45" i="4"/>
  <c r="BS43" i="4"/>
  <c r="BK43" i="4"/>
  <c r="BL43" i="4" s="1"/>
  <c r="BI43" i="4"/>
  <c r="BA43" i="4"/>
  <c r="BB43" i="4" s="1"/>
  <c r="AY43" i="4"/>
  <c r="AQ43" i="4"/>
  <c r="AR43" i="4" s="1"/>
  <c r="AO43" i="4"/>
  <c r="AG43" i="4"/>
  <c r="AH43" i="4" s="1"/>
  <c r="AE43" i="4"/>
  <c r="W43" i="4"/>
  <c r="X43" i="4" s="1"/>
  <c r="U43" i="4"/>
  <c r="M43" i="4"/>
  <c r="N43" i="4" s="1"/>
  <c r="K43" i="4"/>
  <c r="C43" i="4"/>
  <c r="D43" i="4" s="1"/>
  <c r="BS42" i="4"/>
  <c r="BK42" i="4"/>
  <c r="BL42" i="4" s="1"/>
  <c r="BI42" i="4"/>
  <c r="BA42" i="4"/>
  <c r="BB42" i="4" s="1"/>
  <c r="AY42" i="4"/>
  <c r="AQ42" i="4"/>
  <c r="AR42" i="4" s="1"/>
  <c r="AO42" i="4"/>
  <c r="AG42" i="4"/>
  <c r="AH42" i="4" s="1"/>
  <c r="AE42" i="4"/>
  <c r="W42" i="4"/>
  <c r="X42" i="4" s="1"/>
  <c r="U42" i="4"/>
  <c r="M42" i="4"/>
  <c r="N42" i="4" s="1"/>
  <c r="K42" i="4"/>
  <c r="C42" i="4"/>
  <c r="D42" i="4" s="1"/>
  <c r="BS41" i="4"/>
  <c r="BK41" i="4"/>
  <c r="BL41" i="4" s="1"/>
  <c r="BI41" i="4"/>
  <c r="BA41" i="4"/>
  <c r="BB41" i="4" s="1"/>
  <c r="AY41" i="4"/>
  <c r="AQ41" i="4"/>
  <c r="AR41" i="4" s="1"/>
  <c r="AO41" i="4"/>
  <c r="AG41" i="4"/>
  <c r="AH41" i="4" s="1"/>
  <c r="AE41" i="4"/>
  <c r="W41" i="4"/>
  <c r="X41" i="4" s="1"/>
  <c r="U41" i="4"/>
  <c r="M41" i="4"/>
  <c r="N41" i="4" s="1"/>
  <c r="K41" i="4"/>
  <c r="C41" i="4"/>
  <c r="D41" i="4" s="1"/>
  <c r="BS40" i="4"/>
  <c r="BK40" i="4"/>
  <c r="BL40" i="4" s="1"/>
  <c r="BI40" i="4"/>
  <c r="BA40" i="4"/>
  <c r="BB40" i="4" s="1"/>
  <c r="AY40" i="4"/>
  <c r="AQ40" i="4"/>
  <c r="AR40" i="4" s="1"/>
  <c r="AO40" i="4"/>
  <c r="AG40" i="4"/>
  <c r="AH40" i="4" s="1"/>
  <c r="AE40" i="4"/>
  <c r="W40" i="4"/>
  <c r="X40" i="4" s="1"/>
  <c r="U40" i="4"/>
  <c r="M40" i="4"/>
  <c r="N40" i="4" s="1"/>
  <c r="K40" i="4"/>
  <c r="C40" i="4"/>
  <c r="D40" i="4" s="1"/>
  <c r="BS39" i="4"/>
  <c r="BK39" i="4"/>
  <c r="BL39" i="4" s="1"/>
  <c r="BI39" i="4"/>
  <c r="BA39" i="4"/>
  <c r="BB39" i="4" s="1"/>
  <c r="AY39" i="4"/>
  <c r="AQ39" i="4"/>
  <c r="AR39" i="4" s="1"/>
  <c r="AO39" i="4"/>
  <c r="AG39" i="4"/>
  <c r="AH39" i="4" s="1"/>
  <c r="AE39" i="4"/>
  <c r="W39" i="4"/>
  <c r="X39" i="4" s="1"/>
  <c r="U39" i="4"/>
  <c r="M39" i="4"/>
  <c r="N39" i="4" s="1"/>
  <c r="K39" i="4"/>
  <c r="C39" i="4"/>
  <c r="D39" i="4" s="1"/>
  <c r="BS38" i="4"/>
  <c r="BK38" i="4"/>
  <c r="BL38" i="4" s="1"/>
  <c r="BI38" i="4"/>
  <c r="BB38" i="4"/>
  <c r="BA38" i="4"/>
  <c r="AY38" i="4"/>
  <c r="AQ38" i="4"/>
  <c r="AR38" i="4" s="1"/>
  <c r="AO38" i="4"/>
  <c r="AG38" i="4"/>
  <c r="AH38" i="4" s="1"/>
  <c r="AE38" i="4"/>
  <c r="W38" i="4"/>
  <c r="X38" i="4" s="1"/>
  <c r="U38" i="4"/>
  <c r="M38" i="4"/>
  <c r="N38" i="4" s="1"/>
  <c r="K38" i="4"/>
  <c r="C38" i="4"/>
  <c r="D38" i="4" s="1"/>
  <c r="BS37" i="4"/>
  <c r="BK37" i="4"/>
  <c r="BL37" i="4" s="1"/>
  <c r="BI37" i="4"/>
  <c r="BA37" i="4"/>
  <c r="BB37" i="4" s="1"/>
  <c r="AY37" i="4"/>
  <c r="AQ37" i="4"/>
  <c r="AR37" i="4" s="1"/>
  <c r="AO37" i="4"/>
  <c r="AG37" i="4"/>
  <c r="AH37" i="4" s="1"/>
  <c r="AE37" i="4"/>
  <c r="W37" i="4"/>
  <c r="X37" i="4" s="1"/>
  <c r="U37" i="4"/>
  <c r="M37" i="4"/>
  <c r="N37" i="4" s="1"/>
  <c r="K37" i="4"/>
  <c r="C37" i="4"/>
  <c r="D37" i="4" s="1"/>
  <c r="BS36" i="4"/>
  <c r="BK36" i="4"/>
  <c r="BL36" i="4" s="1"/>
  <c r="BI36" i="4"/>
  <c r="BA36" i="4"/>
  <c r="BB36" i="4" s="1"/>
  <c r="AY36" i="4"/>
  <c r="AQ36" i="4"/>
  <c r="AR36" i="4" s="1"/>
  <c r="AO36" i="4"/>
  <c r="AG36" i="4"/>
  <c r="AH36" i="4" s="1"/>
  <c r="AE36" i="4"/>
  <c r="W36" i="4"/>
  <c r="X36" i="4" s="1"/>
  <c r="U36" i="4"/>
  <c r="M36" i="4"/>
  <c r="N36" i="4" s="1"/>
  <c r="K36" i="4"/>
  <c r="C36" i="4"/>
  <c r="D36" i="4" s="1"/>
  <c r="BS35" i="4"/>
  <c r="BK35" i="4"/>
  <c r="BL35" i="4" s="1"/>
  <c r="BI35" i="4"/>
  <c r="BA35" i="4"/>
  <c r="BB35" i="4" s="1"/>
  <c r="AY35" i="4"/>
  <c r="AQ35" i="4"/>
  <c r="AR35" i="4" s="1"/>
  <c r="AO35" i="4"/>
  <c r="AG35" i="4"/>
  <c r="AH35" i="4" s="1"/>
  <c r="AE35" i="4"/>
  <c r="W35" i="4"/>
  <c r="X35" i="4" s="1"/>
  <c r="U35" i="4"/>
  <c r="M35" i="4"/>
  <c r="N35" i="4" s="1"/>
  <c r="K35" i="4"/>
  <c r="C35" i="4"/>
  <c r="D35" i="4" s="1"/>
  <c r="BS34" i="4"/>
  <c r="BK34" i="4"/>
  <c r="BL34" i="4" s="1"/>
  <c r="BI34" i="4"/>
  <c r="BA34" i="4"/>
  <c r="BB34" i="4" s="1"/>
  <c r="AY34" i="4"/>
  <c r="AQ34" i="4"/>
  <c r="AR34" i="4" s="1"/>
  <c r="AO34" i="4"/>
  <c r="AG34" i="4"/>
  <c r="AH34" i="4" s="1"/>
  <c r="AE34" i="4"/>
  <c r="W34" i="4"/>
  <c r="X34" i="4" s="1"/>
  <c r="U34" i="4"/>
  <c r="M34" i="4"/>
  <c r="N34" i="4" s="1"/>
  <c r="K34" i="4"/>
  <c r="C34" i="4"/>
  <c r="D34" i="4" s="1"/>
  <c r="BS33" i="4"/>
  <c r="BK33" i="4"/>
  <c r="BL33" i="4" s="1"/>
  <c r="BI33" i="4"/>
  <c r="BA33" i="4"/>
  <c r="BB33" i="4" s="1"/>
  <c r="AY33" i="4"/>
  <c r="AQ33" i="4"/>
  <c r="AR33" i="4" s="1"/>
  <c r="AO33" i="4"/>
  <c r="AG33" i="4"/>
  <c r="AH33" i="4" s="1"/>
  <c r="AE33" i="4"/>
  <c r="W33" i="4"/>
  <c r="X33" i="4" s="1"/>
  <c r="U33" i="4"/>
  <c r="M33" i="4"/>
  <c r="N33" i="4" s="1"/>
  <c r="K33" i="4"/>
  <c r="C33" i="4"/>
  <c r="D33" i="4" s="1"/>
  <c r="BS32" i="4"/>
  <c r="BK32" i="4"/>
  <c r="BJ32" i="4"/>
  <c r="BI32" i="4"/>
  <c r="BF32" i="4"/>
  <c r="BA32" i="4" s="1"/>
  <c r="AZ32" i="4"/>
  <c r="AY32" i="4"/>
  <c r="AQ32" i="4"/>
  <c r="AR32" i="4" s="1"/>
  <c r="AO32" i="4"/>
  <c r="AG32" i="4"/>
  <c r="AH32" i="4" s="1"/>
  <c r="AE32" i="4"/>
  <c r="W32" i="4"/>
  <c r="X32" i="4" s="1"/>
  <c r="U32" i="4"/>
  <c r="M32" i="4"/>
  <c r="N32" i="4" s="1"/>
  <c r="K32" i="4"/>
  <c r="C32" i="4"/>
  <c r="D32" i="4" s="1"/>
  <c r="BS31" i="4"/>
  <c r="BK31" i="4"/>
  <c r="BL31" i="4" s="1"/>
  <c r="BI31" i="4"/>
  <c r="BF31" i="4"/>
  <c r="BA31" i="4" s="1"/>
  <c r="BB31" i="4" s="1"/>
  <c r="AY31" i="4"/>
  <c r="AQ31" i="4"/>
  <c r="AR31" i="4" s="1"/>
  <c r="AO31" i="4"/>
  <c r="AG31" i="4"/>
  <c r="AH31" i="4" s="1"/>
  <c r="AE31" i="4"/>
  <c r="W31" i="4"/>
  <c r="X31" i="4" s="1"/>
  <c r="U31" i="4"/>
  <c r="M31" i="4"/>
  <c r="N31" i="4" s="1"/>
  <c r="K31" i="4"/>
  <c r="C31" i="4"/>
  <c r="D31" i="4" s="1"/>
  <c r="BS30" i="4"/>
  <c r="BK30" i="4"/>
  <c r="BL30" i="4" s="1"/>
  <c r="BI30" i="4"/>
  <c r="BA30" i="4"/>
  <c r="BB30" i="4" s="1"/>
  <c r="AY30" i="4"/>
  <c r="AV30" i="4"/>
  <c r="AQ30" i="4" s="1"/>
  <c r="AR30" i="4" s="1"/>
  <c r="AO30" i="4"/>
  <c r="AG30" i="4"/>
  <c r="AH30" i="4" s="1"/>
  <c r="AE30" i="4"/>
  <c r="W30" i="4"/>
  <c r="X30" i="4" s="1"/>
  <c r="U30" i="4"/>
  <c r="M30" i="4"/>
  <c r="N30" i="4" s="1"/>
  <c r="K30" i="4"/>
  <c r="C30" i="4"/>
  <c r="D30" i="4" s="1"/>
  <c r="BS29" i="4"/>
  <c r="BK29" i="4"/>
  <c r="BL29" i="4" s="1"/>
  <c r="BI29" i="4"/>
  <c r="BA29" i="4"/>
  <c r="BB29" i="4" s="1"/>
  <c r="AY29" i="4"/>
  <c r="AV29" i="4"/>
  <c r="AQ29" i="4" s="1"/>
  <c r="AP29" i="4"/>
  <c r="AP45" i="4" s="1"/>
  <c r="AO29" i="4"/>
  <c r="AL29" i="4"/>
  <c r="AG29" i="4" s="1"/>
  <c r="AH29" i="4" s="1"/>
  <c r="AE29" i="4"/>
  <c r="AB29" i="4"/>
  <c r="W29" i="4" s="1"/>
  <c r="X29" i="4" s="1"/>
  <c r="U29" i="4"/>
  <c r="M29" i="4"/>
  <c r="N29" i="4" s="1"/>
  <c r="K29" i="4"/>
  <c r="C29" i="4"/>
  <c r="D29" i="4" s="1"/>
  <c r="BS28" i="4"/>
  <c r="BK28" i="4"/>
  <c r="BL28" i="4" s="1"/>
  <c r="BI28" i="4"/>
  <c r="BA28" i="4"/>
  <c r="BB28" i="4" s="1"/>
  <c r="AY28" i="4"/>
  <c r="AQ28" i="4"/>
  <c r="AR28" i="4" s="1"/>
  <c r="AO28" i="4"/>
  <c r="AG28" i="4"/>
  <c r="AH28" i="4" s="1"/>
  <c r="AE28" i="4"/>
  <c r="W28" i="4"/>
  <c r="X28" i="4" s="1"/>
  <c r="U28" i="4"/>
  <c r="M28" i="4"/>
  <c r="N28" i="4" s="1"/>
  <c r="K28" i="4"/>
  <c r="C28" i="4"/>
  <c r="D28" i="4" s="1"/>
  <c r="BS27" i="4"/>
  <c r="BK27" i="4"/>
  <c r="BL27" i="4" s="1"/>
  <c r="BI27" i="4"/>
  <c r="BA27" i="4"/>
  <c r="BB27" i="4" s="1"/>
  <c r="AY27" i="4"/>
  <c r="AQ27" i="4"/>
  <c r="AR27" i="4" s="1"/>
  <c r="AO27" i="4"/>
  <c r="AG27" i="4"/>
  <c r="AH27" i="4" s="1"/>
  <c r="AE27" i="4"/>
  <c r="W27" i="4"/>
  <c r="X27" i="4" s="1"/>
  <c r="U27" i="4"/>
  <c r="M27" i="4"/>
  <c r="N27" i="4" s="1"/>
  <c r="K27" i="4"/>
  <c r="C27" i="4"/>
  <c r="D27" i="4" s="1"/>
  <c r="BS26" i="4"/>
  <c r="BK26" i="4"/>
  <c r="BL26" i="4" s="1"/>
  <c r="BI26" i="4"/>
  <c r="BA26" i="4"/>
  <c r="BB26" i="4" s="1"/>
  <c r="AY26" i="4"/>
  <c r="AQ26" i="4"/>
  <c r="AR26" i="4" s="1"/>
  <c r="AO26" i="4"/>
  <c r="AG26" i="4"/>
  <c r="AH26" i="4" s="1"/>
  <c r="AE26" i="4"/>
  <c r="W26" i="4"/>
  <c r="X26" i="4" s="1"/>
  <c r="U26" i="4"/>
  <c r="M26" i="4"/>
  <c r="N26" i="4" s="1"/>
  <c r="K26" i="4"/>
  <c r="C26" i="4"/>
  <c r="D26" i="4" s="1"/>
  <c r="BS25" i="4"/>
  <c r="BK25" i="4"/>
  <c r="BL25" i="4" s="1"/>
  <c r="BI25" i="4"/>
  <c r="BA25" i="4"/>
  <c r="BB25" i="4" s="1"/>
  <c r="AY25" i="4"/>
  <c r="AQ25" i="4"/>
  <c r="AR25" i="4" s="1"/>
  <c r="AI25" i="4"/>
  <c r="AO25" i="4" s="1"/>
  <c r="AE25" i="4"/>
  <c r="W25" i="4"/>
  <c r="X25" i="4" s="1"/>
  <c r="U25" i="4"/>
  <c r="M25" i="4"/>
  <c r="N25" i="4" s="1"/>
  <c r="K25" i="4"/>
  <c r="C25" i="4"/>
  <c r="D25" i="4" s="1"/>
  <c r="BS24" i="4"/>
  <c r="BK24" i="4"/>
  <c r="BL24" i="4" s="1"/>
  <c r="BI24" i="4"/>
  <c r="BA24" i="4"/>
  <c r="BB24" i="4" s="1"/>
  <c r="AY24" i="4"/>
  <c r="AQ24" i="4"/>
  <c r="AR24" i="4" s="1"/>
  <c r="AO24" i="4"/>
  <c r="AG24" i="4"/>
  <c r="AH24" i="4" s="1"/>
  <c r="AE24" i="4"/>
  <c r="W24" i="4"/>
  <c r="X24" i="4" s="1"/>
  <c r="U24" i="4"/>
  <c r="M24" i="4"/>
  <c r="N24" i="4" s="1"/>
  <c r="K24" i="4"/>
  <c r="C24" i="4"/>
  <c r="D24" i="4" s="1"/>
  <c r="BS23" i="4"/>
  <c r="BK23" i="4"/>
  <c r="BJ23" i="4"/>
  <c r="BI23" i="4"/>
  <c r="BA23" i="4"/>
  <c r="BB23" i="4" s="1"/>
  <c r="AY23" i="4"/>
  <c r="AQ23" i="4"/>
  <c r="AR23" i="4" s="1"/>
  <c r="AO23" i="4"/>
  <c r="AG23" i="4"/>
  <c r="AH23" i="4" s="1"/>
  <c r="AE23" i="4"/>
  <c r="W23" i="4"/>
  <c r="X23" i="4" s="1"/>
  <c r="U23" i="4"/>
  <c r="M23" i="4"/>
  <c r="N23" i="4" s="1"/>
  <c r="K23" i="4"/>
  <c r="C23" i="4"/>
  <c r="D23" i="4" s="1"/>
  <c r="BS22" i="4"/>
  <c r="BK22" i="4"/>
  <c r="BL22" i="4" s="1"/>
  <c r="BI22" i="4"/>
  <c r="BA22" i="4"/>
  <c r="BB22" i="4" s="1"/>
  <c r="AY22" i="4"/>
  <c r="AQ22" i="4"/>
  <c r="AR22" i="4" s="1"/>
  <c r="AO22" i="4"/>
  <c r="AG22" i="4"/>
  <c r="AH22" i="4" s="1"/>
  <c r="AE22" i="4"/>
  <c r="W22" i="4"/>
  <c r="X22" i="4" s="1"/>
  <c r="U22" i="4"/>
  <c r="M22" i="4"/>
  <c r="N22" i="4" s="1"/>
  <c r="K22" i="4"/>
  <c r="C22" i="4"/>
  <c r="D22" i="4" s="1"/>
  <c r="BS21" i="4"/>
  <c r="BK21" i="4"/>
  <c r="BJ21" i="4"/>
  <c r="BH21" i="4"/>
  <c r="BH45" i="4" s="1"/>
  <c r="BF21" i="4"/>
  <c r="BA21" i="4" s="1"/>
  <c r="AZ21" i="4"/>
  <c r="AZ45" i="4" s="1"/>
  <c r="AY21" i="4"/>
  <c r="AV21" i="4"/>
  <c r="AQ21" i="4" s="1"/>
  <c r="AR21" i="4" s="1"/>
  <c r="AO21" i="4"/>
  <c r="AL21" i="4"/>
  <c r="AG21" i="4" s="1"/>
  <c r="AH21" i="4" s="1"/>
  <c r="AE21" i="4"/>
  <c r="AB21" i="4"/>
  <c r="W21" i="4" s="1"/>
  <c r="X21" i="4" s="1"/>
  <c r="U21" i="4"/>
  <c r="M21" i="4"/>
  <c r="N21" i="4" s="1"/>
  <c r="K21" i="4"/>
  <c r="C21" i="4"/>
  <c r="D21" i="4" s="1"/>
  <c r="BS20" i="4"/>
  <c r="BK20" i="4"/>
  <c r="BL20" i="4" s="1"/>
  <c r="BI20" i="4"/>
  <c r="BF20" i="4"/>
  <c r="BA20" i="4" s="1"/>
  <c r="BB20" i="4" s="1"/>
  <c r="AY20" i="4"/>
  <c r="AV20" i="4"/>
  <c r="AQ20" i="4" s="1"/>
  <c r="AR20" i="4" s="1"/>
  <c r="AO20" i="4"/>
  <c r="AL20" i="4"/>
  <c r="AG20" i="4"/>
  <c r="AH20" i="4" s="1"/>
  <c r="AE20" i="4"/>
  <c r="AB20" i="4"/>
  <c r="W20" i="4" s="1"/>
  <c r="X20" i="4" s="1"/>
  <c r="U20" i="4"/>
  <c r="M20" i="4"/>
  <c r="N20" i="4" s="1"/>
  <c r="K20" i="4"/>
  <c r="C20" i="4"/>
  <c r="D20" i="4" s="1"/>
  <c r="BS19" i="4"/>
  <c r="BK19" i="4"/>
  <c r="BL19" i="4" s="1"/>
  <c r="BI19" i="4"/>
  <c r="BF19" i="4"/>
  <c r="AY19" i="4"/>
  <c r="AV19" i="4"/>
  <c r="AQ19" i="4" s="1"/>
  <c r="AR19" i="4" s="1"/>
  <c r="AO19" i="4"/>
  <c r="AL19" i="4"/>
  <c r="AG19" i="4" s="1"/>
  <c r="AH19" i="4" s="1"/>
  <c r="AE19" i="4"/>
  <c r="AB19" i="4"/>
  <c r="U19" i="4"/>
  <c r="M19" i="4"/>
  <c r="N19" i="4" s="1"/>
  <c r="K19" i="4"/>
  <c r="C19" i="4"/>
  <c r="D19" i="4" s="1"/>
  <c r="BS18" i="4"/>
  <c r="BK18" i="4"/>
  <c r="BL18" i="4" s="1"/>
  <c r="BI18" i="4"/>
  <c r="BA18" i="4"/>
  <c r="BB18" i="4" s="1"/>
  <c r="AX18" i="4"/>
  <c r="AX45" i="4" s="1"/>
  <c r="AQ18" i="4"/>
  <c r="AR18" i="4" s="1"/>
  <c r="AO18" i="4"/>
  <c r="AG18" i="4"/>
  <c r="AH18" i="4" s="1"/>
  <c r="AE18" i="4"/>
  <c r="W18" i="4"/>
  <c r="X18" i="4" s="1"/>
  <c r="U18" i="4"/>
  <c r="M18" i="4"/>
  <c r="N18" i="4" s="1"/>
  <c r="K18" i="4"/>
  <c r="C18" i="4"/>
  <c r="D18" i="4" s="1"/>
  <c r="BS17" i="4"/>
  <c r="BK17" i="4"/>
  <c r="BL17" i="4" s="1"/>
  <c r="BI17" i="4"/>
  <c r="BA17" i="4"/>
  <c r="BB17" i="4" s="1"/>
  <c r="AY17" i="4"/>
  <c r="AQ17" i="4"/>
  <c r="AR17" i="4" s="1"/>
  <c r="AO17" i="4"/>
  <c r="AG17" i="4"/>
  <c r="AH17" i="4" s="1"/>
  <c r="AE17" i="4"/>
  <c r="W17" i="4"/>
  <c r="X17" i="4" s="1"/>
  <c r="U17" i="4"/>
  <c r="M17" i="4"/>
  <c r="N17" i="4" s="1"/>
  <c r="K17" i="4"/>
  <c r="C17" i="4"/>
  <c r="D17" i="4" s="1"/>
  <c r="BS16" i="4"/>
  <c r="BK16" i="4"/>
  <c r="BL16" i="4" s="1"/>
  <c r="BI16" i="4"/>
  <c r="BA16" i="4"/>
  <c r="BB16" i="4" s="1"/>
  <c r="AY16" i="4"/>
  <c r="AQ16" i="4"/>
  <c r="AR16" i="4" s="1"/>
  <c r="AO16" i="4"/>
  <c r="AG16" i="4"/>
  <c r="AH16" i="4" s="1"/>
  <c r="AE16" i="4"/>
  <c r="W16" i="4"/>
  <c r="X16" i="4" s="1"/>
  <c r="U16" i="4"/>
  <c r="M16" i="4"/>
  <c r="N16" i="4" s="1"/>
  <c r="K16" i="4"/>
  <c r="C16" i="4"/>
  <c r="D16" i="4" s="1"/>
  <c r="BS15" i="4"/>
  <c r="BK15" i="4"/>
  <c r="BL15" i="4" s="1"/>
  <c r="BI15" i="4"/>
  <c r="BA15" i="4"/>
  <c r="BB15" i="4" s="1"/>
  <c r="AY15" i="4"/>
  <c r="AQ15" i="4"/>
  <c r="AR15" i="4" s="1"/>
  <c r="AO15" i="4"/>
  <c r="AG15" i="4"/>
  <c r="AH15" i="4" s="1"/>
  <c r="AE15" i="4"/>
  <c r="W15" i="4"/>
  <c r="X15" i="4" s="1"/>
  <c r="U15" i="4"/>
  <c r="M15" i="4"/>
  <c r="N15" i="4" s="1"/>
  <c r="K15" i="4"/>
  <c r="C15" i="4"/>
  <c r="D15" i="4" s="1"/>
  <c r="BS14" i="4"/>
  <c r="BK14" i="4"/>
  <c r="BL14" i="4" s="1"/>
  <c r="BI14" i="4"/>
  <c r="BA14" i="4"/>
  <c r="BB14" i="4" s="1"/>
  <c r="AY14" i="4"/>
  <c r="AQ14" i="4"/>
  <c r="AR14" i="4" s="1"/>
  <c r="AO14" i="4"/>
  <c r="AG14" i="4"/>
  <c r="AH14" i="4" s="1"/>
  <c r="AE14" i="4"/>
  <c r="W14" i="4"/>
  <c r="X14" i="4" s="1"/>
  <c r="U14" i="4"/>
  <c r="M14" i="4"/>
  <c r="N14" i="4" s="1"/>
  <c r="K14" i="4"/>
  <c r="C14" i="4"/>
  <c r="D14" i="4" s="1"/>
  <c r="BS13" i="4"/>
  <c r="BK13" i="4"/>
  <c r="BL13" i="4" s="1"/>
  <c r="BI13" i="4"/>
  <c r="BA13" i="4"/>
  <c r="BB13" i="4" s="1"/>
  <c r="AY13" i="4"/>
  <c r="AQ13" i="4"/>
  <c r="AR13" i="4" s="1"/>
  <c r="AO13" i="4"/>
  <c r="AG13" i="4"/>
  <c r="AH13" i="4" s="1"/>
  <c r="AE13" i="4"/>
  <c r="W13" i="4"/>
  <c r="X13" i="4" s="1"/>
  <c r="U13" i="4"/>
  <c r="M13" i="4"/>
  <c r="N13" i="4" s="1"/>
  <c r="K13" i="4"/>
  <c r="C13" i="4"/>
  <c r="D13" i="4" s="1"/>
  <c r="BS12" i="4"/>
  <c r="BK12" i="4"/>
  <c r="BL12" i="4" s="1"/>
  <c r="BI12" i="4"/>
  <c r="BA12" i="4"/>
  <c r="BB12" i="4" s="1"/>
  <c r="AY12" i="4"/>
  <c r="AQ12" i="4"/>
  <c r="AR12" i="4" s="1"/>
  <c r="AO12" i="4"/>
  <c r="AG12" i="4"/>
  <c r="AH12" i="4" s="1"/>
  <c r="AE12" i="4"/>
  <c r="W12" i="4"/>
  <c r="X12" i="4" s="1"/>
  <c r="U12" i="4"/>
  <c r="M12" i="4"/>
  <c r="N12" i="4" s="1"/>
  <c r="K12" i="4"/>
  <c r="C12" i="4"/>
  <c r="D12" i="4" s="1"/>
  <c r="BS11" i="4"/>
  <c r="BK11" i="4"/>
  <c r="BL11" i="4" s="1"/>
  <c r="BI11" i="4"/>
  <c r="BA11" i="4"/>
  <c r="AY11" i="4"/>
  <c r="AQ11" i="4"/>
  <c r="AO11" i="4"/>
  <c r="AG11" i="4"/>
  <c r="AE11" i="4"/>
  <c r="W11" i="4"/>
  <c r="U11" i="4"/>
  <c r="M11" i="4"/>
  <c r="N11" i="4" s="1"/>
  <c r="K11" i="4"/>
  <c r="C11" i="4"/>
  <c r="D11" i="4" s="1"/>
  <c r="Q81" i="4" l="1"/>
  <c r="F81" i="4"/>
  <c r="AC81" i="4"/>
  <c r="G81" i="4"/>
  <c r="R81" i="4"/>
  <c r="AT102" i="4"/>
  <c r="BA105" i="4"/>
  <c r="T81" i="4"/>
  <c r="AO66" i="4"/>
  <c r="AG93" i="4"/>
  <c r="AH93" i="4" s="1"/>
  <c r="AB114" i="4"/>
  <c r="M13" i="1"/>
  <c r="M47" i="1"/>
  <c r="M46" i="1" s="1"/>
  <c r="F102" i="4"/>
  <c r="AX102" i="4"/>
  <c r="BJ102" i="4"/>
  <c r="AL114" i="4"/>
  <c r="BB21" i="4"/>
  <c r="BI100" i="4"/>
  <c r="E81" i="4"/>
  <c r="BX102" i="4"/>
  <c r="BU59" i="4"/>
  <c r="BV59" i="4" s="1"/>
  <c r="CA81" i="4"/>
  <c r="CA116" i="4" s="1"/>
  <c r="BL32" i="4"/>
  <c r="H102" i="4"/>
  <c r="S102" i="4"/>
  <c r="BC102" i="4"/>
  <c r="AE114" i="4"/>
  <c r="CB102" i="4"/>
  <c r="AY59" i="4"/>
  <c r="AC102" i="4"/>
  <c r="AC116" i="4" s="1"/>
  <c r="AU81" i="4"/>
  <c r="U59" i="4"/>
  <c r="AE59" i="4"/>
  <c r="BO102" i="4"/>
  <c r="AG105" i="4"/>
  <c r="AH105" i="4" s="1"/>
  <c r="BS45" i="4"/>
  <c r="AI45" i="4"/>
  <c r="AW81" i="4"/>
  <c r="AW116" i="4" s="1"/>
  <c r="S81" i="4"/>
  <c r="S116" i="4" s="1"/>
  <c r="BA79" i="4"/>
  <c r="BB79" i="4" s="1"/>
  <c r="V102" i="4"/>
  <c r="BU45" i="4"/>
  <c r="BV45" i="4" s="1"/>
  <c r="AZ102" i="4"/>
  <c r="AB45" i="4"/>
  <c r="AB81" i="4" s="1"/>
  <c r="AR29" i="4"/>
  <c r="BB32" i="4"/>
  <c r="BS59" i="4"/>
  <c r="BS93" i="4"/>
  <c r="Y102" i="4"/>
  <c r="CC45" i="4"/>
  <c r="CC79" i="4"/>
  <c r="BW102" i="4"/>
  <c r="AB102" i="4"/>
  <c r="AE45" i="4"/>
  <c r="AK81" i="4"/>
  <c r="AK116" i="4" s="1"/>
  <c r="K93" i="4"/>
  <c r="BS100" i="4"/>
  <c r="P102" i="4"/>
  <c r="AA102" i="4"/>
  <c r="AL102" i="4"/>
  <c r="AP81" i="4"/>
  <c r="L81" i="4"/>
  <c r="L116" i="4" s="1"/>
  <c r="AD81" i="4"/>
  <c r="AD116" i="4" s="1"/>
  <c r="V128" i="4" s="1"/>
  <c r="N40" i="1"/>
  <c r="N42" i="1" s="1"/>
  <c r="M40" i="1"/>
  <c r="M42" i="1" s="1"/>
  <c r="CC114" i="4"/>
  <c r="BU100" i="4"/>
  <c r="BV100" i="4" s="1"/>
  <c r="CC100" i="4"/>
  <c r="CC102" i="4" s="1"/>
  <c r="BT102" i="4"/>
  <c r="BU93" i="4"/>
  <c r="BV93" i="4" s="1"/>
  <c r="CC93" i="4"/>
  <c r="BY102" i="4"/>
  <c r="BZ102" i="4"/>
  <c r="BU79" i="4"/>
  <c r="BV79" i="4" s="1"/>
  <c r="BT81" i="4"/>
  <c r="BY81" i="4"/>
  <c r="BY116" i="4" s="1"/>
  <c r="CB81" i="4"/>
  <c r="BZ81" i="4"/>
  <c r="BV50" i="4"/>
  <c r="CC59" i="4"/>
  <c r="BW81" i="4"/>
  <c r="BV11" i="4"/>
  <c r="BX116" i="4"/>
  <c r="BU114" i="4"/>
  <c r="BS79" i="4"/>
  <c r="AJ81" i="4"/>
  <c r="AJ116" i="4" s="1"/>
  <c r="AZ81" i="4"/>
  <c r="BI59" i="4"/>
  <c r="BA59" i="4"/>
  <c r="BB59" i="4" s="1"/>
  <c r="M93" i="4"/>
  <c r="N93" i="4" s="1"/>
  <c r="AO86" i="4"/>
  <c r="AO93" i="4" s="1"/>
  <c r="AE100" i="4"/>
  <c r="M59" i="4"/>
  <c r="N59" i="4" s="1"/>
  <c r="BL23" i="4"/>
  <c r="P81" i="4"/>
  <c r="P116" i="4" s="1"/>
  <c r="C59" i="4"/>
  <c r="D59" i="4" s="1"/>
  <c r="O81" i="4"/>
  <c r="BK79" i="4"/>
  <c r="BL79" i="4" s="1"/>
  <c r="AY66" i="4"/>
  <c r="AN81" i="4"/>
  <c r="U93" i="4"/>
  <c r="BK93" i="4"/>
  <c r="BL93" i="4" s="1"/>
  <c r="BH93" i="4"/>
  <c r="BH102" i="4" s="1"/>
  <c r="K100" i="4"/>
  <c r="K102" i="4" s="1"/>
  <c r="AY100" i="4"/>
  <c r="AY102" i="4" s="1"/>
  <c r="T102" i="4"/>
  <c r="T116" i="4" s="1"/>
  <c r="L128" i="4" s="1"/>
  <c r="AF102" i="4"/>
  <c r="AS102" i="4"/>
  <c r="BD102" i="4"/>
  <c r="AY114" i="4"/>
  <c r="K114" i="4"/>
  <c r="W79" i="4"/>
  <c r="X79" i="4" s="1"/>
  <c r="BH81" i="4"/>
  <c r="K59" i="4"/>
  <c r="AO59" i="4"/>
  <c r="AG59" i="4"/>
  <c r="AH59" i="4" s="1"/>
  <c r="AA81" i="4"/>
  <c r="AA116" i="4" s="1"/>
  <c r="U79" i="4"/>
  <c r="BL87" i="4"/>
  <c r="BE102" i="4"/>
  <c r="BP102" i="4"/>
  <c r="BS81" i="4"/>
  <c r="BR81" i="4"/>
  <c r="AL45" i="4"/>
  <c r="AL81" i="4" s="1"/>
  <c r="BJ45" i="4"/>
  <c r="BJ81" i="4" s="1"/>
  <c r="BJ116" i="4" s="1"/>
  <c r="BM81" i="4"/>
  <c r="AQ59" i="4"/>
  <c r="AR59" i="4" s="1"/>
  <c r="AE93" i="4"/>
  <c r="BI93" i="4"/>
  <c r="BI102" i="4" s="1"/>
  <c r="AY79" i="4"/>
  <c r="BF45" i="4"/>
  <c r="BF81" i="4" s="1"/>
  <c r="J81" i="4"/>
  <c r="J116" i="4" s="1"/>
  <c r="B128" i="4" s="1"/>
  <c r="W59" i="4"/>
  <c r="X59" i="4" s="1"/>
  <c r="AH88" i="4"/>
  <c r="BL21" i="4"/>
  <c r="AT81" i="4"/>
  <c r="AT116" i="4" s="1"/>
  <c r="C79" i="4"/>
  <c r="D79" i="4" s="1"/>
  <c r="R102" i="4"/>
  <c r="R116" i="4" s="1"/>
  <c r="AP102" i="4"/>
  <c r="BN102" i="4"/>
  <c r="B102" i="4"/>
  <c r="Z102" i="4"/>
  <c r="BR102" i="4"/>
  <c r="BI114" i="4"/>
  <c r="AO45" i="4"/>
  <c r="AM102" i="4"/>
  <c r="BB11" i="4"/>
  <c r="AQ45" i="4"/>
  <c r="AY18" i="4"/>
  <c r="AY45" i="4" s="1"/>
  <c r="X11" i="4"/>
  <c r="W19" i="4"/>
  <c r="X19" i="4" s="1"/>
  <c r="BA19" i="4"/>
  <c r="BB19" i="4" s="1"/>
  <c r="Z81" i="4"/>
  <c r="Z116" i="4" s="1"/>
  <c r="BG81" i="4"/>
  <c r="D48" i="4"/>
  <c r="X48" i="4"/>
  <c r="AR48" i="4"/>
  <c r="AH49" i="4"/>
  <c r="BB49" i="4"/>
  <c r="AO62" i="4"/>
  <c r="AO79" i="4" s="1"/>
  <c r="BB66" i="4"/>
  <c r="K45" i="4"/>
  <c r="BI21" i="4"/>
  <c r="BI45" i="4" s="1"/>
  <c r="AG25" i="4"/>
  <c r="AH25" i="4" s="1"/>
  <c r="M45" i="4"/>
  <c r="BP81" i="4"/>
  <c r="BP116" i="4" s="1"/>
  <c r="AX59" i="4"/>
  <c r="AX81" i="4" s="1"/>
  <c r="AX116" i="4" s="1"/>
  <c r="AP128" i="4" s="1"/>
  <c r="BK59" i="4"/>
  <c r="BL59" i="4" s="1"/>
  <c r="AQ79" i="4"/>
  <c r="AR79" i="4" s="1"/>
  <c r="BC79" i="4"/>
  <c r="BC81" i="4" s="1"/>
  <c r="BC116" i="4" s="1"/>
  <c r="BI66" i="4"/>
  <c r="BI79" i="4" s="1"/>
  <c r="AI79" i="4"/>
  <c r="W93" i="4"/>
  <c r="X93" i="4" s="1"/>
  <c r="AU102" i="4"/>
  <c r="H81" i="4"/>
  <c r="H116" i="4" s="1"/>
  <c r="X62" i="4"/>
  <c r="C93" i="4"/>
  <c r="D93" i="4" s="1"/>
  <c r="D96" i="4"/>
  <c r="C100" i="4"/>
  <c r="AG100" i="4"/>
  <c r="AH96" i="4"/>
  <c r="BL96" i="4"/>
  <c r="BK100" i="4"/>
  <c r="I102" i="4"/>
  <c r="Q102" i="4"/>
  <c r="Q116" i="4" s="1"/>
  <c r="AN102" i="4"/>
  <c r="D105" i="4"/>
  <c r="C114" i="4"/>
  <c r="AV45" i="4"/>
  <c r="AV81" i="4" s="1"/>
  <c r="B81" i="4"/>
  <c r="D62" i="4"/>
  <c r="AE79" i="4"/>
  <c r="AQ93" i="4"/>
  <c r="AR93" i="4" s="1"/>
  <c r="AR86" i="4"/>
  <c r="AO100" i="4"/>
  <c r="AI102" i="4"/>
  <c r="BB105" i="4"/>
  <c r="BA114" i="4"/>
  <c r="U45" i="4"/>
  <c r="U81" i="4" s="1"/>
  <c r="Y81" i="4"/>
  <c r="Y116" i="4" s="1"/>
  <c r="BN81" i="4"/>
  <c r="I81" i="4"/>
  <c r="AG79" i="4"/>
  <c r="AH79" i="4" s="1"/>
  <c r="M114" i="4"/>
  <c r="N106" i="4"/>
  <c r="BM102" i="4"/>
  <c r="AH11" i="4"/>
  <c r="C45" i="4"/>
  <c r="BK45" i="4"/>
  <c r="AR11" i="4"/>
  <c r="AF81" i="4"/>
  <c r="AF116" i="4" s="1"/>
  <c r="BO81" i="4"/>
  <c r="BO116" i="4" s="1"/>
  <c r="M79" i="4"/>
  <c r="N79" i="4" s="1"/>
  <c r="U100" i="4"/>
  <c r="BS102" i="4"/>
  <c r="BD81" i="4"/>
  <c r="K79" i="4"/>
  <c r="BF93" i="4"/>
  <c r="BF102" i="4" s="1"/>
  <c r="BF116" i="4" s="1"/>
  <c r="BA86" i="4"/>
  <c r="N96" i="4"/>
  <c r="M100" i="4"/>
  <c r="AR96" i="4"/>
  <c r="AQ100" i="4"/>
  <c r="E102" i="4"/>
  <c r="E116" i="4" s="1"/>
  <c r="BG102" i="4"/>
  <c r="BG116" i="4" s="1"/>
  <c r="X105" i="4"/>
  <c r="W114" i="4"/>
  <c r="AQ105" i="4"/>
  <c r="AV114" i="4"/>
  <c r="BS114" i="4"/>
  <c r="F116" i="4"/>
  <c r="AN116" i="4"/>
  <c r="AF128" i="4" s="1"/>
  <c r="AM81" i="4"/>
  <c r="AS81" i="4"/>
  <c r="AS116" i="4" s="1"/>
  <c r="BE81" i="4"/>
  <c r="BQ81" i="4"/>
  <c r="X96" i="4"/>
  <c r="W100" i="4"/>
  <c r="BA100" i="4"/>
  <c r="BB96" i="4"/>
  <c r="O102" i="4"/>
  <c r="O116" i="4" s="1"/>
  <c r="BQ102" i="4"/>
  <c r="U114" i="4"/>
  <c r="AO114" i="4"/>
  <c r="BL105" i="4"/>
  <c r="BK114" i="4"/>
  <c r="AZ116" i="4"/>
  <c r="V116" i="4"/>
  <c r="G116" i="4"/>
  <c r="BR116" i="4"/>
  <c r="BJ128" i="4" s="1"/>
  <c r="AO102" i="4" l="1"/>
  <c r="AL116" i="4"/>
  <c r="AP116" i="4"/>
  <c r="AB116" i="4"/>
  <c r="AI81" i="4"/>
  <c r="AI116" i="4" s="1"/>
  <c r="AF133" i="4" s="1"/>
  <c r="N46" i="1"/>
  <c r="N52" i="1" s="1"/>
  <c r="N55" i="1" s="1"/>
  <c r="M52" i="1"/>
  <c r="M55" i="1" s="1"/>
  <c r="BD116" i="4"/>
  <c r="U102" i="4"/>
  <c r="BW116" i="4"/>
  <c r="BT133" i="4" s="1"/>
  <c r="AU116" i="4"/>
  <c r="CB116" i="4"/>
  <c r="BT128" i="4" s="1"/>
  <c r="BU81" i="4"/>
  <c r="BV81" i="4" s="1"/>
  <c r="BN116" i="4"/>
  <c r="AE81" i="4"/>
  <c r="I116" i="4"/>
  <c r="AY81" i="4"/>
  <c r="AY116" i="4" s="1"/>
  <c r="AP129" i="4" s="1"/>
  <c r="AP130" i="4" s="1"/>
  <c r="BZ116" i="4"/>
  <c r="BQ116" i="4"/>
  <c r="AG114" i="4"/>
  <c r="AH114" i="4" s="1"/>
  <c r="B116" i="4"/>
  <c r="CC81" i="4"/>
  <c r="CC116" i="4" s="1"/>
  <c r="BT129" i="4" s="1"/>
  <c r="BT130" i="4" s="1"/>
  <c r="AV116" i="4"/>
  <c r="BE116" i="4"/>
  <c r="U116" i="4"/>
  <c r="L129" i="4" s="1"/>
  <c r="BH116" i="4"/>
  <c r="AZ128" i="4" s="1"/>
  <c r="BT116" i="4"/>
  <c r="BU102" i="4"/>
  <c r="BV102" i="4" s="1"/>
  <c r="BV114" i="4"/>
  <c r="W45" i="4"/>
  <c r="W81" i="4" s="1"/>
  <c r="W116" i="4" s="1"/>
  <c r="V134" i="4" s="1"/>
  <c r="AE102" i="4"/>
  <c r="AE116" i="4" s="1"/>
  <c r="V129" i="4" s="1"/>
  <c r="V130" i="4" s="1"/>
  <c r="BM116" i="4"/>
  <c r="BJ133" i="4" s="1"/>
  <c r="AZ133" i="4"/>
  <c r="V133" i="4"/>
  <c r="B133" i="4"/>
  <c r="AP133" i="4"/>
  <c r="BL114" i="4"/>
  <c r="D45" i="4"/>
  <c r="C81" i="4"/>
  <c r="X100" i="4"/>
  <c r="W102" i="4"/>
  <c r="X114" i="4"/>
  <c r="N114" i="4"/>
  <c r="BB114" i="4"/>
  <c r="AG45" i="4"/>
  <c r="BK102" i="4"/>
  <c r="BL100" i="4"/>
  <c r="M102" i="4"/>
  <c r="N100" i="4"/>
  <c r="K81" i="4"/>
  <c r="K116" i="4" s="1"/>
  <c r="B129" i="4" s="1"/>
  <c r="B130" i="4" s="1"/>
  <c r="BB100" i="4"/>
  <c r="BA102" i="4"/>
  <c r="AQ114" i="4"/>
  <c r="AR105" i="4"/>
  <c r="AQ102" i="4"/>
  <c r="AR100" i="4"/>
  <c r="BI81" i="4"/>
  <c r="BI116" i="4" s="1"/>
  <c r="AZ129" i="4" s="1"/>
  <c r="AZ130" i="4" s="1"/>
  <c r="D114" i="4"/>
  <c r="AM116" i="4"/>
  <c r="AO81" i="4"/>
  <c r="AO116" i="4" s="1"/>
  <c r="AF129" i="4" s="1"/>
  <c r="AF130" i="4" s="1"/>
  <c r="L133" i="4"/>
  <c r="L130" i="4"/>
  <c r="BS116" i="4"/>
  <c r="BJ129" i="4" s="1"/>
  <c r="BB86" i="4"/>
  <c r="BA93" i="4"/>
  <c r="BB93" i="4" s="1"/>
  <c r="BK81" i="4"/>
  <c r="BL45" i="4"/>
  <c r="AG102" i="4"/>
  <c r="AH100" i="4"/>
  <c r="BA45" i="4"/>
  <c r="C102" i="4"/>
  <c r="D100" i="4"/>
  <c r="N45" i="4"/>
  <c r="M81" i="4"/>
  <c r="AQ81" i="4"/>
  <c r="AR45" i="4"/>
  <c r="X45" i="4"/>
  <c r="BJ130" i="4" l="1"/>
  <c r="BU116" i="4"/>
  <c r="BV116" i="4" s="1"/>
  <c r="BK116" i="4"/>
  <c r="BJ127" i="4"/>
  <c r="BL116" i="4"/>
  <c r="BJ134" i="4"/>
  <c r="N81" i="4"/>
  <c r="AR81" i="4"/>
  <c r="BB102" i="4"/>
  <c r="D81" i="4"/>
  <c r="AH102" i="4"/>
  <c r="N102" i="4"/>
  <c r="X81" i="4"/>
  <c r="BJ135" i="4"/>
  <c r="BL81" i="4"/>
  <c r="AR102" i="4"/>
  <c r="X102" i="4"/>
  <c r="V127" i="4"/>
  <c r="X116" i="4"/>
  <c r="D102" i="4"/>
  <c r="C116" i="4"/>
  <c r="BL102" i="4"/>
  <c r="M116" i="4"/>
  <c r="BA81" i="4"/>
  <c r="BB45" i="4"/>
  <c r="AR114" i="4"/>
  <c r="AQ116" i="4"/>
  <c r="AG81" i="4"/>
  <c r="AH45" i="4"/>
  <c r="BT134" i="4" l="1"/>
  <c r="BT127" i="4"/>
  <c r="BT140" i="4" s="1"/>
  <c r="L127" i="4"/>
  <c r="N116" i="4"/>
  <c r="L134" i="4"/>
  <c r="AP127" i="4"/>
  <c r="AR116" i="4"/>
  <c r="AP134" i="4"/>
  <c r="V138" i="4"/>
  <c r="V137" i="4"/>
  <c r="V139" i="4"/>
  <c r="V131" i="4"/>
  <c r="V140" i="4"/>
  <c r="BJ139" i="4"/>
  <c r="BJ138" i="4"/>
  <c r="BJ137" i="4"/>
  <c r="BJ140" i="4"/>
  <c r="BJ131" i="4"/>
  <c r="BJ136" i="4"/>
  <c r="AH81" i="4"/>
  <c r="AG116" i="4"/>
  <c r="B127" i="4"/>
  <c r="D116" i="4"/>
  <c r="B134" i="4"/>
  <c r="V136" i="4"/>
  <c r="V135" i="4"/>
  <c r="BB81" i="4"/>
  <c r="BA116" i="4"/>
  <c r="BT136" i="4" l="1"/>
  <c r="BT137" i="4"/>
  <c r="BT138" i="4"/>
  <c r="BT139" i="4"/>
  <c r="BT135" i="4"/>
  <c r="BT131" i="4"/>
  <c r="AH116" i="4"/>
  <c r="AF127" i="4"/>
  <c r="AF134" i="4"/>
  <c r="L139" i="4"/>
  <c r="L138" i="4"/>
  <c r="L137" i="4"/>
  <c r="L131" i="4"/>
  <c r="L140" i="4"/>
  <c r="L136" i="4"/>
  <c r="L135" i="4"/>
  <c r="AZ127" i="4"/>
  <c r="BB116" i="4"/>
  <c r="AZ134" i="4"/>
  <c r="AP139" i="4"/>
  <c r="AP137" i="4"/>
  <c r="AP138" i="4"/>
  <c r="AP131" i="4"/>
  <c r="AP136" i="4"/>
  <c r="AP135" i="4"/>
  <c r="AP140" i="4"/>
  <c r="B139" i="4"/>
  <c r="B138" i="4"/>
  <c r="B137" i="4"/>
  <c r="B140" i="4"/>
  <c r="B131" i="4"/>
  <c r="B136" i="4"/>
  <c r="B135" i="4"/>
  <c r="AF137" i="4" l="1"/>
  <c r="AF138" i="4"/>
  <c r="AF139" i="4"/>
  <c r="AF131" i="4"/>
  <c r="AF140" i="4"/>
  <c r="AF136" i="4"/>
  <c r="AF135" i="4"/>
  <c r="AZ139" i="4"/>
  <c r="AZ138" i="4"/>
  <c r="AZ137" i="4"/>
  <c r="AZ131" i="4"/>
  <c r="AZ140" i="4"/>
  <c r="AZ136" i="4"/>
  <c r="AZ135" i="4"/>
  <c r="W41" i="3" l="1"/>
  <c r="U41" i="3"/>
  <c r="S41" i="3"/>
  <c r="Q41" i="3"/>
  <c r="O41" i="3"/>
  <c r="M41" i="3"/>
  <c r="K41" i="3"/>
  <c r="I41" i="3"/>
  <c r="G41" i="3"/>
  <c r="E41" i="3"/>
  <c r="AH26" i="3"/>
  <c r="AG26" i="3"/>
  <c r="AF26" i="3"/>
  <c r="AE26" i="3"/>
  <c r="AD26" i="3"/>
  <c r="AC26" i="3"/>
  <c r="AB26" i="3"/>
  <c r="AK22" i="3"/>
  <c r="AJ22" i="3"/>
  <c r="AI22" i="3"/>
  <c r="AI25" i="3" s="1"/>
  <c r="AH22" i="3"/>
  <c r="AG22" i="3"/>
  <c r="AF22" i="3"/>
  <c r="AE22" i="3"/>
  <c r="AD22" i="3"/>
  <c r="AC22" i="3"/>
  <c r="AB22" i="3"/>
  <c r="AK25" i="3" l="1"/>
  <c r="AK24" i="3" s="1"/>
  <c r="AK26" i="3" s="1"/>
  <c r="AJ25" i="3"/>
  <c r="AJ24" i="3" s="1"/>
  <c r="AJ26" i="3" s="1"/>
  <c r="AI24" i="3"/>
  <c r="AI26" i="3" s="1"/>
  <c r="K9" i="1"/>
  <c r="K46" i="1" l="1"/>
  <c r="K52" i="1" s="1"/>
  <c r="K55" i="1" s="1"/>
  <c r="K33" i="1"/>
  <c r="K38" i="1" s="1"/>
  <c r="K7" i="1"/>
  <c r="BL31" i="2"/>
  <c r="BG31" i="2"/>
  <c r="BB31" i="2"/>
  <c r="AW31" i="2"/>
  <c r="AR31" i="2"/>
  <c r="AM31" i="2"/>
  <c r="AH31" i="2"/>
  <c r="AC31" i="2"/>
  <c r="X31" i="2"/>
  <c r="S31" i="2"/>
  <c r="N31" i="2"/>
  <c r="I31" i="2"/>
  <c r="D31" i="2"/>
  <c r="BN29" i="2"/>
  <c r="BM29" i="2"/>
  <c r="BL29" i="2"/>
  <c r="BI29" i="2"/>
  <c r="BH29" i="2"/>
  <c r="BG29" i="2"/>
  <c r="BD29" i="2"/>
  <c r="BC29" i="2"/>
  <c r="BB29" i="2"/>
  <c r="AY29" i="2"/>
  <c r="AX29" i="2"/>
  <c r="AW29" i="2"/>
  <c r="AT29" i="2"/>
  <c r="AS29" i="2"/>
  <c r="AR29" i="2"/>
  <c r="AO29" i="2"/>
  <c r="AN29" i="2"/>
  <c r="AM29" i="2"/>
  <c r="AJ29" i="2"/>
  <c r="AI29" i="2"/>
  <c r="AH29" i="2"/>
  <c r="AE29" i="2"/>
  <c r="AD29" i="2"/>
  <c r="AC29" i="2"/>
  <c r="Z29" i="2"/>
  <c r="Y29" i="2"/>
  <c r="X29" i="2"/>
  <c r="U29" i="2"/>
  <c r="T29" i="2"/>
  <c r="S29" i="2"/>
  <c r="P29" i="2"/>
  <c r="O29" i="2"/>
  <c r="N29" i="2"/>
  <c r="K29" i="2"/>
  <c r="J29" i="2"/>
  <c r="I29" i="2"/>
  <c r="F29" i="2"/>
  <c r="E29" i="2"/>
  <c r="D29" i="2"/>
  <c r="BO28" i="2"/>
  <c r="BJ28" i="2"/>
  <c r="BE28" i="2"/>
  <c r="AZ28" i="2"/>
  <c r="AU28" i="2"/>
  <c r="AP28" i="2"/>
  <c r="AK28" i="2"/>
  <c r="AF28" i="2"/>
  <c r="AA28" i="2"/>
  <c r="V28" i="2"/>
  <c r="Q28" i="2"/>
  <c r="L28" i="2"/>
  <c r="G28" i="2"/>
  <c r="BO27" i="2"/>
  <c r="BJ27" i="2"/>
  <c r="BE27" i="2"/>
  <c r="AZ27" i="2"/>
  <c r="AU27" i="2"/>
  <c r="AU29" i="2" s="1"/>
  <c r="AP27" i="2"/>
  <c r="AK27" i="2"/>
  <c r="AF27" i="2"/>
  <c r="AA27" i="2"/>
  <c r="V27" i="2"/>
  <c r="Q27" i="2"/>
  <c r="L27" i="2"/>
  <c r="L29" i="2" s="1"/>
  <c r="G27" i="2"/>
  <c r="G29" i="2" s="1"/>
  <c r="BN22" i="2"/>
  <c r="BM22" i="2"/>
  <c r="BL22" i="2"/>
  <c r="BI22" i="2"/>
  <c r="BH22" i="2"/>
  <c r="BG22" i="2"/>
  <c r="BC22" i="2"/>
  <c r="BB22" i="2"/>
  <c r="AX22" i="2"/>
  <c r="AW22" i="2"/>
  <c r="AT22" i="2"/>
  <c r="AS22" i="2"/>
  <c r="AR22" i="2"/>
  <c r="AO22" i="2"/>
  <c r="AN22" i="2"/>
  <c r="AM22" i="2"/>
  <c r="AJ22" i="2"/>
  <c r="AI22" i="2"/>
  <c r="AH22" i="2"/>
  <c r="AE22" i="2"/>
  <c r="AD22" i="2"/>
  <c r="AC22" i="2"/>
  <c r="Z22" i="2"/>
  <c r="Y22" i="2"/>
  <c r="X22" i="2"/>
  <c r="U22" i="2"/>
  <c r="T22" i="2"/>
  <c r="S22" i="2"/>
  <c r="P22" i="2"/>
  <c r="O22" i="2"/>
  <c r="N22" i="2"/>
  <c r="K22" i="2"/>
  <c r="J22" i="2"/>
  <c r="I22" i="2"/>
  <c r="F22" i="2"/>
  <c r="E22" i="2"/>
  <c r="D22" i="2"/>
  <c r="BO21" i="2"/>
  <c r="BJ21" i="2"/>
  <c r="BE21" i="2"/>
  <c r="AZ21" i="2"/>
  <c r="AU21" i="2"/>
  <c r="AP21" i="2"/>
  <c r="AK21" i="2"/>
  <c r="AF21" i="2"/>
  <c r="AA21" i="2"/>
  <c r="V21" i="2"/>
  <c r="V22" i="2" s="1"/>
  <c r="Q21" i="2"/>
  <c r="L21" i="2"/>
  <c r="G21" i="2"/>
  <c r="BO20" i="2"/>
  <c r="BJ20" i="2"/>
  <c r="BE20" i="2"/>
  <c r="AZ20" i="2"/>
  <c r="AU20" i="2"/>
  <c r="AP20" i="2"/>
  <c r="AK20" i="2"/>
  <c r="AK22" i="2" s="1"/>
  <c r="AF20" i="2"/>
  <c r="AA20" i="2"/>
  <c r="V20" i="2"/>
  <c r="Q20" i="2"/>
  <c r="L20" i="2"/>
  <c r="G20" i="2"/>
  <c r="BN18" i="2"/>
  <c r="BM18" i="2"/>
  <c r="BL18" i="2"/>
  <c r="BI18" i="2"/>
  <c r="BH18" i="2"/>
  <c r="BG18" i="2"/>
  <c r="BC18" i="2"/>
  <c r="BB18" i="2"/>
  <c r="AX18" i="2"/>
  <c r="AW18" i="2"/>
  <c r="AT18" i="2"/>
  <c r="AS18" i="2"/>
  <c r="AR18" i="2"/>
  <c r="AO18" i="2"/>
  <c r="AN18" i="2"/>
  <c r="AM18" i="2"/>
  <c r="AJ18" i="2"/>
  <c r="AI18" i="2"/>
  <c r="AH18" i="2"/>
  <c r="AE18" i="2"/>
  <c r="AD18" i="2"/>
  <c r="AC18" i="2"/>
  <c r="Z18" i="2"/>
  <c r="Y18" i="2"/>
  <c r="X18" i="2"/>
  <c r="U18" i="2"/>
  <c r="T18" i="2"/>
  <c r="S18" i="2"/>
  <c r="P18" i="2"/>
  <c r="O18" i="2"/>
  <c r="N18" i="2"/>
  <c r="K18" i="2"/>
  <c r="J18" i="2"/>
  <c r="I18" i="2"/>
  <c r="F18" i="2"/>
  <c r="E18" i="2"/>
  <c r="D18" i="2"/>
  <c r="BO17" i="2"/>
  <c r="BJ17" i="2"/>
  <c r="BE17" i="2"/>
  <c r="AZ17" i="2"/>
  <c r="AU17" i="2"/>
  <c r="AP17" i="2"/>
  <c r="AK17" i="2"/>
  <c r="AF17" i="2"/>
  <c r="AA17" i="2"/>
  <c r="V17" i="2"/>
  <c r="V18" i="2" s="1"/>
  <c r="Q17" i="2"/>
  <c r="L17" i="2"/>
  <c r="G17" i="2"/>
  <c r="BO16" i="2"/>
  <c r="BJ16" i="2"/>
  <c r="BE16" i="2"/>
  <c r="AZ16" i="2"/>
  <c r="AU16" i="2"/>
  <c r="AU18" i="2" s="1"/>
  <c r="AP16" i="2"/>
  <c r="AK16" i="2"/>
  <c r="AK18" i="2" s="1"/>
  <c r="AF16" i="2"/>
  <c r="AA16" i="2"/>
  <c r="V16" i="2"/>
  <c r="Q16" i="2"/>
  <c r="L16" i="2"/>
  <c r="G16" i="2"/>
  <c r="G18" i="2" s="1"/>
  <c r="BP9" i="2"/>
  <c r="BP13" i="2" s="1"/>
  <c r="BN9" i="2"/>
  <c r="BM9" i="2"/>
  <c r="BL9" i="2"/>
  <c r="BK9" i="2"/>
  <c r="BK13" i="2" s="1"/>
  <c r="BI9" i="2"/>
  <c r="BH9" i="2"/>
  <c r="BG9" i="2"/>
  <c r="BF9" i="2"/>
  <c r="BF13" i="2" s="1"/>
  <c r="BD9" i="2"/>
  <c r="BC9" i="2"/>
  <c r="BB9" i="2"/>
  <c r="BA9" i="2"/>
  <c r="BA13" i="2" s="1"/>
  <c r="AY9" i="2"/>
  <c r="AX9" i="2"/>
  <c r="AW9" i="2"/>
  <c r="AV9" i="2"/>
  <c r="AV13" i="2" s="1"/>
  <c r="AT9" i="2"/>
  <c r="AS9" i="2"/>
  <c r="AR9" i="2"/>
  <c r="AQ9" i="2"/>
  <c r="AQ13" i="2" s="1"/>
  <c r="AO9" i="2"/>
  <c r="AN9" i="2"/>
  <c r="AM9" i="2"/>
  <c r="AL9" i="2"/>
  <c r="AL13" i="2" s="1"/>
  <c r="AJ9" i="2"/>
  <c r="AI9" i="2"/>
  <c r="AH9" i="2"/>
  <c r="AG9" i="2"/>
  <c r="AG13" i="2" s="1"/>
  <c r="AE9" i="2"/>
  <c r="AD9" i="2"/>
  <c r="AC9" i="2"/>
  <c r="AB9" i="2"/>
  <c r="AB13" i="2" s="1"/>
  <c r="Z9" i="2"/>
  <c r="Y9" i="2"/>
  <c r="X9" i="2"/>
  <c r="W9" i="2"/>
  <c r="W13" i="2" s="1"/>
  <c r="U9" i="2"/>
  <c r="T9" i="2"/>
  <c r="S9" i="2"/>
  <c r="R9" i="2"/>
  <c r="R13" i="2" s="1"/>
  <c r="P9" i="2"/>
  <c r="O9" i="2"/>
  <c r="N9" i="2"/>
  <c r="M9" i="2"/>
  <c r="M13" i="2" s="1"/>
  <c r="K9" i="2"/>
  <c r="J9" i="2"/>
  <c r="I9" i="2"/>
  <c r="H9" i="2"/>
  <c r="H13" i="2" s="1"/>
  <c r="F9" i="2"/>
  <c r="E9" i="2"/>
  <c r="D9" i="2"/>
  <c r="BO8" i="2"/>
  <c r="BJ8" i="2"/>
  <c r="BE8" i="2"/>
  <c r="AZ8" i="2"/>
  <c r="AU8" i="2"/>
  <c r="AP8" i="2"/>
  <c r="AK8" i="2"/>
  <c r="AF8" i="2"/>
  <c r="AA8" i="2"/>
  <c r="V8" i="2"/>
  <c r="Q8" i="2"/>
  <c r="L8" i="2"/>
  <c r="G8" i="2"/>
  <c r="BO7" i="2"/>
  <c r="BO9" i="2" s="1"/>
  <c r="BJ7" i="2"/>
  <c r="BE7" i="2"/>
  <c r="AZ7" i="2"/>
  <c r="AU7" i="2"/>
  <c r="AP7" i="2"/>
  <c r="AK7" i="2"/>
  <c r="AF7" i="2"/>
  <c r="AA7" i="2"/>
  <c r="AA9" i="2" s="1"/>
  <c r="V7" i="2"/>
  <c r="Q7" i="2"/>
  <c r="L7" i="2"/>
  <c r="G7" i="2"/>
  <c r="I55" i="1"/>
  <c r="H55" i="1"/>
  <c r="H46" i="1" s="1"/>
  <c r="L52" i="1"/>
  <c r="L55" i="1" s="1"/>
  <c r="J52" i="1"/>
  <c r="J55" i="1" s="1"/>
  <c r="I52" i="1"/>
  <c r="G52" i="1"/>
  <c r="G55" i="1" s="1"/>
  <c r="L38" i="1"/>
  <c r="J38" i="1"/>
  <c r="I38" i="1"/>
  <c r="F38" i="1"/>
  <c r="E38" i="1"/>
  <c r="D38" i="1"/>
  <c r="C38" i="1"/>
  <c r="H33" i="1"/>
  <c r="H38" i="1" s="1"/>
  <c r="G33" i="1"/>
  <c r="G38" i="1" s="1"/>
  <c r="L22" i="1"/>
  <c r="K22" i="1"/>
  <c r="J22" i="1"/>
  <c r="I22" i="1"/>
  <c r="H22" i="1"/>
  <c r="G22" i="1"/>
  <c r="F22" i="1"/>
  <c r="E22" i="1"/>
  <c r="D22" i="1"/>
  <c r="C22" i="1"/>
  <c r="D13" i="1"/>
  <c r="K10" i="1"/>
  <c r="K40" i="1" s="1"/>
  <c r="F10" i="1"/>
  <c r="F13" i="1" s="1"/>
  <c r="E10" i="1"/>
  <c r="E13" i="1" s="1"/>
  <c r="D10" i="1"/>
  <c r="C10" i="1"/>
  <c r="C13" i="1" s="1"/>
  <c r="C42" i="1" s="1"/>
  <c r="C44" i="1" s="1"/>
  <c r="C50" i="1" s="1"/>
  <c r="D4" i="1" s="1"/>
  <c r="J9" i="1"/>
  <c r="J10" i="1" s="1"/>
  <c r="J40" i="1" s="1"/>
  <c r="I9" i="1"/>
  <c r="I10" i="1" s="1"/>
  <c r="I40" i="1" s="1"/>
  <c r="H9" i="1"/>
  <c r="H8" i="1" s="1"/>
  <c r="H10" i="1" s="1"/>
  <c r="H7" i="1" s="1"/>
  <c r="H13" i="1" s="1"/>
  <c r="G9" i="1"/>
  <c r="G10" i="1" s="1"/>
  <c r="J7" i="1"/>
  <c r="I7" i="1"/>
  <c r="G42" i="1" l="1"/>
  <c r="Q18" i="2"/>
  <c r="BE18" i="2"/>
  <c r="AP9" i="2"/>
  <c r="Q29" i="2"/>
  <c r="L9" i="2"/>
  <c r="L18" i="2"/>
  <c r="BO18" i="2"/>
  <c r="AA22" i="2"/>
  <c r="BO22" i="2"/>
  <c r="BE29" i="2"/>
  <c r="V9" i="2"/>
  <c r="AF22" i="2"/>
  <c r="G22" i="2"/>
  <c r="BJ18" i="2"/>
  <c r="AP22" i="2"/>
  <c r="V29" i="2"/>
  <c r="BJ29" i="2"/>
  <c r="AK9" i="2"/>
  <c r="AA18" i="2"/>
  <c r="I13" i="1"/>
  <c r="I42" i="1" s="1"/>
  <c r="D42" i="1"/>
  <c r="D44" i="1" s="1"/>
  <c r="D49" i="1" s="1"/>
  <c r="D50" i="1" s="1"/>
  <c r="E4" i="1" s="1"/>
  <c r="G9" i="2"/>
  <c r="AU9" i="2"/>
  <c r="BJ9" i="2"/>
  <c r="AF18" i="2"/>
  <c r="L22" i="2"/>
  <c r="AF29" i="2"/>
  <c r="AA29" i="2"/>
  <c r="J13" i="1"/>
  <c r="J42" i="1" s="1"/>
  <c r="E42" i="1"/>
  <c r="Q22" i="2"/>
  <c r="BE22" i="2"/>
  <c r="AK29" i="2"/>
  <c r="AU22" i="2"/>
  <c r="BO29" i="2"/>
  <c r="F42" i="1"/>
  <c r="Q9" i="2"/>
  <c r="BE9" i="2"/>
  <c r="AF9" i="2"/>
  <c r="AP18" i="2"/>
  <c r="BJ22" i="2"/>
  <c r="AP29" i="2"/>
  <c r="AZ29" i="2"/>
  <c r="AZ22" i="2"/>
  <c r="AZ18" i="2"/>
  <c r="AZ9" i="2"/>
  <c r="K13" i="1"/>
  <c r="K42" i="1" s="1"/>
  <c r="H42" i="1"/>
  <c r="G7" i="1"/>
  <c r="E44" i="1" l="1"/>
  <c r="E49" i="1" s="1"/>
  <c r="E50" i="1" s="1"/>
  <c r="F4" i="1" s="1"/>
  <c r="F44" i="1" s="1"/>
  <c r="F49" i="1" s="1"/>
  <c r="F50" i="1" s="1"/>
  <c r="G4" i="1" s="1"/>
  <c r="G44" i="1" s="1"/>
  <c r="G49" i="1" s="1"/>
  <c r="G50" i="1" s="1"/>
  <c r="H4" i="1" s="1"/>
  <c r="H44" i="1" s="1"/>
  <c r="H49" i="1" s="1"/>
  <c r="H50" i="1" s="1"/>
  <c r="I4" i="1" s="1"/>
  <c r="I44" i="1" s="1"/>
  <c r="I49" i="1" s="1"/>
  <c r="I50" i="1" s="1"/>
  <c r="J4" i="1" s="1"/>
  <c r="J44" i="1" s="1"/>
  <c r="J49" i="1" s="1"/>
  <c r="J50" i="1" s="1"/>
  <c r="K4" i="1" s="1"/>
  <c r="K44" i="1" s="1"/>
  <c r="K49" i="1" s="1"/>
  <c r="K50" i="1" s="1"/>
  <c r="L4" i="1" s="1"/>
  <c r="L10" i="1" l="1"/>
  <c r="L40" i="1" l="1"/>
  <c r="L13" i="1"/>
  <c r="L42" i="1" s="1"/>
  <c r="L44" i="1" s="1"/>
  <c r="L50" i="1" s="1"/>
  <c r="M4" i="1" s="1"/>
  <c r="M44" i="1" s="1"/>
  <c r="M50" i="1" s="1"/>
  <c r="N4" i="1" s="1"/>
  <c r="N44" i="1" s="1"/>
  <c r="N50" i="1" s="1"/>
</calcChain>
</file>

<file path=xl/sharedStrings.xml><?xml version="1.0" encoding="utf-8"?>
<sst xmlns="http://schemas.openxmlformats.org/spreadsheetml/2006/main" count="456" uniqueCount="191">
  <si>
    <t>Cash Fund Number</t>
  </si>
  <si>
    <t>NCHEMS</t>
  </si>
  <si>
    <t>Actual</t>
  </si>
  <si>
    <t>Est.</t>
  </si>
  <si>
    <t>General</t>
  </si>
  <si>
    <t>Sub-Prog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</si>
  <si>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</si>
  <si>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</si>
  <si>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</si>
  <si>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</si>
  <si>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</si>
  <si>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</si>
  <si>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</si>
  <si>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</si>
  <si>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</si>
  <si>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</si>
  <si>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</si>
  <si>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Unencumb. Bal. Forward
(Avail Balance + Neccess. Reserve)</t>
  </si>
  <si>
    <t>Tuition Income</t>
  </si>
  <si>
    <t>Gross Tuition</t>
  </si>
  <si>
    <t xml:space="preserve">  Need-based Remissions/Scholar</t>
  </si>
  <si>
    <t xml:space="preserve">  Non-need-based Remissions/Sch</t>
  </si>
  <si>
    <t xml:space="preserve">  TOTAL Remissions/Scholarships</t>
  </si>
  <si>
    <t xml:space="preserve">  Refunds</t>
  </si>
  <si>
    <t>A Subtotal--Gross Tuition Less</t>
  </si>
  <si>
    <t xml:space="preserve">   Remissions &amp; Refunds</t>
  </si>
  <si>
    <t>Student Fees</t>
  </si>
  <si>
    <t xml:space="preserve"> Late Registration</t>
  </si>
  <si>
    <t xml:space="preserve"> Change of Schedule</t>
  </si>
  <si>
    <t xml:space="preserve"> Matriculation</t>
  </si>
  <si>
    <t xml:space="preserve"> Other</t>
  </si>
  <si>
    <t xml:space="preserve"> </t>
  </si>
  <si>
    <t>Insert rows above here</t>
  </si>
  <si>
    <t>B Subtotal--Student Fees</t>
  </si>
  <si>
    <t>Other Income</t>
  </si>
  <si>
    <t xml:space="preserve"> Interest</t>
  </si>
  <si>
    <t xml:space="preserve"> Grants &amp; Contracts </t>
  </si>
  <si>
    <t xml:space="preserve"> Sales of Prop.</t>
  </si>
  <si>
    <t xml:space="preserve"> Vending Machines</t>
  </si>
  <si>
    <t xml:space="preserve"> Advertising</t>
  </si>
  <si>
    <t xml:space="preserve"> National Gd. Reim.</t>
  </si>
  <si>
    <t xml:space="preserve"> SSAP/SAP Aid</t>
  </si>
  <si>
    <t xml:space="preserve"> Local Property Tax</t>
  </si>
  <si>
    <t xml:space="preserve"> State Aid</t>
  </si>
  <si>
    <t>C Subtotal--Other Income</t>
  </si>
  <si>
    <t>D Remissions</t>
  </si>
  <si>
    <t>TOTAL Cash Revenue (Sum A..D)</t>
  </si>
  <si>
    <t>TOTAL Cash Revenue + Balance</t>
  </si>
  <si>
    <t>(Less) PCS 1-7 Cash Expenditures</t>
  </si>
  <si>
    <t>(Less) PCS 8 Cash Exp. (Optional)</t>
  </si>
  <si>
    <t>(Less) Encumb.</t>
  </si>
  <si>
    <t>(Less) Necess. Reserve</t>
  </si>
  <si>
    <t>Available Balance</t>
  </si>
  <si>
    <t xml:space="preserve">C.F. Expenditures (PCS 1-7) </t>
  </si>
  <si>
    <t>PCS 8 Expenditures (if applicable)</t>
  </si>
  <si>
    <t>Total Cash Expenditures</t>
  </si>
  <si>
    <t xml:space="preserve">  Forms/Reports 100-A, 101-A</t>
  </si>
  <si>
    <t>2012-13</t>
  </si>
  <si>
    <t>2024-25</t>
  </si>
  <si>
    <t>Select Calendar</t>
  </si>
  <si>
    <t>Unduplicated Headcount</t>
  </si>
  <si>
    <t>Student Credit Hours</t>
  </si>
  <si>
    <t>Student Contact Hours</t>
  </si>
  <si>
    <t>FTE</t>
  </si>
  <si>
    <t>Quarter</t>
  </si>
  <si>
    <t>Reimbursable for State Aid</t>
  </si>
  <si>
    <t>Undergraduate</t>
  </si>
  <si>
    <t>Resident</t>
  </si>
  <si>
    <t>Non-Resident</t>
  </si>
  <si>
    <t>Total</t>
  </si>
  <si>
    <t>Less:</t>
  </si>
  <si>
    <t>Refunds</t>
  </si>
  <si>
    <t>Remissions/Waivers</t>
  </si>
  <si>
    <t>Net Tuition Income</t>
  </si>
  <si>
    <t>Of students reported above:</t>
  </si>
  <si>
    <t>Preparatory/
Remedial</t>
  </si>
  <si>
    <t>Dual Enrollment</t>
  </si>
  <si>
    <t>Non-Reimbursable for State Aid</t>
  </si>
  <si>
    <r>
      <rPr>
        <b/>
        <sz val="11"/>
        <color theme="1"/>
        <rFont val="Arial"/>
        <family val="2"/>
      </rPr>
      <t>Reimbursable for State Aid</t>
    </r>
    <r>
      <rPr>
        <sz val="11"/>
        <color theme="1"/>
        <rFont val="Arial"/>
        <family val="2"/>
      </rPr>
      <t xml:space="preserve">
Undergraduate unduplicated headcount was amended in 2018-19 as follows:  Resident from 23,055 to 22,432 and non-Resident from 1,387 to 1,260.
</t>
    </r>
  </si>
  <si>
    <t>See 2017-18 comments.</t>
  </si>
  <si>
    <t xml:space="preserve">Unduplicated headcount for all years is only for credit hour generating  students. Con Ed installed a new system which made determining unduplicated headcount for students with contact hours difficult, so work is on-going to figure out a acceptable way to capture this information in the future. </t>
  </si>
  <si>
    <t xml:space="preserve">MCC's unduplicated headcount is for credit generating students only.  Our non-credit student data resides in a separate database and the Student ID fields are not structured the same way.  </t>
  </si>
  <si>
    <t>RATE/UNIT</t>
  </si>
  <si>
    <t>TOTAL REVENUE</t>
  </si>
  <si>
    <t>TYPE OF FEE</t>
  </si>
  <si>
    <t>REVENUE CLASS</t>
  </si>
  <si>
    <t>PCS SUB. PRO.</t>
  </si>
  <si>
    <t>Rate</t>
  </si>
  <si>
    <t>Unit</t>
  </si>
  <si>
    <t>MANDATORY FEES</t>
  </si>
  <si>
    <t>Facility Fee</t>
  </si>
  <si>
    <t>Restrct</t>
  </si>
  <si>
    <t>QCH</t>
  </si>
  <si>
    <r>
      <t>Total Mandatory Fees Revenue</t>
    </r>
    <r>
      <rPr>
        <sz val="9"/>
        <rFont val="Arial"/>
        <family val="2"/>
      </rPr>
      <t/>
    </r>
  </si>
  <si>
    <t>Resident Mandatory Fees Revenue</t>
  </si>
  <si>
    <t>Non-resident Mandatory Fees Revenue</t>
  </si>
  <si>
    <t>Total Mandatory Fees Revenue</t>
  </si>
  <si>
    <t>x</t>
  </si>
  <si>
    <t>OTHER FEES AND CHARGES</t>
  </si>
  <si>
    <t>Other</t>
  </si>
  <si>
    <t>MCC's unduplicated headcount is for credit generating students only.  Our non-credit student data resides in a separate database and the Student ID fields are not structured the same way.</t>
  </si>
  <si>
    <t>FUNDING BY SOURCE</t>
  </si>
  <si>
    <t>PROGRAM DESCRIPTION</t>
  </si>
  <si>
    <t>Headcount</t>
  </si>
  <si>
    <t>Total Value</t>
  </si>
  <si>
    <t>Average Award</t>
  </si>
  <si>
    <t>Tuition Waivers</t>
  </si>
  <si>
    <t>Institution</t>
  </si>
  <si>
    <t>State</t>
  </si>
  <si>
    <t>Federal</t>
  </si>
  <si>
    <t>Amount to Nebraska Residents</t>
  </si>
  <si>
    <t>Tuition Waivers to Nebraska Residents</t>
  </si>
  <si>
    <t>ACADEMIC AID</t>
  </si>
  <si>
    <t>(1) Need Based</t>
  </si>
  <si>
    <t>GAP Funding</t>
  </si>
  <si>
    <t>Financial Aid Payback</t>
  </si>
  <si>
    <t>Heartland CAMP</t>
  </si>
  <si>
    <t>ACE</t>
  </si>
  <si>
    <t>BOG Grant</t>
  </si>
  <si>
    <t>CACG-PLES grant</t>
  </si>
  <si>
    <t>CDL Grant-Dept of Transportation</t>
  </si>
  <si>
    <t>Community Grants</t>
  </si>
  <si>
    <t>Federal Direct Subsidized</t>
  </si>
  <si>
    <t>Federal Pell Grant</t>
  </si>
  <si>
    <t>Federal Supplemental Education Opportunity Grant (FSEOG)</t>
  </si>
  <si>
    <t>Foundation Aid (need-based)</t>
  </si>
  <si>
    <t>Foundation Private Grants Pass Thru</t>
  </si>
  <si>
    <t>Nebraska Opportunity Grant (NOG)</t>
  </si>
  <si>
    <t>Other Financial Aid Scholarships</t>
  </si>
  <si>
    <t>Re-Entry Corrections</t>
  </si>
  <si>
    <t>Reverse Transfer Grant</t>
  </si>
  <si>
    <t>Single Parent Homemaker</t>
  </si>
  <si>
    <t>TRIO-Department of Education</t>
  </si>
  <si>
    <t>Upward Bound Math and Science</t>
  </si>
  <si>
    <t>Cares Grant-Student</t>
  </si>
  <si>
    <t>Cares Grant-Institutional</t>
  </si>
  <si>
    <t>NE Work Retraining Initiative</t>
  </si>
  <si>
    <t>Career Scholarship_State of NE</t>
  </si>
  <si>
    <t>SNAP Employment and Training</t>
  </si>
  <si>
    <t>Insert rows above here by copying row above and Insert Copied Cells</t>
  </si>
  <si>
    <t xml:space="preserve">    Subtotal Need Based</t>
  </si>
  <si>
    <t>(2) Ability Based</t>
  </si>
  <si>
    <t>Board of Governor Scholarship</t>
  </si>
  <si>
    <t>Foundation Aid (merit-based)</t>
  </si>
  <si>
    <t>Other Aid</t>
  </si>
  <si>
    <t xml:space="preserve">    Subtotal Ability Based</t>
  </si>
  <si>
    <t>(3) Membership Based</t>
  </si>
  <si>
    <t>Academic Staff Waivers</t>
  </si>
  <si>
    <t>Gateway to College</t>
  </si>
  <si>
    <t>Military Reserves</t>
  </si>
  <si>
    <t>Non-Academic Staff</t>
  </si>
  <si>
    <t>Other Aid(Student Ambassador and Student Advisory Council)</t>
  </si>
  <si>
    <t>Staff Dependent Waivers</t>
  </si>
  <si>
    <t>War Orphans</t>
  </si>
  <si>
    <t>Nexus Grant</t>
  </si>
  <si>
    <t>UNMC Med Tech Pipeline Grant</t>
  </si>
  <si>
    <t xml:space="preserve">    Subtotal Membership Based</t>
  </si>
  <si>
    <t xml:space="preserve">    TOTAL ACADEMIC AID</t>
  </si>
  <si>
    <t>AID FOR SERVICE</t>
  </si>
  <si>
    <t>Work Study</t>
  </si>
  <si>
    <t xml:space="preserve">    TOTAL AID FOR SERVICE</t>
  </si>
  <si>
    <t>Federal Direct Unsubsidized</t>
  </si>
  <si>
    <t>Federal PLUS</t>
  </si>
  <si>
    <t>Other(Promotional, Credit Letters)</t>
  </si>
  <si>
    <t xml:space="preserve">    Subtotal Other Aid</t>
  </si>
  <si>
    <t xml:space="preserve">    GRAND TOTAL ACADEMIC AID, AID FOR SERVICE, OTHER AID</t>
  </si>
  <si>
    <t xml:space="preserve">     DATA CALCULATIONS</t>
  </si>
  <si>
    <t xml:space="preserve"> 1.  Total institutional headcount</t>
  </si>
  <si>
    <t>Financial Aid Payback on Need Based Academic section is the result of the federal financial aid audit.  $400,000 estimate of  penalty was accrued in fiscal year 2012 and then reversed in 2017 when the actual amount was paid to the Department of Ed in the amount of $152,355.  The result of the reversal of the accrual and the payment was a credit of $247,645 posting to the account in 2017.  The $400,000 accrual amount was used on the 2012 student financial aid report so the credit was used on this year's report.</t>
  </si>
  <si>
    <t>The total institutional headcound was amended from 24,326 to 24,836.</t>
  </si>
  <si>
    <t xml:space="preserve"> 2.  Number of students participating in financial aid programs</t>
  </si>
  <si>
    <t xml:space="preserve"> 3.  Number of students receiving more than one aid</t>
  </si>
  <si>
    <t xml:space="preserve"> 4.  % of total institutional headcount receiving aid</t>
  </si>
  <si>
    <t xml:space="preserve"> 5.  Number of Nebraska residents receiving financial aid</t>
  </si>
  <si>
    <t xml:space="preserve"> 6.  % participation by Nebraska residents</t>
  </si>
  <si>
    <t xml:space="preserve"> 7.  Total dollar value of financial aid</t>
  </si>
  <si>
    <t xml:space="preserve"> 8.  Amount received by Nebraska residents</t>
  </si>
  <si>
    <t xml:space="preserve"> 9.  Amount of Tuition Waivers received by Nebraska residents</t>
  </si>
  <si>
    <t>10.  Amount of Tuition Waivers received by non-Nebraska residents</t>
  </si>
  <si>
    <t>11.  % of total dollar amount received by Nebraska residents</t>
  </si>
  <si>
    <t>12.  Gross tuition income less refunds</t>
  </si>
  <si>
    <t>13.  % gross tuition income remitted to students</t>
  </si>
  <si>
    <t>14.  % remissions is of Grand Total of all aid</t>
  </si>
  <si>
    <t>15.  % Academic Aid is of Grand Total of all aid</t>
  </si>
  <si>
    <t>16.  % Aid for Service is of Grand Total of all aid</t>
  </si>
  <si>
    <t>17.  % Need Based Aid is of Grand Total of all aid</t>
  </si>
  <si>
    <t>18.  % Ability Based Aid is of Grand Total of all aid</t>
  </si>
  <si>
    <t>19.  % Aid Based on Membership is of Grand Total of all aid</t>
  </si>
  <si>
    <t>20. % Other Academic Aid as a Grand Total of All Aid</t>
  </si>
  <si>
    <t>Career Forward Program</t>
  </si>
  <si>
    <t>Careerers Life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</si>
</sst>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#,##0.0"/>
    <numFmt numFmtId="167" formatCode="&quot;$&quot;#,##0.00"/>
    <numFmt numFmtId="168" formatCode="0.0%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b/>
      <u/>
      <sz val="10"/>
      <name val="Arial"/>
      <family val="2"/>
    </font>
    <font>
      <sz val="11"/>
      <name val="Calibri"/>
      <family val="2"/>
      <scheme val="minor"/>
    </font>
    <font>
      <b/>
      <sz val="8"/>
      <color rgb="FFFF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u/>
      <sz val="11"/>
      <color theme="1"/>
      <name val="Arial"/>
      <family val="2"/>
    </font>
    <font>
      <sz val="11"/>
      <name val="Arial"/>
      <family val="2"/>
    </font>
    <font>
      <i/>
      <sz val="11"/>
      <color theme="1"/>
      <name val="Arial"/>
      <family val="2"/>
    </font>
    <font>
      <b/>
      <sz val="11"/>
      <color rgb="FFFF0000"/>
      <name val="Arial"/>
      <family val="2"/>
    </font>
    <font>
      <sz val="9"/>
      <name val="Arial"/>
      <family val="2"/>
    </font>
    <font>
      <sz val="11"/>
      <color theme="9" tint="-0.249977111117893"/>
      <name val="Arial"/>
      <family val="2"/>
    </font>
    <font>
      <sz val="11"/>
      <color theme="9" tint="-0.249977111117893"/>
      <name val="Calibri"/>
      <family val="2"/>
      <scheme val="minor"/>
    </font>
    <font>
      <sz val="10"/>
      <color theme="0"/>
      <name val="Arial"/>
      <family val="2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Calibri Light"/>
      <family val="1"/>
      <scheme val="major"/>
    </font>
    <font>
      <sz val="11"/>
      <color theme="1"/>
      <name val="Calibri Light"/>
      <family val="1"/>
      <scheme val="major"/>
    </font>
    <font>
      <b/>
      <sz val="14"/>
      <name val="Calibri Light"/>
      <family val="1"/>
      <scheme val="major"/>
    </font>
    <font>
      <b/>
      <sz val="14"/>
      <color theme="1"/>
      <name val="Calibri Light"/>
      <family val="1"/>
      <scheme val="major"/>
    </font>
    <font>
      <sz val="14"/>
      <color theme="1"/>
      <name val="Calibri Light"/>
      <family val="1"/>
      <scheme val="major"/>
    </font>
    <font>
      <b/>
      <sz val="10"/>
      <name val="Calibri Light"/>
      <family val="1"/>
      <scheme val="major"/>
    </font>
    <font>
      <b/>
      <sz val="10"/>
      <color theme="1"/>
      <name val="Calibri Light"/>
      <family val="1"/>
      <scheme val="major"/>
    </font>
    <font>
      <sz val="10"/>
      <color theme="1"/>
      <name val="Calibri Light"/>
      <family val="1"/>
      <scheme val="major"/>
    </font>
    <font>
      <b/>
      <u/>
      <sz val="10"/>
      <name val="Calibri Light"/>
      <family val="1"/>
      <scheme val="major"/>
    </font>
    <font>
      <sz val="10"/>
      <name val="Calibri Light"/>
      <family val="1"/>
      <scheme val="major"/>
    </font>
    <font>
      <b/>
      <sz val="10"/>
      <color rgb="FFFF0000"/>
      <name val="Calibri Light"/>
      <family val="1"/>
      <scheme val="major"/>
    </font>
    <font>
      <u/>
      <sz val="12"/>
      <name val="Calibri Light"/>
      <family val="1"/>
      <scheme val="major"/>
    </font>
    <font>
      <sz val="12"/>
      <name val="Calibri Light"/>
      <family val="1"/>
      <scheme val="major"/>
    </font>
    <font>
      <b/>
      <sz val="12"/>
      <name val="Calibri Light"/>
      <family val="1"/>
      <scheme val="major"/>
    </font>
    <font>
      <b/>
      <sz val="12"/>
      <color theme="1"/>
      <name val="Calibri Light"/>
      <family val="1"/>
      <scheme val="major"/>
    </font>
    <font>
      <sz val="12"/>
      <color theme="1"/>
      <name val="Calibri Light"/>
      <family val="1"/>
      <scheme val="major"/>
    </font>
    <font>
      <sz val="11"/>
      <name val="Calibri Light"/>
      <family val="1"/>
      <scheme val="major"/>
    </font>
    <font>
      <b/>
      <sz val="11"/>
      <color theme="1"/>
      <name val="Calibri Light"/>
      <family val="1"/>
      <scheme val="major"/>
    </font>
  </fonts>
  <fills count="31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65"/>
        <bgColor indexed="9"/>
      </patternFill>
    </fill>
    <fill>
      <patternFill patternType="solid">
        <fgColor rgb="FFE4DFEC"/>
        <bgColor rgb="FFFFFFFF"/>
      </patternFill>
    </fill>
    <fill>
      <patternFill patternType="solid">
        <fgColor rgb="FFF2DCDB"/>
        <bgColor rgb="FFFFFFFF"/>
      </patternFill>
    </fill>
    <fill>
      <patternFill patternType="solid">
        <fgColor rgb="FFDDD9C4"/>
        <bgColor rgb="FFFFFFFF"/>
      </patternFill>
    </fill>
    <fill>
      <patternFill patternType="solid">
        <fgColor rgb="FFC5D9F1"/>
        <bgColor rgb="FFFFFFFF"/>
      </patternFill>
    </fill>
    <fill>
      <patternFill patternType="solid">
        <fgColor rgb="FFEBF1DE"/>
        <bgColor rgb="FFFFFFFF"/>
      </patternFill>
    </fill>
    <fill>
      <patternFill patternType="solid">
        <fgColor rgb="FFFDE9D9"/>
        <bgColor rgb="FFFFFFFF"/>
      </patternFill>
    </fill>
    <fill>
      <patternFill patternType="solid">
        <fgColor theme="9" tint="0.59999389629810485"/>
        <bgColor rgb="FFFFFFFF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5" tint="0.79998168889431442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2DCDB"/>
        <bgColor rgb="FF000000"/>
      </patternFill>
    </fill>
    <fill>
      <patternFill patternType="solid">
        <fgColor rgb="FFDDD9C4"/>
        <bgColor rgb="FF000000"/>
      </patternFill>
    </fill>
    <fill>
      <patternFill patternType="solid">
        <fgColor rgb="FFC5D9F1"/>
        <bgColor rgb="FF000000"/>
      </patternFill>
    </fill>
    <fill>
      <patternFill patternType="solid">
        <fgColor rgb="FFEBF1DE"/>
        <bgColor rgb="FF000000"/>
      </patternFill>
    </fill>
    <fill>
      <patternFill patternType="solid">
        <fgColor rgb="FFFDE9D9"/>
        <bgColor rgb="FF000000"/>
      </patternFill>
    </fill>
    <fill>
      <patternFill patternType="solid">
        <fgColor rgb="FFE4DFEC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rgb="FFFFFFFF"/>
      </patternFill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</cellStyleXfs>
  <cellXfs count="527">
    <xf numFmtId="0" fontId="0" fillId="0" borderId="0" xfId="0"/>
    <xf numFmtId="0" fontId="0" fillId="2" borderId="0" xfId="0" applyFill="1"/>
    <xf numFmtId="0" fontId="0" fillId="2" borderId="1" xfId="0" applyFill="1" applyBorder="1"/>
    <xf numFmtId="0" fontId="4" fillId="2" borderId="0" xfId="0" applyFont="1" applyFill="1" applyBorder="1"/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4" fillId="2" borderId="3" xfId="0" applyFont="1" applyFill="1" applyBorder="1" applyAlignment="1">
      <alignment vertical="top" wrapText="1"/>
    </xf>
    <xf numFmtId="0" fontId="0" fillId="2" borderId="3" xfId="0" applyFill="1" applyBorder="1"/>
    <xf numFmtId="164" fontId="0" fillId="2" borderId="3" xfId="1" applyNumberFormat="1" applyFont="1" applyFill="1" applyBorder="1"/>
    <xf numFmtId="0" fontId="5" fillId="2" borderId="3" xfId="0" applyFont="1" applyFill="1" applyBorder="1"/>
    <xf numFmtId="0" fontId="4" fillId="2" borderId="3" xfId="0" applyFont="1" applyFill="1" applyBorder="1"/>
    <xf numFmtId="0" fontId="0" fillId="2" borderId="3" xfId="0" applyFill="1" applyBorder="1" applyProtection="1">
      <protection locked="0"/>
    </xf>
    <xf numFmtId="164" fontId="0" fillId="2" borderId="3" xfId="1" applyNumberFormat="1" applyFont="1" applyFill="1" applyBorder="1" applyProtection="1">
      <protection locked="0"/>
    </xf>
    <xf numFmtId="164" fontId="6" fillId="2" borderId="3" xfId="1" applyNumberFormat="1" applyFont="1" applyFill="1" applyBorder="1" applyProtection="1">
      <protection locked="0"/>
    </xf>
    <xf numFmtId="164" fontId="6" fillId="0" borderId="3" xfId="1" applyNumberFormat="1" applyFont="1" applyFill="1" applyBorder="1" applyProtection="1">
      <protection locked="0"/>
    </xf>
    <xf numFmtId="0" fontId="4" fillId="2" borderId="7" xfId="0" applyFont="1" applyFill="1" applyBorder="1"/>
    <xf numFmtId="0" fontId="0" fillId="2" borderId="7" xfId="0" applyFill="1" applyBorder="1" applyProtection="1">
      <protection locked="0"/>
    </xf>
    <xf numFmtId="164" fontId="6" fillId="2" borderId="7" xfId="1" applyNumberFormat="1" applyFont="1" applyFill="1" applyBorder="1" applyProtection="1">
      <protection locked="0"/>
    </xf>
    <xf numFmtId="164" fontId="6" fillId="0" borderId="7" xfId="1" applyNumberFormat="1" applyFont="1" applyFill="1" applyBorder="1" applyProtection="1">
      <protection locked="0"/>
    </xf>
    <xf numFmtId="164" fontId="6" fillId="2" borderId="3" xfId="1" applyNumberFormat="1" applyFont="1" applyFill="1" applyBorder="1"/>
    <xf numFmtId="0" fontId="4" fillId="2" borderId="6" xfId="0" applyFont="1" applyFill="1" applyBorder="1"/>
    <xf numFmtId="0" fontId="0" fillId="2" borderId="6" xfId="0" applyFill="1" applyBorder="1" applyProtection="1">
      <protection locked="0"/>
    </xf>
    <xf numFmtId="164" fontId="6" fillId="2" borderId="6" xfId="1" applyNumberFormat="1" applyFont="1" applyFill="1" applyBorder="1" applyProtection="1">
      <protection locked="0"/>
    </xf>
    <xf numFmtId="0" fontId="4" fillId="2" borderId="3" xfId="0" applyFont="1" applyFill="1" applyBorder="1" applyProtection="1">
      <protection locked="0"/>
    </xf>
    <xf numFmtId="0" fontId="0" fillId="2" borderId="0" xfId="0" applyFill="1" applyProtection="1">
      <protection locked="0"/>
    </xf>
    <xf numFmtId="0" fontId="7" fillId="0" borderId="5" xfId="0" applyFont="1" applyFill="1" applyBorder="1" applyAlignment="1" applyProtection="1">
      <alignment horizontal="left" indent="1"/>
    </xf>
    <xf numFmtId="164" fontId="0" fillId="2" borderId="6" xfId="1" applyNumberFormat="1" applyFont="1" applyFill="1" applyBorder="1"/>
    <xf numFmtId="164" fontId="0" fillId="2" borderId="0" xfId="1" applyNumberFormat="1" applyFont="1" applyFill="1"/>
    <xf numFmtId="164" fontId="0" fillId="2" borderId="8" xfId="1" applyNumberFormat="1" applyFont="1" applyFill="1" applyBorder="1"/>
    <xf numFmtId="164" fontId="0" fillId="2" borderId="9" xfId="1" applyNumberFormat="1" applyFont="1" applyFill="1" applyBorder="1"/>
    <xf numFmtId="0" fontId="4" fillId="2" borderId="3" xfId="0" applyFont="1" applyFill="1" applyBorder="1" applyAlignment="1" applyProtection="1">
      <alignment horizontal="left" indent="1"/>
      <protection locked="0"/>
    </xf>
    <xf numFmtId="0" fontId="4" fillId="2" borderId="1" xfId="0" applyFont="1" applyFill="1" applyBorder="1"/>
    <xf numFmtId="164" fontId="0" fillId="2" borderId="10" xfId="1" applyNumberFormat="1" applyFont="1" applyFill="1" applyBorder="1" applyProtection="1">
      <protection locked="0"/>
    </xf>
    <xf numFmtId="164" fontId="6" fillId="2" borderId="10" xfId="1" applyNumberFormat="1" applyFont="1" applyFill="1" applyBorder="1" applyProtection="1">
      <protection locked="0"/>
    </xf>
    <xf numFmtId="164" fontId="6" fillId="2" borderId="5" xfId="1" applyNumberFormat="1" applyFont="1" applyFill="1" applyBorder="1" applyProtection="1">
      <protection locked="0"/>
    </xf>
    <xf numFmtId="0" fontId="0" fillId="2" borderId="6" xfId="0" applyFill="1" applyBorder="1"/>
    <xf numFmtId="164" fontId="1" fillId="2" borderId="6" xfId="0" applyNumberFormat="1" applyFont="1" applyFill="1" applyBorder="1"/>
    <xf numFmtId="164" fontId="1" fillId="2" borderId="3" xfId="0" applyNumberFormat="1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164" fontId="1" fillId="2" borderId="6" xfId="0" applyNumberFormat="1" applyFont="1" applyFill="1" applyBorder="1" applyProtection="1">
      <protection locked="0"/>
    </xf>
    <xf numFmtId="0" fontId="0" fillId="2" borderId="0" xfId="0" applyFill="1" applyBorder="1"/>
    <xf numFmtId="164" fontId="0" fillId="2" borderId="0" xfId="0" applyNumberFormat="1" applyFill="1"/>
    <xf numFmtId="0" fontId="8" fillId="0" borderId="0" xfId="0" applyFont="1" applyFill="1" applyBorder="1" applyProtection="1"/>
    <xf numFmtId="165" fontId="8" fillId="0" borderId="0" xfId="0" applyNumberFormat="1" applyFont="1" applyFill="1" applyBorder="1" applyProtection="1"/>
    <xf numFmtId="0" fontId="9" fillId="0" borderId="0" xfId="0" applyFont="1" applyFill="1" applyBorder="1" applyProtection="1"/>
    <xf numFmtId="0" fontId="11" fillId="12" borderId="0" xfId="0" applyFont="1" applyFill="1" applyProtection="1"/>
    <xf numFmtId="0" fontId="12" fillId="0" borderId="0" xfId="0" applyFont="1" applyProtection="1"/>
    <xf numFmtId="0" fontId="12" fillId="12" borderId="16" xfId="0" applyFont="1" applyFill="1" applyBorder="1" applyProtection="1"/>
    <xf numFmtId="0" fontId="12" fillId="2" borderId="0" xfId="0" applyFont="1" applyFill="1" applyProtection="1"/>
    <xf numFmtId="0" fontId="10" fillId="2" borderId="0" xfId="0" applyFont="1" applyFill="1" applyBorder="1" applyProtection="1"/>
    <xf numFmtId="0" fontId="10" fillId="2" borderId="1" xfId="0" applyFont="1" applyFill="1" applyBorder="1" applyProtection="1"/>
    <xf numFmtId="0" fontId="13" fillId="0" borderId="21" xfId="0" applyFont="1" applyFill="1" applyBorder="1" applyAlignment="1" applyProtection="1">
      <alignment horizontal="left" vertical="center"/>
    </xf>
    <xf numFmtId="0" fontId="10" fillId="0" borderId="0" xfId="0" applyFont="1" applyFill="1" applyBorder="1" applyProtection="1"/>
    <xf numFmtId="3" fontId="12" fillId="0" borderId="22" xfId="0" applyNumberFormat="1" applyFont="1" applyFill="1" applyBorder="1" applyProtection="1"/>
    <xf numFmtId="166" fontId="12" fillId="0" borderId="0" xfId="0" applyNumberFormat="1" applyFont="1" applyFill="1" applyBorder="1" applyProtection="1"/>
    <xf numFmtId="165" fontId="12" fillId="0" borderId="23" xfId="1" applyNumberFormat="1" applyFont="1" applyFill="1" applyBorder="1" applyProtection="1"/>
    <xf numFmtId="0" fontId="12" fillId="2" borderId="24" xfId="0" applyFont="1" applyFill="1" applyBorder="1" applyProtection="1"/>
    <xf numFmtId="3" fontId="12" fillId="0" borderId="25" xfId="1" applyNumberFormat="1" applyFont="1" applyFill="1" applyBorder="1" applyProtection="1"/>
    <xf numFmtId="166" fontId="12" fillId="0" borderId="26" xfId="1" applyNumberFormat="1" applyFont="1" applyFill="1" applyBorder="1" applyProtection="1"/>
    <xf numFmtId="166" fontId="12" fillId="13" borderId="26" xfId="0" applyNumberFormat="1" applyFont="1" applyFill="1" applyBorder="1" applyProtection="1"/>
    <xf numFmtId="165" fontId="12" fillId="0" borderId="24" xfId="1" applyNumberFormat="1" applyFont="1" applyFill="1" applyBorder="1" applyProtection="1"/>
    <xf numFmtId="3" fontId="12" fillId="0" borderId="26" xfId="1" applyNumberFormat="1" applyFont="1" applyFill="1" applyBorder="1" applyProtection="1"/>
    <xf numFmtId="3" fontId="12" fillId="0" borderId="27" xfId="0" applyNumberFormat="1" applyFont="1" applyFill="1" applyBorder="1" applyProtection="1"/>
    <xf numFmtId="166" fontId="12" fillId="0" borderId="26" xfId="0" applyNumberFormat="1" applyFont="1" applyFill="1" applyBorder="1" applyProtection="1"/>
    <xf numFmtId="3" fontId="12" fillId="0" borderId="27" xfId="0" applyNumberFormat="1" applyFont="1" applyFill="1" applyBorder="1" applyProtection="1">
      <protection locked="0"/>
    </xf>
    <xf numFmtId="166" fontId="12" fillId="0" borderId="26" xfId="0" applyNumberFormat="1" applyFont="1" applyFill="1" applyBorder="1" applyProtection="1">
      <protection locked="0"/>
    </xf>
    <xf numFmtId="165" fontId="12" fillId="0" borderId="24" xfId="1" applyNumberFormat="1" applyFont="1" applyFill="1" applyBorder="1" applyProtection="1">
      <protection locked="0"/>
    </xf>
    <xf numFmtId="0" fontId="10" fillId="2" borderId="21" xfId="0" applyFont="1" applyFill="1" applyBorder="1" applyProtection="1"/>
    <xf numFmtId="3" fontId="12" fillId="13" borderId="27" xfId="0" applyNumberFormat="1" applyFont="1" applyFill="1" applyBorder="1" applyProtection="1"/>
    <xf numFmtId="166" fontId="12" fillId="13" borderId="21" xfId="0" applyNumberFormat="1" applyFont="1" applyFill="1" applyBorder="1" applyProtection="1"/>
    <xf numFmtId="165" fontId="12" fillId="13" borderId="24" xfId="0" applyNumberFormat="1" applyFont="1" applyFill="1" applyBorder="1" applyProtection="1"/>
    <xf numFmtId="0" fontId="14" fillId="0" borderId="0" xfId="0" applyFont="1" applyFill="1" applyBorder="1" applyProtection="1"/>
    <xf numFmtId="0" fontId="12" fillId="0" borderId="0" xfId="0" applyFont="1" applyFill="1" applyBorder="1" applyProtection="1"/>
    <xf numFmtId="165" fontId="12" fillId="0" borderId="0" xfId="0" applyNumberFormat="1" applyFont="1" applyFill="1" applyBorder="1" applyProtection="1"/>
    <xf numFmtId="3" fontId="12" fillId="0" borderId="0" xfId="0" applyNumberFormat="1" applyFont="1" applyFill="1" applyBorder="1" applyProtection="1"/>
    <xf numFmtId="165" fontId="12" fillId="0" borderId="23" xfId="0" applyNumberFormat="1" applyFont="1" applyFill="1" applyBorder="1" applyProtection="1"/>
    <xf numFmtId="166" fontId="15" fillId="0" borderId="0" xfId="0" applyNumberFormat="1" applyFont="1" applyFill="1" applyBorder="1" applyAlignment="1" applyProtection="1">
      <alignment vertical="center"/>
    </xf>
    <xf numFmtId="165" fontId="15" fillId="0" borderId="23" xfId="0" applyNumberFormat="1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left" indent="2"/>
    </xf>
    <xf numFmtId="165" fontId="12" fillId="0" borderId="26" xfId="0" applyNumberFormat="1" applyFont="1" applyFill="1" applyBorder="1" applyProtection="1"/>
    <xf numFmtId="165" fontId="12" fillId="0" borderId="24" xfId="0" applyNumberFormat="1" applyFont="1" applyFill="1" applyBorder="1" applyProtection="1"/>
    <xf numFmtId="165" fontId="12" fillId="0" borderId="24" xfId="0" applyNumberFormat="1" applyFont="1" applyFill="1" applyBorder="1" applyProtection="1">
      <protection locked="0"/>
    </xf>
    <xf numFmtId="0" fontId="12" fillId="0" borderId="0" xfId="0" applyFont="1" applyFill="1" applyProtection="1"/>
    <xf numFmtId="3" fontId="12" fillId="0" borderId="22" xfId="0" applyNumberFormat="1" applyFont="1" applyBorder="1" applyProtection="1"/>
    <xf numFmtId="0" fontId="12" fillId="0" borderId="0" xfId="0" applyFont="1" applyBorder="1" applyProtection="1"/>
    <xf numFmtId="165" fontId="12" fillId="0" borderId="0" xfId="0" applyNumberFormat="1" applyFont="1" applyBorder="1" applyProtection="1"/>
    <xf numFmtId="3" fontId="12" fillId="0" borderId="0" xfId="0" applyNumberFormat="1" applyFont="1" applyBorder="1" applyProtection="1"/>
    <xf numFmtId="165" fontId="12" fillId="0" borderId="23" xfId="0" applyNumberFormat="1" applyFont="1" applyBorder="1" applyProtection="1"/>
    <xf numFmtId="166" fontId="12" fillId="0" borderId="0" xfId="0" applyNumberFormat="1" applyFont="1" applyBorder="1" applyProtection="1"/>
    <xf numFmtId="165" fontId="12" fillId="14" borderId="26" xfId="0" applyNumberFormat="1" applyFont="1" applyFill="1" applyBorder="1" applyProtection="1"/>
    <xf numFmtId="165" fontId="12" fillId="14" borderId="24" xfId="0" applyNumberFormat="1" applyFont="1" applyFill="1" applyBorder="1" applyProtection="1"/>
    <xf numFmtId="166" fontId="12" fillId="14" borderId="26" xfId="0" applyNumberFormat="1" applyFont="1" applyFill="1" applyBorder="1" applyProtection="1"/>
    <xf numFmtId="3" fontId="12" fillId="0" borderId="25" xfId="0" applyNumberFormat="1" applyFont="1" applyFill="1" applyBorder="1" applyProtection="1"/>
    <xf numFmtId="0" fontId="10" fillId="2" borderId="24" xfId="0" applyFont="1" applyFill="1" applyBorder="1" applyProtection="1"/>
    <xf numFmtId="3" fontId="12" fillId="13" borderId="25" xfId="0" applyNumberFormat="1" applyFont="1" applyFill="1" applyBorder="1" applyProtection="1"/>
    <xf numFmtId="0" fontId="12" fillId="0" borderId="28" xfId="0" applyFont="1" applyFill="1" applyBorder="1" applyProtection="1"/>
    <xf numFmtId="0" fontId="12" fillId="0" borderId="23" xfId="0" applyFont="1" applyFill="1" applyBorder="1" applyProtection="1"/>
    <xf numFmtId="3" fontId="12" fillId="0" borderId="28" xfId="0" applyNumberFormat="1" applyFont="1" applyFill="1" applyBorder="1" applyProtection="1"/>
    <xf numFmtId="165" fontId="12" fillId="0" borderId="28" xfId="0" applyNumberFormat="1" applyFont="1" applyFill="1" applyBorder="1" applyProtection="1"/>
    <xf numFmtId="3" fontId="12" fillId="0" borderId="29" xfId="0" applyNumberFormat="1" applyFont="1" applyFill="1" applyBorder="1" applyProtection="1"/>
    <xf numFmtId="165" fontId="12" fillId="0" borderId="30" xfId="0" applyNumberFormat="1" applyFont="1" applyFill="1" applyBorder="1" applyProtection="1"/>
    <xf numFmtId="166" fontId="12" fillId="0" borderId="28" xfId="0" applyNumberFormat="1" applyFont="1" applyFill="1" applyBorder="1" applyProtection="1"/>
    <xf numFmtId="0" fontId="12" fillId="2" borderId="0" xfId="0" applyFont="1" applyFill="1" applyBorder="1" applyAlignment="1" applyProtection="1">
      <alignment horizontal="center" vertical="center"/>
    </xf>
    <xf numFmtId="0" fontId="10" fillId="2" borderId="23" xfId="0" applyFont="1" applyFill="1" applyBorder="1" applyProtection="1"/>
    <xf numFmtId="0" fontId="12" fillId="15" borderId="0" xfId="0" applyFont="1" applyFill="1" applyBorder="1" applyProtection="1"/>
    <xf numFmtId="3" fontId="12" fillId="15" borderId="0" xfId="0" applyNumberFormat="1" applyFont="1" applyFill="1" applyBorder="1" applyProtection="1"/>
    <xf numFmtId="165" fontId="12" fillId="15" borderId="0" xfId="0" applyNumberFormat="1" applyFont="1" applyFill="1" applyBorder="1" applyProtection="1"/>
    <xf numFmtId="166" fontId="12" fillId="15" borderId="0" xfId="0" applyNumberFormat="1" applyFont="1" applyFill="1" applyBorder="1" applyProtection="1"/>
    <xf numFmtId="166" fontId="12" fillId="2" borderId="0" xfId="0" applyNumberFormat="1" applyFont="1" applyFill="1" applyBorder="1" applyProtection="1"/>
    <xf numFmtId="0" fontId="10" fillId="0" borderId="28" xfId="0" applyFont="1" applyFill="1" applyBorder="1" applyProtection="1"/>
    <xf numFmtId="165" fontId="12" fillId="0" borderId="30" xfId="1" applyNumberFormat="1" applyFont="1" applyFill="1" applyBorder="1" applyProtection="1"/>
    <xf numFmtId="165" fontId="12" fillId="0" borderId="25" xfId="1" applyNumberFormat="1" applyFont="1" applyFill="1" applyBorder="1" applyProtection="1"/>
    <xf numFmtId="0" fontId="12" fillId="2" borderId="21" xfId="0" applyFont="1" applyFill="1" applyBorder="1" applyProtection="1"/>
    <xf numFmtId="165" fontId="12" fillId="0" borderId="0" xfId="0" applyNumberFormat="1" applyFont="1" applyProtection="1"/>
    <xf numFmtId="0" fontId="11" fillId="0" borderId="0" xfId="0" applyFont="1" applyProtection="1"/>
    <xf numFmtId="0" fontId="11" fillId="0" borderId="0" xfId="0" applyFont="1" applyFill="1" applyProtection="1"/>
    <xf numFmtId="165" fontId="11" fillId="0" borderId="0" xfId="0" applyNumberFormat="1" applyFont="1" applyProtection="1"/>
    <xf numFmtId="0" fontId="0" fillId="2" borderId="0" xfId="0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wrapText="1"/>
    </xf>
    <xf numFmtId="0" fontId="4" fillId="2" borderId="23" xfId="0" applyFont="1" applyFill="1" applyBorder="1" applyAlignment="1" applyProtection="1">
      <alignment horizontal="center" wrapText="1"/>
    </xf>
    <xf numFmtId="0" fontId="4" fillId="0" borderId="33" xfId="0" applyFont="1" applyFill="1" applyBorder="1" applyAlignment="1" applyProtection="1">
      <alignment horizontal="center" vertical="center" wrapText="1"/>
    </xf>
    <xf numFmtId="0" fontId="0" fillId="2" borderId="22" xfId="0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horizontal="center"/>
    </xf>
    <xf numFmtId="0" fontId="4" fillId="3" borderId="33" xfId="0" applyFont="1" applyFill="1" applyBorder="1" applyAlignment="1" applyProtection="1">
      <alignment horizontal="center"/>
    </xf>
    <xf numFmtId="0" fontId="0" fillId="2" borderId="31" xfId="0" applyFill="1" applyBorder="1" applyAlignment="1" applyProtection="1">
      <alignment wrapText="1"/>
    </xf>
    <xf numFmtId="0" fontId="4" fillId="3" borderId="31" xfId="0" applyFont="1" applyFill="1" applyBorder="1" applyProtection="1"/>
    <xf numFmtId="0" fontId="4" fillId="3" borderId="32" xfId="0" applyFont="1" applyFill="1" applyBorder="1" applyProtection="1"/>
    <xf numFmtId="0" fontId="0" fillId="2" borderId="22" xfId="0" applyFill="1" applyBorder="1" applyProtection="1"/>
    <xf numFmtId="0" fontId="0" fillId="2" borderId="0" xfId="0" applyFill="1" applyBorder="1" applyProtection="1"/>
    <xf numFmtId="0" fontId="10" fillId="2" borderId="34" xfId="0" applyFont="1" applyFill="1" applyBorder="1" applyAlignment="1" applyProtection="1">
      <alignment horizontal="center" vertical="center" wrapText="1"/>
    </xf>
    <xf numFmtId="0" fontId="4" fillId="2" borderId="35" xfId="0" applyFont="1" applyFill="1" applyBorder="1" applyAlignment="1" applyProtection="1">
      <alignment horizontal="center" vertical="center" wrapText="1"/>
    </xf>
    <xf numFmtId="0" fontId="4" fillId="2" borderId="36" xfId="0" applyFont="1" applyFill="1" applyBorder="1" applyAlignment="1" applyProtection="1">
      <alignment horizontal="center" vertical="center" wrapText="1"/>
    </xf>
    <xf numFmtId="0" fontId="4" fillId="16" borderId="34" xfId="0" applyFont="1" applyFill="1" applyBorder="1" applyAlignment="1" applyProtection="1">
      <alignment horizontal="center" vertical="center" wrapText="1"/>
    </xf>
    <xf numFmtId="0" fontId="4" fillId="16" borderId="35" xfId="0" applyFont="1" applyFill="1" applyBorder="1" applyAlignment="1" applyProtection="1">
      <alignment horizontal="center" vertical="center" wrapText="1"/>
    </xf>
    <xf numFmtId="167" fontId="4" fillId="16" borderId="35" xfId="0" applyNumberFormat="1" applyFont="1" applyFill="1" applyBorder="1" applyAlignment="1" applyProtection="1">
      <alignment horizontal="center" vertical="center" wrapText="1"/>
    </xf>
    <xf numFmtId="0" fontId="4" fillId="3" borderId="35" xfId="0" applyFont="1" applyFill="1" applyBorder="1" applyAlignment="1" applyProtection="1">
      <alignment horizontal="center" vertical="center" wrapText="1"/>
    </xf>
    <xf numFmtId="0" fontId="4" fillId="3" borderId="36" xfId="0" applyFont="1" applyFill="1" applyBorder="1" applyAlignment="1" applyProtection="1">
      <alignment horizontal="center" vertical="center" wrapText="1"/>
    </xf>
    <xf numFmtId="0" fontId="4" fillId="3" borderId="33" xfId="0" applyFont="1" applyFill="1" applyBorder="1" applyAlignment="1" applyProtection="1">
      <alignment horizontal="center" vertical="center" wrapText="1"/>
    </xf>
    <xf numFmtId="0" fontId="4" fillId="17" borderId="16" xfId="0" applyFont="1" applyFill="1" applyBorder="1" applyAlignment="1" applyProtection="1">
      <alignment horizontal="center" vertical="center" wrapText="1"/>
    </xf>
    <xf numFmtId="0" fontId="4" fillId="18" borderId="16" xfId="0" applyFont="1" applyFill="1" applyBorder="1" applyAlignment="1" applyProtection="1">
      <alignment horizontal="center" vertical="center" wrapText="1"/>
    </xf>
    <xf numFmtId="0" fontId="4" fillId="19" borderId="16" xfId="0" applyFont="1" applyFill="1" applyBorder="1" applyAlignment="1" applyProtection="1">
      <alignment horizontal="center" vertical="center" wrapText="1"/>
    </xf>
    <xf numFmtId="0" fontId="4" fillId="20" borderId="16" xfId="0" applyFont="1" applyFill="1" applyBorder="1" applyAlignment="1" applyProtection="1">
      <alignment horizontal="center" vertical="center" wrapText="1"/>
    </xf>
    <xf numFmtId="0" fontId="4" fillId="21" borderId="16" xfId="0" applyFont="1" applyFill="1" applyBorder="1" applyAlignment="1" applyProtection="1">
      <alignment horizontal="center" vertical="center" wrapText="1"/>
    </xf>
    <xf numFmtId="0" fontId="4" fillId="22" borderId="16" xfId="0" applyFont="1" applyFill="1" applyBorder="1" applyAlignment="1" applyProtection="1">
      <alignment horizontal="center" vertical="center" wrapText="1"/>
    </xf>
    <xf numFmtId="0" fontId="0" fillId="2" borderId="0" xfId="0" applyFill="1" applyBorder="1" applyAlignment="1" applyProtection="1">
      <alignment horizontal="center" vertical="center" wrapText="1"/>
    </xf>
    <xf numFmtId="0" fontId="0" fillId="2" borderId="0" xfId="0" applyFill="1" applyBorder="1" applyAlignment="1" applyProtection="1">
      <alignment horizontal="center" vertical="center"/>
    </xf>
    <xf numFmtId="0" fontId="10" fillId="0" borderId="37" xfId="0" applyFont="1" applyFill="1" applyBorder="1" applyAlignment="1" applyProtection="1"/>
    <xf numFmtId="0" fontId="14" fillId="0" borderId="0" xfId="0" applyFont="1" applyFill="1" applyBorder="1" applyAlignment="1" applyProtection="1"/>
    <xf numFmtId="0" fontId="14" fillId="0" borderId="0" xfId="0" applyFont="1" applyFill="1" applyBorder="1" applyAlignment="1" applyProtection="1">
      <alignment horizontal="center"/>
    </xf>
    <xf numFmtId="4" fontId="14" fillId="0" borderId="10" xfId="0" applyNumberFormat="1" applyFont="1" applyFill="1" applyBorder="1" applyAlignment="1" applyProtection="1"/>
    <xf numFmtId="0" fontId="14" fillId="0" borderId="1" xfId="0" applyFont="1" applyFill="1" applyBorder="1" applyAlignment="1" applyProtection="1"/>
    <xf numFmtId="4" fontId="14" fillId="0" borderId="37" xfId="0" applyNumberFormat="1" applyFont="1" applyFill="1" applyBorder="1" applyAlignment="1" applyProtection="1"/>
    <xf numFmtId="0" fontId="14" fillId="0" borderId="6" xfId="0" applyFont="1" applyFill="1" applyBorder="1" applyAlignment="1" applyProtection="1"/>
    <xf numFmtId="4" fontId="14" fillId="0" borderId="1" xfId="0" applyNumberFormat="1" applyFont="1" applyFill="1" applyBorder="1" applyAlignment="1" applyProtection="1"/>
    <xf numFmtId="4" fontId="14" fillId="0" borderId="38" xfId="0" applyNumberFormat="1" applyFont="1" applyFill="1" applyBorder="1" applyAlignment="1" applyProtection="1"/>
    <xf numFmtId="4" fontId="14" fillId="0" borderId="6" xfId="0" applyNumberFormat="1" applyFont="1" applyFill="1" applyBorder="1" applyAlignment="1" applyProtection="1"/>
    <xf numFmtId="0" fontId="0" fillId="0" borderId="0" xfId="0" applyFill="1" applyBorder="1" applyProtection="1"/>
    <xf numFmtId="0" fontId="14" fillId="0" borderId="26" xfId="0" applyFont="1" applyFill="1" applyBorder="1" applyAlignment="1" applyProtection="1"/>
    <xf numFmtId="0" fontId="14" fillId="0" borderId="26" xfId="0" applyFont="1" applyFill="1" applyBorder="1" applyAlignment="1" applyProtection="1">
      <alignment horizontal="center"/>
    </xf>
    <xf numFmtId="167" fontId="14" fillId="0" borderId="26" xfId="0" applyNumberFormat="1" applyFont="1" applyFill="1" applyBorder="1" applyAlignment="1" applyProtection="1">
      <alignment horizontal="right" indent="1"/>
    </xf>
    <xf numFmtId="167" fontId="14" fillId="0" borderId="26" xfId="0" applyNumberFormat="1" applyFont="1" applyFill="1" applyBorder="1" applyAlignment="1" applyProtection="1">
      <alignment horizontal="right" indent="1"/>
      <protection locked="0"/>
    </xf>
    <xf numFmtId="0" fontId="14" fillId="0" borderId="26" xfId="0" applyFont="1" applyFill="1" applyBorder="1" applyAlignment="1" applyProtection="1">
      <protection locked="0"/>
    </xf>
    <xf numFmtId="0" fontId="14" fillId="0" borderId="9" xfId="0" applyFont="1" applyFill="1" applyBorder="1" applyAlignment="1" applyProtection="1"/>
    <xf numFmtId="165" fontId="14" fillId="0" borderId="26" xfId="0" applyNumberFormat="1" applyFont="1" applyFill="1" applyBorder="1" applyAlignment="1" applyProtection="1"/>
    <xf numFmtId="165" fontId="14" fillId="0" borderId="26" xfId="0" applyNumberFormat="1" applyFont="1" applyFill="1" applyBorder="1" applyAlignment="1" applyProtection="1">
      <protection locked="0"/>
    </xf>
    <xf numFmtId="0" fontId="14" fillId="0" borderId="26" xfId="0" applyFont="1" applyFill="1" applyBorder="1" applyAlignment="1" applyProtection="1">
      <alignment horizontal="center"/>
      <protection locked="0"/>
    </xf>
    <xf numFmtId="0" fontId="14" fillId="0" borderId="26" xfId="0" applyFont="1" applyFill="1" applyBorder="1" applyAlignment="1" applyProtection="1">
      <alignment horizontal="left" indent="1"/>
      <protection locked="0"/>
    </xf>
    <xf numFmtId="0" fontId="7" fillId="0" borderId="26" xfId="0" applyFont="1" applyFill="1" applyBorder="1" applyAlignment="1" applyProtection="1">
      <alignment horizontal="left" indent="1"/>
    </xf>
    <xf numFmtId="167" fontId="14" fillId="0" borderId="0" xfId="0" applyNumberFormat="1" applyFont="1" applyFill="1" applyBorder="1" applyAlignment="1" applyProtection="1">
      <alignment horizontal="right" indent="1"/>
    </xf>
    <xf numFmtId="165" fontId="14" fillId="0" borderId="0" xfId="0" applyNumberFormat="1" applyFont="1" applyFill="1" applyBorder="1" applyAlignment="1" applyProtection="1"/>
    <xf numFmtId="0" fontId="14" fillId="23" borderId="26" xfId="0" applyFont="1" applyFill="1" applyBorder="1" applyAlignment="1" applyProtection="1">
      <alignment horizontal="left" vertical="center" wrapText="1"/>
    </xf>
    <xf numFmtId="0" fontId="14" fillId="23" borderId="0" xfId="0" applyFont="1" applyFill="1" applyBorder="1" applyAlignment="1" applyProtection="1">
      <alignment wrapText="1"/>
    </xf>
    <xf numFmtId="0" fontId="14" fillId="23" borderId="0" xfId="0" applyFont="1" applyFill="1" applyBorder="1" applyAlignment="1" applyProtection="1">
      <alignment horizontal="center" wrapText="1"/>
    </xf>
    <xf numFmtId="167" fontId="18" fillId="0" borderId="0" xfId="0" applyNumberFormat="1" applyFont="1" applyFill="1" applyBorder="1" applyAlignment="1" applyProtection="1">
      <alignment horizontal="right" indent="1"/>
    </xf>
    <xf numFmtId="4" fontId="18" fillId="0" borderId="0" xfId="0" applyNumberFormat="1" applyFont="1" applyFill="1" applyBorder="1" applyAlignment="1" applyProtection="1">
      <alignment horizontal="right" indent="1"/>
    </xf>
    <xf numFmtId="0" fontId="19" fillId="0" borderId="0" xfId="0" applyFont="1" applyFill="1" applyBorder="1" applyProtection="1"/>
    <xf numFmtId="0" fontId="0" fillId="23" borderId="0" xfId="0" applyFill="1" applyBorder="1" applyProtection="1"/>
    <xf numFmtId="165" fontId="14" fillId="13" borderId="26" xfId="0" applyNumberFormat="1" applyFont="1" applyFill="1" applyBorder="1" applyAlignment="1" applyProtection="1"/>
    <xf numFmtId="0" fontId="14" fillId="0" borderId="28" xfId="0" applyFont="1" applyFill="1" applyBorder="1" applyAlignment="1" applyProtection="1">
      <alignment horizontal="left" vertical="center" wrapText="1"/>
    </xf>
    <xf numFmtId="0" fontId="14" fillId="0" borderId="0" xfId="0" applyFont="1" applyFill="1" applyBorder="1" applyAlignment="1" applyProtection="1">
      <alignment wrapText="1"/>
    </xf>
    <xf numFmtId="0" fontId="14" fillId="0" borderId="0" xfId="0" applyFont="1" applyFill="1" applyBorder="1" applyAlignment="1" applyProtection="1">
      <alignment horizontal="center" wrapText="1"/>
    </xf>
    <xf numFmtId="165" fontId="14" fillId="0" borderId="28" xfId="0" applyNumberFormat="1" applyFont="1" applyFill="1" applyBorder="1" applyAlignment="1" applyProtection="1"/>
    <xf numFmtId="0" fontId="14" fillId="23" borderId="26" xfId="0" applyFont="1" applyFill="1" applyBorder="1" applyAlignment="1" applyProtection="1">
      <alignment horizontal="left" wrapText="1" indent="1"/>
    </xf>
    <xf numFmtId="167" fontId="18" fillId="0" borderId="0" xfId="0" applyNumberFormat="1" applyFont="1" applyFill="1" applyBorder="1" applyAlignment="1" applyProtection="1">
      <alignment horizontal="right"/>
    </xf>
    <xf numFmtId="4" fontId="18" fillId="0" borderId="0" xfId="0" applyNumberFormat="1" applyFont="1" applyFill="1" applyBorder="1" applyAlignment="1" applyProtection="1">
      <alignment horizontal="right"/>
    </xf>
    <xf numFmtId="0" fontId="19" fillId="0" borderId="0" xfId="0" applyFont="1" applyFill="1" applyBorder="1" applyAlignment="1" applyProtection="1"/>
    <xf numFmtId="0" fontId="0" fillId="0" borderId="0" xfId="0" applyFill="1" applyBorder="1" applyAlignment="1" applyProtection="1"/>
    <xf numFmtId="0" fontId="0" fillId="23" borderId="0" xfId="0" applyFill="1" applyBorder="1" applyAlignment="1" applyProtection="1"/>
    <xf numFmtId="0" fontId="14" fillId="23" borderId="0" xfId="0" applyFont="1" applyFill="1" applyBorder="1" applyAlignment="1" applyProtection="1">
      <alignment horizontal="left" vertical="center" wrapText="1"/>
    </xf>
    <xf numFmtId="3" fontId="14" fillId="0" borderId="0" xfId="0" applyNumberFormat="1" applyFont="1" applyFill="1" applyBorder="1" applyAlignment="1" applyProtection="1"/>
    <xf numFmtId="0" fontId="20" fillId="2" borderId="0" xfId="0" applyFont="1" applyFill="1" applyBorder="1" applyProtection="1"/>
    <xf numFmtId="0" fontId="3" fillId="2" borderId="0" xfId="0" applyFont="1" applyFill="1" applyBorder="1" applyAlignment="1" applyProtection="1">
      <alignment horizontal="center"/>
    </xf>
    <xf numFmtId="167" fontId="3" fillId="2" borderId="0" xfId="0" applyNumberFormat="1" applyFont="1" applyFill="1" applyBorder="1" applyAlignment="1" applyProtection="1">
      <alignment horizontal="right" indent="1"/>
    </xf>
    <xf numFmtId="0" fontId="3" fillId="2" borderId="0" xfId="0" applyFont="1" applyFill="1" applyBorder="1" applyProtection="1"/>
    <xf numFmtId="3" fontId="3" fillId="2" borderId="0" xfId="0" applyNumberFormat="1" applyFont="1" applyFill="1" applyBorder="1" applyProtection="1"/>
    <xf numFmtId="0" fontId="14" fillId="0" borderId="39" xfId="0" applyFont="1" applyFill="1" applyBorder="1" applyAlignment="1" applyProtection="1"/>
    <xf numFmtId="0" fontId="14" fillId="0" borderId="39" xfId="0" applyFont="1" applyFill="1" applyBorder="1" applyAlignment="1" applyProtection="1">
      <alignment horizontal="center"/>
    </xf>
    <xf numFmtId="167" fontId="14" fillId="0" borderId="39" xfId="0" applyNumberFormat="1" applyFont="1" applyFill="1" applyBorder="1" applyAlignment="1" applyProtection="1">
      <alignment horizontal="right" indent="1"/>
    </xf>
    <xf numFmtId="0" fontId="14" fillId="0" borderId="33" xfId="0" applyFont="1" applyFill="1" applyBorder="1" applyAlignment="1" applyProtection="1"/>
    <xf numFmtId="3" fontId="14" fillId="0" borderId="39" xfId="0" applyNumberFormat="1" applyFont="1" applyFill="1" applyBorder="1" applyAlignment="1" applyProtection="1"/>
    <xf numFmtId="3" fontId="14" fillId="0" borderId="12" xfId="0" applyNumberFormat="1" applyFont="1" applyFill="1" applyBorder="1" applyAlignment="1" applyProtection="1"/>
    <xf numFmtId="3" fontId="14" fillId="0" borderId="40" xfId="0" applyNumberFormat="1" applyFont="1" applyFill="1" applyBorder="1" applyAlignment="1" applyProtection="1"/>
    <xf numFmtId="165" fontId="14" fillId="0" borderId="26" xfId="0" applyNumberFormat="1" applyFont="1" applyFill="1" applyBorder="1" applyAlignment="1" applyProtection="1">
      <alignment horizontal="right" indent="1"/>
    </xf>
    <xf numFmtId="165" fontId="14" fillId="0" borderId="26" xfId="0" applyNumberFormat="1" applyFont="1" applyFill="1" applyBorder="1" applyAlignment="1" applyProtection="1">
      <alignment horizontal="right" indent="1"/>
      <protection locked="0"/>
    </xf>
    <xf numFmtId="0" fontId="0" fillId="2" borderId="26" xfId="0" applyFill="1" applyBorder="1" applyProtection="1"/>
    <xf numFmtId="0" fontId="0" fillId="2" borderId="26" xfId="0" applyFill="1" applyBorder="1" applyAlignment="1" applyProtection="1">
      <alignment horizontal="center"/>
    </xf>
    <xf numFmtId="165" fontId="0" fillId="2" borderId="26" xfId="0" applyNumberFormat="1" applyFill="1" applyBorder="1" applyAlignment="1" applyProtection="1">
      <alignment horizontal="right" indent="1"/>
    </xf>
    <xf numFmtId="0" fontId="0" fillId="2" borderId="9" xfId="0" applyFill="1" applyBorder="1" applyProtection="1"/>
    <xf numFmtId="0" fontId="10" fillId="2" borderId="0" xfId="0" applyFont="1" applyFill="1" applyBorder="1" applyAlignment="1" applyProtection="1">
      <alignment horizontal="left" indent="1"/>
    </xf>
    <xf numFmtId="0" fontId="0" fillId="2" borderId="0" xfId="0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right" indent="1"/>
    </xf>
    <xf numFmtId="0" fontId="11" fillId="2" borderId="0" xfId="0" applyFont="1" applyFill="1" applyBorder="1" applyAlignment="1" applyProtection="1">
      <alignment wrapText="1"/>
    </xf>
    <xf numFmtId="0" fontId="2" fillId="2" borderId="0" xfId="0" applyFont="1" applyFill="1" applyBorder="1" applyProtection="1"/>
    <xf numFmtId="0" fontId="2" fillId="2" borderId="0" xfId="0" applyFont="1" applyFill="1" applyBorder="1" applyAlignment="1" applyProtection="1">
      <alignment horizontal="center"/>
    </xf>
    <xf numFmtId="0" fontId="2" fillId="2" borderId="8" xfId="0" applyFont="1" applyFill="1" applyBorder="1" applyProtection="1"/>
    <xf numFmtId="3" fontId="2" fillId="2" borderId="0" xfId="0" applyNumberFormat="1" applyFont="1" applyFill="1" applyBorder="1" applyProtection="1"/>
    <xf numFmtId="0" fontId="21" fillId="2" borderId="0" xfId="0" applyFont="1" applyFill="1" applyBorder="1" applyAlignment="1" applyProtection="1">
      <alignment vertical="top"/>
    </xf>
    <xf numFmtId="0" fontId="21" fillId="2" borderId="8" xfId="0" applyFont="1" applyFill="1" applyBorder="1" applyAlignment="1" applyProtection="1">
      <alignment vertical="top"/>
    </xf>
    <xf numFmtId="0" fontId="22" fillId="2" borderId="0" xfId="3" applyFill="1" applyProtection="1"/>
    <xf numFmtId="0" fontId="23" fillId="23" borderId="0" xfId="0" applyFont="1" applyFill="1" applyBorder="1" applyAlignment="1" applyProtection="1">
      <alignment horizontal="center"/>
    </xf>
    <xf numFmtId="3" fontId="24" fillId="0" borderId="0" xfId="0" applyNumberFormat="1" applyFont="1" applyFill="1" applyBorder="1" applyAlignment="1" applyProtection="1">
      <alignment horizontal="right" indent="1"/>
    </xf>
    <xf numFmtId="165" fontId="23" fillId="23" borderId="0" xfId="0" applyNumberFormat="1" applyFont="1" applyFill="1" applyBorder="1" applyAlignment="1" applyProtection="1">
      <alignment horizontal="center"/>
    </xf>
    <xf numFmtId="0" fontId="24" fillId="0" borderId="0" xfId="0" applyFont="1" applyFill="1" applyBorder="1" applyAlignment="1" applyProtection="1">
      <alignment horizontal="center"/>
    </xf>
    <xf numFmtId="0" fontId="24" fillId="23" borderId="0" xfId="0" applyFont="1" applyFill="1" applyBorder="1" applyProtection="1"/>
    <xf numFmtId="0" fontId="25" fillId="23" borderId="0" xfId="0" applyFont="1" applyFill="1" applyBorder="1" applyAlignment="1" applyProtection="1">
      <alignment horizontal="right"/>
    </xf>
    <xf numFmtId="0" fontId="27" fillId="23" borderId="0" xfId="0" applyFont="1" applyFill="1" applyBorder="1" applyProtection="1"/>
    <xf numFmtId="0" fontId="28" fillId="23" borderId="0" xfId="0" applyFont="1" applyFill="1" applyBorder="1" applyProtection="1"/>
    <xf numFmtId="3" fontId="28" fillId="15" borderId="22" xfId="0" applyNumberFormat="1" applyFont="1" applyFill="1" applyBorder="1" applyAlignment="1" applyProtection="1">
      <alignment horizontal="right" indent="1"/>
    </xf>
    <xf numFmtId="165" fontId="28" fillId="15" borderId="0" xfId="0" applyNumberFormat="1" applyFont="1" applyFill="1" applyBorder="1" applyProtection="1"/>
    <xf numFmtId="165" fontId="28" fillId="15" borderId="23" xfId="0" applyNumberFormat="1" applyFont="1" applyFill="1" applyBorder="1" applyProtection="1"/>
    <xf numFmtId="0" fontId="24" fillId="28" borderId="22" xfId="0" applyFont="1" applyFill="1" applyBorder="1" applyProtection="1"/>
    <xf numFmtId="165" fontId="24" fillId="28" borderId="0" xfId="0" applyNumberFormat="1" applyFont="1" applyFill="1" applyBorder="1" applyProtection="1"/>
    <xf numFmtId="165" fontId="24" fillId="28" borderId="23" xfId="0" applyNumberFormat="1" applyFont="1" applyFill="1" applyBorder="1" applyProtection="1"/>
    <xf numFmtId="0" fontId="28" fillId="29" borderId="22" xfId="0" applyFont="1" applyFill="1" applyBorder="1" applyProtection="1"/>
    <xf numFmtId="165" fontId="28" fillId="29" borderId="0" xfId="0" applyNumberFormat="1" applyFont="1" applyFill="1" applyBorder="1" applyProtection="1"/>
    <xf numFmtId="165" fontId="28" fillId="29" borderId="23" xfId="0" applyNumberFormat="1" applyFont="1" applyFill="1" applyBorder="1" applyProtection="1"/>
    <xf numFmtId="0" fontId="28" fillId="24" borderId="22" xfId="0" applyFont="1" applyFill="1" applyBorder="1" applyProtection="1"/>
    <xf numFmtId="165" fontId="28" fillId="24" borderId="0" xfId="0" applyNumberFormat="1" applyFont="1" applyFill="1" applyBorder="1" applyProtection="1"/>
    <xf numFmtId="165" fontId="28" fillId="24" borderId="23" xfId="0" applyNumberFormat="1" applyFont="1" applyFill="1" applyBorder="1" applyProtection="1"/>
    <xf numFmtId="0" fontId="28" fillId="25" borderId="22" xfId="0" applyFont="1" applyFill="1" applyBorder="1" applyProtection="1"/>
    <xf numFmtId="165" fontId="28" fillId="25" borderId="0" xfId="0" applyNumberFormat="1" applyFont="1" applyFill="1" applyBorder="1" applyProtection="1"/>
    <xf numFmtId="165" fontId="28" fillId="25" borderId="23" xfId="0" applyNumberFormat="1" applyFont="1" applyFill="1" applyBorder="1" applyProtection="1"/>
    <xf numFmtId="0" fontId="28" fillId="26" borderId="22" xfId="0" applyFont="1" applyFill="1" applyBorder="1" applyProtection="1"/>
    <xf numFmtId="165" fontId="28" fillId="26" borderId="0" xfId="0" applyNumberFormat="1" applyFont="1" applyFill="1" applyBorder="1" applyProtection="1"/>
    <xf numFmtId="165" fontId="28" fillId="26" borderId="41" xfId="0" applyNumberFormat="1" applyFont="1" applyFill="1" applyBorder="1" applyProtection="1"/>
    <xf numFmtId="0" fontId="28" fillId="27" borderId="22" xfId="0" applyFont="1" applyFill="1" applyBorder="1" applyProtection="1"/>
    <xf numFmtId="165" fontId="28" fillId="27" borderId="0" xfId="0" applyNumberFormat="1" applyFont="1" applyFill="1" applyBorder="1" applyProtection="1"/>
    <xf numFmtId="165" fontId="28" fillId="27" borderId="41" xfId="0" applyNumberFormat="1" applyFont="1" applyFill="1" applyBorder="1" applyProtection="1"/>
    <xf numFmtId="165" fontId="28" fillId="26" borderId="23" xfId="0" applyNumberFormat="1" applyFont="1" applyFill="1" applyBorder="1" applyProtection="1"/>
    <xf numFmtId="165" fontId="28" fillId="27" borderId="23" xfId="0" applyNumberFormat="1" applyFont="1" applyFill="1" applyBorder="1" applyProtection="1"/>
    <xf numFmtId="3" fontId="28" fillId="15" borderId="22" xfId="0" applyNumberFormat="1" applyFont="1" applyFill="1" applyBorder="1" applyAlignment="1" applyProtection="1">
      <alignment horizontal="right" vertical="center" indent="1"/>
    </xf>
    <xf numFmtId="165" fontId="28" fillId="15" borderId="0" xfId="0" applyNumberFormat="1" applyFont="1" applyFill="1" applyBorder="1" applyAlignment="1" applyProtection="1">
      <alignment horizontal="center" vertical="center"/>
    </xf>
    <xf numFmtId="165" fontId="28" fillId="15" borderId="10" xfId="0" applyNumberFormat="1" applyFont="1" applyFill="1" applyBorder="1" applyAlignment="1" applyProtection="1">
      <alignment horizontal="center" vertical="center" wrapText="1"/>
    </xf>
    <xf numFmtId="165" fontId="28" fillId="15" borderId="23" xfId="0" applyNumberFormat="1" applyFont="1" applyFill="1" applyBorder="1" applyAlignment="1" applyProtection="1">
      <alignment horizontal="center" vertical="center" wrapText="1"/>
    </xf>
    <xf numFmtId="0" fontId="28" fillId="28" borderId="22" xfId="0" applyFont="1" applyFill="1" applyBorder="1" applyAlignment="1" applyProtection="1">
      <alignment horizontal="center" vertical="center"/>
    </xf>
    <xf numFmtId="165" fontId="28" fillId="28" borderId="0" xfId="0" applyNumberFormat="1" applyFont="1" applyFill="1" applyBorder="1" applyAlignment="1" applyProtection="1">
      <alignment horizontal="center" vertical="center"/>
    </xf>
    <xf numFmtId="165" fontId="28" fillId="28" borderId="10" xfId="0" applyNumberFormat="1" applyFont="1" applyFill="1" applyBorder="1" applyAlignment="1" applyProtection="1">
      <alignment horizontal="center" vertical="center" wrapText="1"/>
    </xf>
    <xf numFmtId="165" fontId="28" fillId="28" borderId="23" xfId="0" applyNumberFormat="1" applyFont="1" applyFill="1" applyBorder="1" applyAlignment="1" applyProtection="1">
      <alignment horizontal="center" vertical="center" wrapText="1"/>
    </xf>
    <xf numFmtId="0" fontId="28" fillId="29" borderId="22" xfId="0" applyFont="1" applyFill="1" applyBorder="1" applyAlignment="1" applyProtection="1">
      <alignment horizontal="center" vertical="center"/>
    </xf>
    <xf numFmtId="165" fontId="28" fillId="29" borderId="0" xfId="0" applyNumberFormat="1" applyFont="1" applyFill="1" applyBorder="1" applyAlignment="1" applyProtection="1">
      <alignment horizontal="center" vertical="center"/>
    </xf>
    <xf numFmtId="165" fontId="28" fillId="29" borderId="10" xfId="0" applyNumberFormat="1" applyFont="1" applyFill="1" applyBorder="1" applyAlignment="1" applyProtection="1">
      <alignment horizontal="center" vertical="center" wrapText="1"/>
    </xf>
    <xf numFmtId="165" fontId="28" fillId="29" borderId="23" xfId="0" applyNumberFormat="1" applyFont="1" applyFill="1" applyBorder="1" applyAlignment="1" applyProtection="1">
      <alignment horizontal="center" vertical="center" wrapText="1"/>
    </xf>
    <xf numFmtId="0" fontId="28" fillId="24" borderId="22" xfId="0" applyFont="1" applyFill="1" applyBorder="1" applyAlignment="1" applyProtection="1">
      <alignment horizontal="center" vertical="center"/>
    </xf>
    <xf numFmtId="165" fontId="28" fillId="24" borderId="0" xfId="0" applyNumberFormat="1" applyFont="1" applyFill="1" applyBorder="1" applyAlignment="1" applyProtection="1">
      <alignment horizontal="center" vertical="center"/>
    </xf>
    <xf numFmtId="165" fontId="28" fillId="24" borderId="10" xfId="0" applyNumberFormat="1" applyFont="1" applyFill="1" applyBorder="1" applyAlignment="1" applyProtection="1">
      <alignment horizontal="center" vertical="center" wrapText="1"/>
    </xf>
    <xf numFmtId="165" fontId="28" fillId="24" borderId="23" xfId="0" applyNumberFormat="1" applyFont="1" applyFill="1" applyBorder="1" applyAlignment="1" applyProtection="1">
      <alignment horizontal="center" vertical="center" wrapText="1"/>
    </xf>
    <xf numFmtId="0" fontId="28" fillId="25" borderId="22" xfId="0" applyFont="1" applyFill="1" applyBorder="1" applyAlignment="1" applyProtection="1">
      <alignment horizontal="center" vertical="center"/>
    </xf>
    <xf numFmtId="165" fontId="28" fillId="25" borderId="0" xfId="0" applyNumberFormat="1" applyFont="1" applyFill="1" applyBorder="1" applyAlignment="1" applyProtection="1">
      <alignment horizontal="center" vertical="center"/>
    </xf>
    <xf numFmtId="165" fontId="28" fillId="25" borderId="10" xfId="0" applyNumberFormat="1" applyFont="1" applyFill="1" applyBorder="1" applyAlignment="1" applyProtection="1">
      <alignment horizontal="center" vertical="center" wrapText="1"/>
    </xf>
    <xf numFmtId="165" fontId="28" fillId="25" borderId="23" xfId="0" applyNumberFormat="1" applyFont="1" applyFill="1" applyBorder="1" applyAlignment="1" applyProtection="1">
      <alignment horizontal="center" vertical="center" wrapText="1"/>
    </xf>
    <xf numFmtId="0" fontId="28" fillId="26" borderId="22" xfId="0" applyFont="1" applyFill="1" applyBorder="1" applyAlignment="1" applyProtection="1">
      <alignment horizontal="center" vertical="center"/>
    </xf>
    <xf numFmtId="165" fontId="28" fillId="26" borderId="0" xfId="0" applyNumberFormat="1" applyFont="1" applyFill="1" applyBorder="1" applyAlignment="1" applyProtection="1">
      <alignment horizontal="center" vertical="center"/>
    </xf>
    <xf numFmtId="165" fontId="28" fillId="26" borderId="10" xfId="0" applyNumberFormat="1" applyFont="1" applyFill="1" applyBorder="1" applyAlignment="1" applyProtection="1">
      <alignment horizontal="center" vertical="center" wrapText="1"/>
    </xf>
    <xf numFmtId="165" fontId="28" fillId="26" borderId="23" xfId="0" applyNumberFormat="1" applyFont="1" applyFill="1" applyBorder="1" applyAlignment="1" applyProtection="1">
      <alignment horizontal="center" vertical="center" wrapText="1"/>
    </xf>
    <xf numFmtId="0" fontId="28" fillId="27" borderId="22" xfId="0" applyFont="1" applyFill="1" applyBorder="1" applyAlignment="1" applyProtection="1">
      <alignment horizontal="center" vertical="center"/>
    </xf>
    <xf numFmtId="165" fontId="28" fillId="27" borderId="0" xfId="0" applyNumberFormat="1" applyFont="1" applyFill="1" applyBorder="1" applyAlignment="1" applyProtection="1">
      <alignment horizontal="center" vertical="center"/>
    </xf>
    <xf numFmtId="165" fontId="28" fillId="27" borderId="10" xfId="0" applyNumberFormat="1" applyFont="1" applyFill="1" applyBorder="1" applyAlignment="1" applyProtection="1">
      <alignment horizontal="center" vertical="center" wrapText="1"/>
    </xf>
    <xf numFmtId="165" fontId="28" fillId="27" borderId="23" xfId="0" applyNumberFormat="1" applyFont="1" applyFill="1" applyBorder="1" applyAlignment="1" applyProtection="1">
      <alignment horizontal="center" vertical="center" wrapText="1"/>
    </xf>
    <xf numFmtId="0" fontId="28" fillId="0" borderId="0" xfId="0" applyFont="1" applyFill="1" applyBorder="1" applyAlignment="1" applyProtection="1">
      <alignment wrapText="1"/>
    </xf>
    <xf numFmtId="3" fontId="28" fillId="15" borderId="29" xfId="0" applyNumberFormat="1" applyFont="1" applyFill="1" applyBorder="1" applyAlignment="1" applyProtection="1">
      <alignment horizontal="center" vertical="center" wrapText="1"/>
    </xf>
    <xf numFmtId="165" fontId="28" fillId="15" borderId="26" xfId="0" applyNumberFormat="1" applyFont="1" applyFill="1" applyBorder="1" applyAlignment="1" applyProtection="1">
      <alignment horizontal="center" vertical="center" wrapText="1"/>
    </xf>
    <xf numFmtId="165" fontId="28" fillId="15" borderId="25" xfId="0" applyNumberFormat="1" applyFont="1" applyFill="1" applyBorder="1" applyAlignment="1" applyProtection="1">
      <alignment horizontal="center" vertical="center" wrapText="1"/>
    </xf>
    <xf numFmtId="165" fontId="29" fillId="15" borderId="25" xfId="0" applyNumberFormat="1" applyFont="1" applyFill="1" applyBorder="1" applyAlignment="1" applyProtection="1">
      <alignment horizontal="center" vertical="center" wrapText="1"/>
    </xf>
    <xf numFmtId="165" fontId="28" fillId="15" borderId="21" xfId="0" applyNumberFormat="1" applyFont="1" applyFill="1" applyBorder="1" applyAlignment="1" applyProtection="1">
      <alignment horizontal="center" vertical="center" wrapText="1"/>
    </xf>
    <xf numFmtId="165" fontId="28" fillId="15" borderId="24" xfId="0" applyNumberFormat="1" applyFont="1" applyFill="1" applyBorder="1" applyAlignment="1" applyProtection="1">
      <alignment horizontal="center" vertical="center" wrapText="1"/>
    </xf>
    <xf numFmtId="0" fontId="28" fillId="28" borderId="29" xfId="0" applyFont="1" applyFill="1" applyBorder="1" applyAlignment="1" applyProtection="1">
      <alignment horizontal="center" vertical="center" wrapText="1"/>
    </xf>
    <xf numFmtId="165" fontId="28" fillId="28" borderId="26" xfId="0" applyNumberFormat="1" applyFont="1" applyFill="1" applyBorder="1" applyAlignment="1" applyProtection="1">
      <alignment horizontal="center" vertical="center" wrapText="1"/>
    </xf>
    <xf numFmtId="165" fontId="28" fillId="28" borderId="25" xfId="0" applyNumberFormat="1" applyFont="1" applyFill="1" applyBorder="1" applyAlignment="1" applyProtection="1">
      <alignment horizontal="center" vertical="center" wrapText="1"/>
    </xf>
    <xf numFmtId="165" fontId="29" fillId="28" borderId="25" xfId="0" applyNumberFormat="1" applyFont="1" applyFill="1" applyBorder="1" applyAlignment="1" applyProtection="1">
      <alignment horizontal="center" vertical="center" wrapText="1"/>
    </xf>
    <xf numFmtId="165" fontId="28" fillId="28" borderId="21" xfId="0" applyNumberFormat="1" applyFont="1" applyFill="1" applyBorder="1" applyAlignment="1" applyProtection="1">
      <alignment horizontal="center" vertical="center" wrapText="1"/>
    </xf>
    <xf numFmtId="165" fontId="28" fillId="28" borderId="24" xfId="0" applyNumberFormat="1" applyFont="1" applyFill="1" applyBorder="1" applyAlignment="1" applyProtection="1">
      <alignment horizontal="center" vertical="center" wrapText="1"/>
    </xf>
    <xf numFmtId="0" fontId="28" fillId="29" borderId="29" xfId="0" applyFont="1" applyFill="1" applyBorder="1" applyAlignment="1" applyProtection="1">
      <alignment horizontal="center" vertical="center" wrapText="1"/>
    </xf>
    <xf numFmtId="165" fontId="28" fillId="29" borderId="26" xfId="0" applyNumberFormat="1" applyFont="1" applyFill="1" applyBorder="1" applyAlignment="1" applyProtection="1">
      <alignment horizontal="center" vertical="center" wrapText="1"/>
    </xf>
    <xf numFmtId="165" fontId="28" fillId="29" borderId="25" xfId="0" applyNumberFormat="1" applyFont="1" applyFill="1" applyBorder="1" applyAlignment="1" applyProtection="1">
      <alignment horizontal="center" vertical="center" wrapText="1"/>
    </xf>
    <xf numFmtId="165" fontId="29" fillId="29" borderId="25" xfId="0" applyNumberFormat="1" applyFont="1" applyFill="1" applyBorder="1" applyAlignment="1" applyProtection="1">
      <alignment horizontal="center" vertical="center" wrapText="1"/>
    </xf>
    <xf numFmtId="165" fontId="28" fillId="29" borderId="21" xfId="0" applyNumberFormat="1" applyFont="1" applyFill="1" applyBorder="1" applyAlignment="1" applyProtection="1">
      <alignment horizontal="center" vertical="center" wrapText="1"/>
    </xf>
    <xf numFmtId="165" fontId="28" fillId="29" borderId="24" xfId="0" applyNumberFormat="1" applyFont="1" applyFill="1" applyBorder="1" applyAlignment="1" applyProtection="1">
      <alignment horizontal="center" vertical="center" wrapText="1"/>
    </xf>
    <xf numFmtId="0" fontId="28" fillId="24" borderId="29" xfId="0" applyFont="1" applyFill="1" applyBorder="1" applyAlignment="1" applyProtection="1">
      <alignment horizontal="center" vertical="center" wrapText="1"/>
    </xf>
    <xf numFmtId="165" fontId="28" fillId="24" borderId="26" xfId="0" applyNumberFormat="1" applyFont="1" applyFill="1" applyBorder="1" applyAlignment="1" applyProtection="1">
      <alignment horizontal="center" vertical="center" wrapText="1"/>
    </xf>
    <xf numFmtId="165" fontId="28" fillId="24" borderId="25" xfId="0" applyNumberFormat="1" applyFont="1" applyFill="1" applyBorder="1" applyAlignment="1" applyProtection="1">
      <alignment horizontal="center" vertical="center" wrapText="1"/>
    </xf>
    <xf numFmtId="165" fontId="29" fillId="24" borderId="25" xfId="0" applyNumberFormat="1" applyFont="1" applyFill="1" applyBorder="1" applyAlignment="1" applyProtection="1">
      <alignment horizontal="center" vertical="center" wrapText="1"/>
    </xf>
    <xf numFmtId="165" fontId="28" fillId="24" borderId="21" xfId="0" applyNumberFormat="1" applyFont="1" applyFill="1" applyBorder="1" applyAlignment="1" applyProtection="1">
      <alignment horizontal="center" vertical="center" wrapText="1"/>
    </xf>
    <xf numFmtId="165" fontId="28" fillId="24" borderId="24" xfId="0" applyNumberFormat="1" applyFont="1" applyFill="1" applyBorder="1" applyAlignment="1" applyProtection="1">
      <alignment horizontal="center" vertical="center" wrapText="1"/>
    </xf>
    <xf numFmtId="0" fontId="28" fillId="25" borderId="29" xfId="0" applyFont="1" applyFill="1" applyBorder="1" applyAlignment="1" applyProtection="1">
      <alignment horizontal="center" vertical="center" wrapText="1"/>
    </xf>
    <xf numFmtId="165" fontId="28" fillId="25" borderId="26" xfId="0" applyNumberFormat="1" applyFont="1" applyFill="1" applyBorder="1" applyAlignment="1" applyProtection="1">
      <alignment horizontal="center" vertical="center" wrapText="1"/>
    </xf>
    <xf numFmtId="165" fontId="28" fillId="25" borderId="25" xfId="0" applyNumberFormat="1" applyFont="1" applyFill="1" applyBorder="1" applyAlignment="1" applyProtection="1">
      <alignment horizontal="center" vertical="center" wrapText="1"/>
    </xf>
    <xf numFmtId="165" fontId="29" fillId="25" borderId="25" xfId="0" applyNumberFormat="1" applyFont="1" applyFill="1" applyBorder="1" applyAlignment="1" applyProtection="1">
      <alignment horizontal="center" vertical="center" wrapText="1"/>
    </xf>
    <xf numFmtId="165" fontId="28" fillId="25" borderId="21" xfId="0" applyNumberFormat="1" applyFont="1" applyFill="1" applyBorder="1" applyAlignment="1" applyProtection="1">
      <alignment horizontal="center" vertical="center" wrapText="1"/>
    </xf>
    <xf numFmtId="165" fontId="28" fillId="25" borderId="24" xfId="0" applyNumberFormat="1" applyFont="1" applyFill="1" applyBorder="1" applyAlignment="1" applyProtection="1">
      <alignment horizontal="center" vertical="center" wrapText="1"/>
    </xf>
    <xf numFmtId="0" fontId="28" fillId="26" borderId="29" xfId="0" applyFont="1" applyFill="1" applyBorder="1" applyAlignment="1" applyProtection="1">
      <alignment horizontal="center" vertical="center" wrapText="1"/>
    </xf>
    <xf numFmtId="165" fontId="28" fillId="26" borderId="26" xfId="0" applyNumberFormat="1" applyFont="1" applyFill="1" applyBorder="1" applyAlignment="1" applyProtection="1">
      <alignment horizontal="center" vertical="center" wrapText="1"/>
    </xf>
    <xf numFmtId="165" fontId="28" fillId="26" borderId="25" xfId="0" applyNumberFormat="1" applyFont="1" applyFill="1" applyBorder="1" applyAlignment="1" applyProtection="1">
      <alignment horizontal="center" vertical="center" wrapText="1"/>
    </xf>
    <xf numFmtId="165" fontId="29" fillId="26" borderId="25" xfId="0" applyNumberFormat="1" applyFont="1" applyFill="1" applyBorder="1" applyAlignment="1" applyProtection="1">
      <alignment horizontal="center" vertical="center" wrapText="1"/>
    </xf>
    <xf numFmtId="165" fontId="28" fillId="26" borderId="21" xfId="0" applyNumberFormat="1" applyFont="1" applyFill="1" applyBorder="1" applyAlignment="1" applyProtection="1">
      <alignment horizontal="center" vertical="center" wrapText="1"/>
    </xf>
    <xf numFmtId="165" fontId="28" fillId="26" borderId="15" xfId="0" applyNumberFormat="1" applyFont="1" applyFill="1" applyBorder="1" applyAlignment="1" applyProtection="1">
      <alignment horizontal="center" vertical="center" wrapText="1"/>
    </xf>
    <xf numFmtId="0" fontId="28" fillId="27" borderId="29" xfId="0" applyFont="1" applyFill="1" applyBorder="1" applyAlignment="1" applyProtection="1">
      <alignment horizontal="center" vertical="center" wrapText="1"/>
    </xf>
    <xf numFmtId="165" fontId="28" fillId="27" borderId="26" xfId="0" applyNumberFormat="1" applyFont="1" applyFill="1" applyBorder="1" applyAlignment="1" applyProtection="1">
      <alignment horizontal="center" vertical="center" wrapText="1"/>
    </xf>
    <xf numFmtId="165" fontId="28" fillId="27" borderId="25" xfId="0" applyNumberFormat="1" applyFont="1" applyFill="1" applyBorder="1" applyAlignment="1" applyProtection="1">
      <alignment horizontal="center" vertical="center" wrapText="1"/>
    </xf>
    <xf numFmtId="165" fontId="29" fillId="27" borderId="25" xfId="0" applyNumberFormat="1" applyFont="1" applyFill="1" applyBorder="1" applyAlignment="1" applyProtection="1">
      <alignment horizontal="center" vertical="center" wrapText="1"/>
    </xf>
    <xf numFmtId="165" fontId="28" fillId="27" borderId="21" xfId="0" applyNumberFormat="1" applyFont="1" applyFill="1" applyBorder="1" applyAlignment="1" applyProtection="1">
      <alignment horizontal="center" vertical="center" wrapText="1"/>
    </xf>
    <xf numFmtId="165" fontId="28" fillId="27" borderId="15" xfId="0" applyNumberFormat="1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wrapText="1"/>
    </xf>
    <xf numFmtId="0" fontId="24" fillId="0" borderId="0" xfId="0" applyFont="1" applyFill="1" applyBorder="1" applyProtection="1"/>
    <xf numFmtId="3" fontId="30" fillId="0" borderId="22" xfId="0" applyNumberFormat="1" applyFont="1" applyFill="1" applyBorder="1" applyAlignment="1" applyProtection="1">
      <alignment horizontal="right" indent="1"/>
    </xf>
    <xf numFmtId="165" fontId="30" fillId="13" borderId="9" xfId="0" applyNumberFormat="1" applyFont="1" applyFill="1" applyBorder="1" applyAlignment="1" applyProtection="1">
      <alignment horizontal="right" indent="1"/>
    </xf>
    <xf numFmtId="165" fontId="30" fillId="13" borderId="2" xfId="0" applyNumberFormat="1" applyFont="1" applyFill="1" applyBorder="1" applyAlignment="1" applyProtection="1">
      <alignment horizontal="right" indent="1"/>
    </xf>
    <xf numFmtId="165" fontId="30" fillId="0" borderId="0" xfId="0" applyNumberFormat="1" applyFont="1" applyFill="1" applyBorder="1" applyAlignment="1" applyProtection="1">
      <alignment horizontal="right" indent="1"/>
    </xf>
    <xf numFmtId="165" fontId="30" fillId="13" borderId="23" xfId="0" applyNumberFormat="1" applyFont="1" applyFill="1" applyBorder="1" applyAlignment="1" applyProtection="1">
      <alignment horizontal="right" indent="1"/>
    </xf>
    <xf numFmtId="3" fontId="24" fillId="0" borderId="22" xfId="0" applyNumberFormat="1" applyFont="1" applyFill="1" applyBorder="1" applyAlignment="1" applyProtection="1">
      <alignment horizontal="right" indent="1"/>
    </xf>
    <xf numFmtId="165" fontId="24" fillId="13" borderId="9" xfId="0" applyNumberFormat="1" applyFont="1" applyFill="1" applyBorder="1" applyAlignment="1" applyProtection="1">
      <alignment horizontal="right" indent="1"/>
    </xf>
    <xf numFmtId="1" fontId="30" fillId="0" borderId="22" xfId="0" applyNumberFormat="1" applyFont="1" applyFill="1" applyBorder="1" applyAlignment="1" applyProtection="1">
      <alignment horizontal="right" indent="1"/>
    </xf>
    <xf numFmtId="0" fontId="25" fillId="0" borderId="0" xfId="0" applyFont="1" applyFill="1" applyBorder="1" applyProtection="1"/>
    <xf numFmtId="3" fontId="27" fillId="0" borderId="22" xfId="0" applyNumberFormat="1" applyFont="1" applyFill="1" applyBorder="1" applyAlignment="1" applyProtection="1">
      <alignment horizontal="right" indent="1"/>
    </xf>
    <xf numFmtId="165" fontId="27" fillId="13" borderId="9" xfId="0" applyNumberFormat="1" applyFont="1" applyFill="1" applyBorder="1" applyAlignment="1" applyProtection="1">
      <alignment horizontal="right" indent="1"/>
    </xf>
    <xf numFmtId="0" fontId="27" fillId="0" borderId="0" xfId="0" applyFont="1" applyFill="1" applyBorder="1" applyProtection="1"/>
    <xf numFmtId="0" fontId="28" fillId="0" borderId="0" xfId="0" applyFont="1" applyFill="1" applyBorder="1" applyProtection="1"/>
    <xf numFmtId="0" fontId="30" fillId="0" borderId="0" xfId="0" applyFont="1" applyFill="1" applyBorder="1" applyProtection="1"/>
    <xf numFmtId="0" fontId="31" fillId="0" borderId="0" xfId="0" applyFont="1" applyFill="1" applyBorder="1" applyProtection="1"/>
    <xf numFmtId="0" fontId="32" fillId="0" borderId="0" xfId="0" applyFont="1" applyFill="1" applyBorder="1" applyProtection="1"/>
    <xf numFmtId="4" fontId="30" fillId="0" borderId="22" xfId="0" applyNumberFormat="1" applyFont="1" applyFill="1" applyBorder="1" applyAlignment="1" applyProtection="1">
      <alignment horizontal="right" indent="1"/>
    </xf>
    <xf numFmtId="1" fontId="30" fillId="0" borderId="22" xfId="0" applyNumberFormat="1" applyFont="1" applyFill="1" applyBorder="1" applyAlignment="1" applyProtection="1">
      <alignment horizontal="right" indent="1"/>
      <protection locked="0"/>
    </xf>
    <xf numFmtId="165" fontId="30" fillId="0" borderId="0" xfId="0" applyNumberFormat="1" applyFont="1" applyFill="1" applyBorder="1" applyAlignment="1" applyProtection="1">
      <alignment horizontal="right" indent="1"/>
      <protection locked="0"/>
    </xf>
    <xf numFmtId="0" fontId="32" fillId="0" borderId="0" xfId="0" applyFont="1" applyFill="1" applyBorder="1" applyProtection="1">
      <protection locked="0"/>
    </xf>
    <xf numFmtId="0" fontId="33" fillId="0" borderId="18" xfId="0" applyFont="1" applyFill="1" applyBorder="1" applyAlignment="1" applyProtection="1">
      <alignment horizontal="left" indent="1"/>
    </xf>
    <xf numFmtId="0" fontId="28" fillId="13" borderId="0" xfId="0" applyFont="1" applyFill="1" applyBorder="1" applyProtection="1"/>
    <xf numFmtId="3" fontId="30" fillId="13" borderId="22" xfId="0" applyNumberFormat="1" applyFont="1" applyFill="1" applyBorder="1" applyAlignment="1" applyProtection="1">
      <alignment horizontal="right" indent="1"/>
    </xf>
    <xf numFmtId="165" fontId="30" fillId="13" borderId="0" xfId="0" applyNumberFormat="1" applyFont="1" applyFill="1" applyBorder="1" applyAlignment="1" applyProtection="1">
      <alignment horizontal="right" indent="1"/>
    </xf>
    <xf numFmtId="1" fontId="30" fillId="13" borderId="22" xfId="0" applyNumberFormat="1" applyFont="1" applyFill="1" applyBorder="1" applyAlignment="1" applyProtection="1">
      <alignment horizontal="right" indent="1"/>
    </xf>
    <xf numFmtId="0" fontId="28" fillId="13" borderId="1" xfId="0" applyFont="1" applyFill="1" applyBorder="1" applyAlignment="1" applyProtection="1">
      <alignment horizontal="center" wrapText="1"/>
    </xf>
    <xf numFmtId="3" fontId="30" fillId="13" borderId="42" xfId="0" applyNumberFormat="1" applyFont="1" applyFill="1" applyBorder="1" applyAlignment="1" applyProtection="1">
      <alignment horizontal="right" indent="1"/>
    </xf>
    <xf numFmtId="165" fontId="30" fillId="13" borderId="5" xfId="0" applyNumberFormat="1" applyFont="1" applyFill="1" applyBorder="1" applyAlignment="1" applyProtection="1">
      <alignment horizontal="right" indent="1"/>
    </xf>
    <xf numFmtId="165" fontId="30" fillId="13" borderId="1" xfId="0" applyNumberFormat="1" applyFont="1" applyFill="1" applyBorder="1" applyAlignment="1" applyProtection="1">
      <alignment horizontal="right" indent="1"/>
    </xf>
    <xf numFmtId="165" fontId="30" fillId="13" borderId="5" xfId="0" applyNumberFormat="1" applyFont="1" applyFill="1" applyBorder="1" applyAlignment="1" applyProtection="1">
      <alignment horizontal="right"/>
    </xf>
    <xf numFmtId="1" fontId="30" fillId="13" borderId="42" xfId="0" applyNumberFormat="1" applyFont="1" applyFill="1" applyBorder="1" applyAlignment="1" applyProtection="1">
      <alignment horizontal="right" indent="1"/>
    </xf>
    <xf numFmtId="165" fontId="30" fillId="13" borderId="43" xfId="0" applyNumberFormat="1" applyFont="1" applyFill="1" applyBorder="1" applyAlignment="1" applyProtection="1">
      <alignment horizontal="right" indent="1"/>
    </xf>
    <xf numFmtId="0" fontId="30" fillId="0" borderId="0" xfId="0" applyFont="1" applyFill="1" applyBorder="1" applyAlignment="1" applyProtection="1">
      <alignment wrapText="1"/>
    </xf>
    <xf numFmtId="0" fontId="34" fillId="23" borderId="0" xfId="0" applyFont="1" applyFill="1" applyBorder="1" applyProtection="1"/>
    <xf numFmtId="3" fontId="32" fillId="23" borderId="22" xfId="0" applyNumberFormat="1" applyFont="1" applyFill="1" applyBorder="1" applyAlignment="1" applyProtection="1">
      <alignment horizontal="right" indent="1"/>
    </xf>
    <xf numFmtId="165" fontId="32" fillId="23" borderId="0" xfId="0" applyNumberFormat="1" applyFont="1" applyFill="1" applyBorder="1" applyAlignment="1" applyProtection="1">
      <alignment horizontal="right" indent="1"/>
    </xf>
    <xf numFmtId="165" fontId="32" fillId="0" borderId="0" xfId="0" applyNumberFormat="1" applyFont="1" applyFill="1" applyBorder="1" applyAlignment="1" applyProtection="1">
      <alignment horizontal="right" indent="1"/>
    </xf>
    <xf numFmtId="165" fontId="30" fillId="23" borderId="0" xfId="0" applyNumberFormat="1" applyFont="1" applyFill="1" applyBorder="1" applyAlignment="1" applyProtection="1">
      <alignment horizontal="right" indent="1"/>
    </xf>
    <xf numFmtId="165" fontId="30" fillId="23" borderId="23" xfId="0" applyNumberFormat="1" applyFont="1" applyFill="1" applyBorder="1" applyAlignment="1" applyProtection="1">
      <alignment horizontal="right" indent="1"/>
    </xf>
    <xf numFmtId="0" fontId="24" fillId="23" borderId="22" xfId="0" applyFont="1" applyFill="1" applyBorder="1" applyAlignment="1" applyProtection="1">
      <alignment horizontal="right" indent="1"/>
    </xf>
    <xf numFmtId="165" fontId="24" fillId="23" borderId="0" xfId="0" applyNumberFormat="1" applyFont="1" applyFill="1" applyBorder="1" applyAlignment="1" applyProtection="1">
      <alignment horizontal="right" indent="1"/>
    </xf>
    <xf numFmtId="165" fontId="24" fillId="23" borderId="23" xfId="0" applyNumberFormat="1" applyFont="1" applyFill="1" applyBorder="1" applyAlignment="1" applyProtection="1">
      <alignment horizontal="right" indent="1"/>
    </xf>
    <xf numFmtId="0" fontId="35" fillId="23" borderId="22" xfId="0" applyFont="1" applyFill="1" applyBorder="1" applyAlignment="1" applyProtection="1">
      <alignment horizontal="right" indent="1"/>
    </xf>
    <xf numFmtId="165" fontId="35" fillId="23" borderId="0" xfId="0" applyNumberFormat="1" applyFont="1" applyFill="1" applyBorder="1" applyAlignment="1" applyProtection="1">
      <alignment horizontal="right" indent="1"/>
    </xf>
    <xf numFmtId="165" fontId="35" fillId="0" borderId="0" xfId="0" applyNumberFormat="1" applyFont="1" applyFill="1" applyBorder="1" applyAlignment="1" applyProtection="1">
      <alignment horizontal="right" indent="1"/>
    </xf>
    <xf numFmtId="0" fontId="36" fillId="0" borderId="21" xfId="0" applyFont="1" applyFill="1" applyBorder="1" applyAlignment="1" applyProtection="1">
      <alignment horizontal="left" vertical="center" wrapText="1"/>
    </xf>
    <xf numFmtId="3" fontId="36" fillId="0" borderId="27" xfId="0" applyNumberFormat="1" applyFont="1" applyFill="1" applyBorder="1" applyAlignment="1" applyProtection="1">
      <alignment horizontal="right" vertical="center" wrapText="1" indent="1"/>
    </xf>
    <xf numFmtId="0" fontId="36" fillId="0" borderId="27" xfId="0" applyFont="1" applyFill="1" applyBorder="1" applyAlignment="1" applyProtection="1">
      <alignment horizontal="center" vertical="center" wrapText="1"/>
    </xf>
    <xf numFmtId="0" fontId="38" fillId="23" borderId="0" xfId="0" applyFont="1" applyFill="1" applyBorder="1" applyAlignment="1" applyProtection="1">
      <alignment horizontal="center" vertical="center" wrapText="1"/>
    </xf>
    <xf numFmtId="0" fontId="39" fillId="0" borderId="0" xfId="0" applyFont="1" applyFill="1" applyBorder="1" applyAlignment="1" applyProtection="1">
      <alignment vertical="center" wrapText="1"/>
    </xf>
    <xf numFmtId="3" fontId="39" fillId="0" borderId="27" xfId="0" applyNumberFormat="1" applyFont="1" applyFill="1" applyBorder="1" applyAlignment="1" applyProtection="1">
      <alignment horizontal="right" vertical="center"/>
    </xf>
    <xf numFmtId="3" fontId="39" fillId="0" borderId="27" xfId="0" applyNumberFormat="1" applyFont="1" applyFill="1" applyBorder="1" applyAlignment="1" applyProtection="1">
      <alignment horizontal="right" vertical="center"/>
      <protection locked="0"/>
    </xf>
    <xf numFmtId="0" fontId="24" fillId="23" borderId="0" xfId="0" applyFont="1" applyFill="1" applyBorder="1" applyAlignment="1" applyProtection="1">
      <alignment vertical="center"/>
    </xf>
    <xf numFmtId="168" fontId="39" fillId="13" borderId="27" xfId="2" applyNumberFormat="1" applyFont="1" applyFill="1" applyBorder="1" applyAlignment="1" applyProtection="1">
      <alignment horizontal="right" vertical="center"/>
    </xf>
    <xf numFmtId="168" fontId="39" fillId="13" borderId="27" xfId="0" applyNumberFormat="1" applyFont="1" applyFill="1" applyBorder="1" applyAlignment="1" applyProtection="1">
      <alignment horizontal="right" vertical="center"/>
    </xf>
    <xf numFmtId="165" fontId="39" fillId="13" borderId="27" xfId="0" applyNumberFormat="1" applyFont="1" applyFill="1" applyBorder="1" applyAlignment="1" applyProtection="1">
      <alignment horizontal="right" vertical="center"/>
    </xf>
    <xf numFmtId="165" fontId="39" fillId="0" borderId="27" xfId="0" applyNumberFormat="1" applyFont="1" applyFill="1" applyBorder="1" applyAlignment="1" applyProtection="1">
      <alignment horizontal="right" vertical="center"/>
    </xf>
    <xf numFmtId="165" fontId="39" fillId="0" borderId="27" xfId="0" applyNumberFormat="1" applyFont="1" applyFill="1" applyBorder="1" applyAlignment="1" applyProtection="1">
      <alignment horizontal="right" vertical="center"/>
      <protection locked="0"/>
    </xf>
    <xf numFmtId="168" fontId="39" fillId="13" borderId="27" xfId="4" applyNumberFormat="1" applyFont="1" applyFill="1" applyBorder="1" applyAlignment="1" applyProtection="1">
      <alignment horizontal="right" vertical="center"/>
    </xf>
    <xf numFmtId="168" fontId="39" fillId="13" borderId="46" xfId="2" applyNumberFormat="1" applyFont="1" applyFill="1" applyBorder="1" applyAlignment="1" applyProtection="1">
      <alignment horizontal="right" vertical="center"/>
    </xf>
    <xf numFmtId="168" fontId="39" fillId="13" borderId="46" xfId="0" applyNumberFormat="1" applyFont="1" applyFill="1" applyBorder="1" applyAlignment="1" applyProtection="1">
      <alignment horizontal="right" vertical="center"/>
    </xf>
    <xf numFmtId="3" fontId="30" fillId="23" borderId="0" xfId="0" applyNumberFormat="1" applyFont="1" applyFill="1" applyBorder="1" applyAlignment="1" applyProtection="1">
      <alignment horizontal="right" indent="1"/>
    </xf>
    <xf numFmtId="0" fontId="24" fillId="23" borderId="0" xfId="0" applyFont="1" applyFill="1" applyBorder="1" applyAlignment="1" applyProtection="1">
      <alignment horizontal="right" indent="1"/>
    </xf>
    <xf numFmtId="165" fontId="24" fillId="0" borderId="0" xfId="0" applyNumberFormat="1" applyFont="1" applyFill="1" applyBorder="1" applyAlignment="1" applyProtection="1">
      <alignment horizontal="right" indent="1"/>
    </xf>
    <xf numFmtId="3" fontId="29" fillId="23" borderId="0" xfId="0" applyNumberFormat="1" applyFont="1" applyFill="1" applyBorder="1" applyAlignment="1" applyProtection="1">
      <alignment horizontal="right" indent="1"/>
    </xf>
    <xf numFmtId="165" fontId="30" fillId="23" borderId="0" xfId="0" applyNumberFormat="1" applyFont="1" applyFill="1" applyBorder="1" applyProtection="1"/>
    <xf numFmtId="165" fontId="24" fillId="23" borderId="0" xfId="0" applyNumberFormat="1" applyFont="1" applyFill="1" applyBorder="1" applyProtection="1"/>
    <xf numFmtId="0" fontId="40" fillId="23" borderId="0" xfId="0" applyFont="1" applyFill="1" applyBorder="1" applyProtection="1"/>
    <xf numFmtId="3" fontId="30" fillId="0" borderId="0" xfId="0" applyNumberFormat="1" applyFont="1" applyFill="1" applyBorder="1" applyAlignment="1" applyProtection="1">
      <alignment horizontal="right" indent="1"/>
    </xf>
    <xf numFmtId="165" fontId="30" fillId="0" borderId="0" xfId="0" applyNumberFormat="1" applyFont="1" applyFill="1" applyBorder="1" applyProtection="1"/>
    <xf numFmtId="165" fontId="24" fillId="0" borderId="0" xfId="0" applyNumberFormat="1" applyFont="1" applyFill="1" applyBorder="1" applyProtection="1"/>
    <xf numFmtId="0" fontId="4" fillId="0" borderId="23" xfId="0" applyFont="1" applyFill="1" applyBorder="1" applyAlignment="1" applyProtection="1">
      <alignment horizontal="center" vertical="center" wrapText="1"/>
    </xf>
    <xf numFmtId="0" fontId="4" fillId="0" borderId="48" xfId="0" applyFont="1" applyFill="1" applyBorder="1" applyAlignment="1" applyProtection="1">
      <alignment horizontal="center" vertical="center" wrapText="1"/>
    </xf>
    <xf numFmtId="165" fontId="28" fillId="29" borderId="41" xfId="0" applyNumberFormat="1" applyFont="1" applyFill="1" applyBorder="1" applyProtection="1"/>
    <xf numFmtId="165" fontId="28" fillId="29" borderId="15" xfId="0" applyNumberFormat="1" applyFont="1" applyFill="1" applyBorder="1" applyAlignment="1" applyProtection="1">
      <alignment horizontal="center" vertical="center" wrapText="1"/>
    </xf>
    <xf numFmtId="165" fontId="30" fillId="13" borderId="23" xfId="0" applyNumberFormat="1" applyFont="1" applyFill="1" applyBorder="1" applyAlignment="1" applyProtection="1">
      <alignment horizontal="right" indent="1"/>
      <protection locked="0"/>
    </xf>
    <xf numFmtId="167" fontId="30" fillId="0" borderId="0" xfId="0" applyNumberFormat="1" applyFont="1" applyFill="1" applyBorder="1" applyAlignment="1" applyProtection="1">
      <alignment horizontal="right" indent="1"/>
      <protection locked="0"/>
    </xf>
    <xf numFmtId="0" fontId="10" fillId="9" borderId="11" xfId="0" applyFont="1" applyFill="1" applyBorder="1" applyAlignment="1" applyProtection="1">
      <alignment horizontal="center" vertical="center"/>
    </xf>
    <xf numFmtId="0" fontId="10" fillId="9" borderId="12" xfId="0" applyFont="1" applyFill="1" applyBorder="1" applyAlignment="1" applyProtection="1">
      <alignment horizontal="center" vertical="center"/>
    </xf>
    <xf numFmtId="0" fontId="10" fillId="9" borderId="13" xfId="0" applyFont="1" applyFill="1" applyBorder="1" applyAlignment="1" applyProtection="1">
      <alignment horizontal="center" vertical="center"/>
    </xf>
    <xf numFmtId="0" fontId="10" fillId="4" borderId="11" xfId="0" applyFont="1" applyFill="1" applyBorder="1" applyAlignment="1" applyProtection="1">
      <alignment horizontal="center" vertical="center"/>
    </xf>
    <xf numFmtId="0" fontId="10" fillId="4" borderId="12" xfId="0" applyFont="1" applyFill="1" applyBorder="1" applyAlignment="1" applyProtection="1">
      <alignment horizontal="center" vertical="center"/>
    </xf>
    <xf numFmtId="0" fontId="10" fillId="4" borderId="13" xfId="0" applyFont="1" applyFill="1" applyBorder="1" applyAlignment="1" applyProtection="1">
      <alignment horizontal="center" vertical="center"/>
    </xf>
    <xf numFmtId="0" fontId="10" fillId="5" borderId="11" xfId="0" applyFont="1" applyFill="1" applyBorder="1" applyAlignment="1" applyProtection="1">
      <alignment horizontal="center" vertical="center"/>
    </xf>
    <xf numFmtId="0" fontId="10" fillId="5" borderId="12" xfId="0" applyFont="1" applyFill="1" applyBorder="1" applyAlignment="1" applyProtection="1">
      <alignment horizontal="center" vertical="center"/>
    </xf>
    <xf numFmtId="0" fontId="10" fillId="5" borderId="13" xfId="0" applyFont="1" applyFill="1" applyBorder="1" applyAlignment="1" applyProtection="1">
      <alignment horizontal="center" vertical="center"/>
    </xf>
    <xf numFmtId="0" fontId="10" fillId="6" borderId="11" xfId="0" applyFont="1" applyFill="1" applyBorder="1" applyAlignment="1" applyProtection="1">
      <alignment horizontal="center" vertical="center"/>
    </xf>
    <xf numFmtId="0" fontId="10" fillId="6" borderId="12" xfId="0" applyFont="1" applyFill="1" applyBorder="1" applyAlignment="1" applyProtection="1">
      <alignment horizontal="center" vertical="center"/>
    </xf>
    <xf numFmtId="0" fontId="10" fillId="6" borderId="13" xfId="0" applyFont="1" applyFill="1" applyBorder="1" applyAlignment="1" applyProtection="1">
      <alignment horizontal="center" vertical="center"/>
    </xf>
    <xf numFmtId="0" fontId="10" fillId="7" borderId="11" xfId="0" applyFont="1" applyFill="1" applyBorder="1" applyAlignment="1" applyProtection="1">
      <alignment horizontal="center" vertical="center"/>
    </xf>
    <xf numFmtId="0" fontId="10" fillId="7" borderId="12" xfId="0" applyFont="1" applyFill="1" applyBorder="1" applyAlignment="1" applyProtection="1">
      <alignment horizontal="center" vertical="center"/>
    </xf>
    <xf numFmtId="0" fontId="10" fillId="7" borderId="13" xfId="0" applyFont="1" applyFill="1" applyBorder="1" applyAlignment="1" applyProtection="1">
      <alignment horizontal="center" vertical="center"/>
    </xf>
    <xf numFmtId="0" fontId="10" fillId="8" borderId="11" xfId="0" applyFont="1" applyFill="1" applyBorder="1" applyAlignment="1" applyProtection="1">
      <alignment horizontal="center" vertical="center"/>
    </xf>
    <xf numFmtId="0" fontId="10" fillId="8" borderId="12" xfId="0" applyFont="1" applyFill="1" applyBorder="1" applyAlignment="1" applyProtection="1">
      <alignment horizontal="center" vertical="center"/>
    </xf>
    <xf numFmtId="0" fontId="10" fillId="8" borderId="13" xfId="0" applyFont="1" applyFill="1" applyBorder="1" applyAlignment="1" applyProtection="1">
      <alignment horizontal="center" vertical="center"/>
    </xf>
    <xf numFmtId="0" fontId="10" fillId="11" borderId="11" xfId="0" applyFont="1" applyFill="1" applyBorder="1" applyAlignment="1" applyProtection="1">
      <alignment horizontal="center" vertical="center"/>
    </xf>
    <xf numFmtId="0" fontId="10" fillId="11" borderId="12" xfId="0" applyFont="1" applyFill="1" applyBorder="1" applyAlignment="1" applyProtection="1">
      <alignment horizontal="center" vertical="center"/>
    </xf>
    <xf numFmtId="0" fontId="10" fillId="11" borderId="13" xfId="0" applyFont="1" applyFill="1" applyBorder="1" applyAlignment="1" applyProtection="1">
      <alignment horizontal="center" vertical="center"/>
    </xf>
    <xf numFmtId="0" fontId="11" fillId="0" borderId="14" xfId="0" applyFont="1" applyFill="1" applyBorder="1" applyAlignment="1" applyProtection="1">
      <alignment horizontal="center" vertical="center" wrapText="1"/>
    </xf>
    <xf numFmtId="0" fontId="11" fillId="0" borderId="17" xfId="0" applyFont="1" applyFill="1" applyBorder="1" applyAlignment="1" applyProtection="1">
      <alignment horizontal="center" vertical="center" wrapText="1"/>
    </xf>
    <xf numFmtId="0" fontId="11" fillId="0" borderId="19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0" fontId="10" fillId="0" borderId="9" xfId="0" applyFont="1" applyFill="1" applyBorder="1" applyAlignment="1" applyProtection="1">
      <alignment horizontal="center" vertical="center" wrapText="1"/>
    </xf>
    <xf numFmtId="0" fontId="10" fillId="0" borderId="5" xfId="0" applyFont="1" applyFill="1" applyBorder="1" applyAlignment="1" applyProtection="1">
      <alignment horizontal="center" vertical="center" wrapText="1"/>
    </xf>
    <xf numFmtId="2" fontId="10" fillId="0" borderId="2" xfId="0" applyNumberFormat="1" applyFont="1" applyFill="1" applyBorder="1" applyAlignment="1" applyProtection="1">
      <alignment horizontal="center" vertical="center" wrapText="1"/>
    </xf>
    <xf numFmtId="2" fontId="10" fillId="0" borderId="9" xfId="0" applyNumberFormat="1" applyFont="1" applyFill="1" applyBorder="1" applyAlignment="1" applyProtection="1">
      <alignment horizontal="center" vertical="center" wrapText="1"/>
    </xf>
    <xf numFmtId="2" fontId="10" fillId="0" borderId="5" xfId="0" applyNumberFormat="1" applyFont="1" applyFill="1" applyBorder="1" applyAlignment="1" applyProtection="1">
      <alignment horizontal="center" vertical="center" wrapText="1"/>
    </xf>
    <xf numFmtId="165" fontId="10" fillId="0" borderId="15" xfId="0" applyNumberFormat="1" applyFont="1" applyFill="1" applyBorder="1" applyAlignment="1" applyProtection="1">
      <alignment horizontal="center" vertical="center" wrapText="1"/>
    </xf>
    <xf numFmtId="165" fontId="10" fillId="0" borderId="18" xfId="0" applyNumberFormat="1" applyFont="1" applyFill="1" applyBorder="1" applyAlignment="1" applyProtection="1">
      <alignment horizontal="center" vertical="center" wrapText="1"/>
    </xf>
    <xf numFmtId="165" fontId="10" fillId="0" borderId="20" xfId="0" applyNumberFormat="1" applyFont="1" applyFill="1" applyBorder="1" applyAlignment="1" applyProtection="1">
      <alignment horizontal="center" vertical="center" wrapText="1"/>
    </xf>
    <xf numFmtId="0" fontId="10" fillId="10" borderId="11" xfId="0" applyFont="1" applyFill="1" applyBorder="1" applyAlignment="1" applyProtection="1">
      <alignment horizontal="center" vertical="center"/>
    </xf>
    <xf numFmtId="0" fontId="10" fillId="10" borderId="12" xfId="0" applyFont="1" applyFill="1" applyBorder="1" applyAlignment="1" applyProtection="1">
      <alignment horizontal="center" vertical="center"/>
    </xf>
    <xf numFmtId="0" fontId="10" fillId="10" borderId="13" xfId="0" applyFont="1" applyFill="1" applyBorder="1" applyAlignment="1" applyProtection="1">
      <alignment horizontal="center" vertical="center"/>
    </xf>
    <xf numFmtId="0" fontId="12" fillId="0" borderId="21" xfId="0" applyFont="1" applyBorder="1" applyAlignment="1" applyProtection="1">
      <alignment horizontal="left" vertical="top" wrapText="1"/>
    </xf>
    <xf numFmtId="0" fontId="12" fillId="0" borderId="28" xfId="0" applyFont="1" applyBorder="1" applyAlignment="1" applyProtection="1">
      <alignment horizontal="left" vertical="top" wrapText="1"/>
    </xf>
    <xf numFmtId="0" fontId="12" fillId="0" borderId="25" xfId="0" applyFont="1" applyBorder="1" applyAlignment="1" applyProtection="1">
      <alignment horizontal="left" vertical="top" wrapText="1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9" xfId="0" applyFont="1" applyFill="1" applyBorder="1" applyAlignment="1" applyProtection="1">
      <alignment horizontal="center" vertical="center"/>
    </xf>
    <xf numFmtId="0" fontId="12" fillId="2" borderId="5" xfId="0" applyFont="1" applyFill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left" wrapText="1"/>
    </xf>
    <xf numFmtId="0" fontId="12" fillId="2" borderId="26" xfId="0" applyFont="1" applyFill="1" applyBorder="1" applyAlignment="1" applyProtection="1">
      <alignment horizontal="center" vertical="center" wrapText="1"/>
    </xf>
    <xf numFmtId="0" fontId="12" fillId="2" borderId="26" xfId="0" applyFont="1" applyFill="1" applyBorder="1" applyAlignment="1" applyProtection="1">
      <alignment horizontal="center" vertical="center"/>
    </xf>
    <xf numFmtId="0" fontId="12" fillId="0" borderId="26" xfId="0" applyFont="1" applyFill="1" applyBorder="1" applyAlignment="1" applyProtection="1">
      <alignment horizontal="center" vertical="center"/>
    </xf>
    <xf numFmtId="0" fontId="12" fillId="0" borderId="21" xfId="0" applyFont="1" applyBorder="1" applyAlignment="1" applyProtection="1">
      <alignment horizontal="left" vertical="top"/>
    </xf>
    <xf numFmtId="0" fontId="12" fillId="0" borderId="28" xfId="0" applyFont="1" applyBorder="1" applyAlignment="1" applyProtection="1">
      <alignment horizontal="left" vertical="top"/>
    </xf>
    <xf numFmtId="0" fontId="12" fillId="0" borderId="25" xfId="0" applyFont="1" applyBorder="1" applyAlignment="1" applyProtection="1">
      <alignment horizontal="left" vertical="top"/>
    </xf>
    <xf numFmtId="0" fontId="12" fillId="0" borderId="21" xfId="0" applyFont="1" applyBorder="1" applyAlignment="1" applyProtection="1">
      <alignment horizontal="left" vertical="top" wrapText="1"/>
      <protection locked="0"/>
    </xf>
    <xf numFmtId="0" fontId="12" fillId="0" borderId="28" xfId="0" applyFont="1" applyBorder="1" applyAlignment="1" applyProtection="1">
      <alignment horizontal="left" vertical="top" wrapText="1"/>
      <protection locked="0"/>
    </xf>
    <xf numFmtId="0" fontId="12" fillId="0" borderId="25" xfId="0" applyFont="1" applyBorder="1" applyAlignment="1" applyProtection="1">
      <alignment horizontal="left" vertical="top" wrapText="1"/>
      <protection locked="0"/>
    </xf>
    <xf numFmtId="0" fontId="2" fillId="2" borderId="21" xfId="0" applyFont="1" applyFill="1" applyBorder="1" applyAlignment="1" applyProtection="1">
      <alignment horizontal="center"/>
    </xf>
    <xf numFmtId="0" fontId="2" fillId="2" borderId="25" xfId="0" applyFont="1" applyFill="1" applyBorder="1" applyAlignment="1" applyProtection="1">
      <alignment horizontal="center"/>
    </xf>
    <xf numFmtId="0" fontId="0" fillId="2" borderId="21" xfId="0" applyFont="1" applyFill="1" applyBorder="1" applyAlignment="1" applyProtection="1">
      <alignment horizontal="center" vertical="top"/>
      <protection locked="0"/>
    </xf>
    <xf numFmtId="0" fontId="0" fillId="2" borderId="25" xfId="0" applyFont="1" applyFill="1" applyBorder="1" applyAlignment="1" applyProtection="1">
      <alignment horizontal="center" vertical="top"/>
      <protection locked="0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31" xfId="0" applyFont="1" applyFill="1" applyBorder="1" applyAlignment="1" applyProtection="1">
      <alignment horizontal="center" vertical="center" wrapText="1"/>
    </xf>
    <xf numFmtId="0" fontId="4" fillId="0" borderId="32" xfId="0" applyFont="1" applyFill="1" applyBorder="1" applyAlignment="1" applyProtection="1">
      <alignment horizontal="center" vertical="center" wrapText="1"/>
    </xf>
    <xf numFmtId="0" fontId="4" fillId="5" borderId="4" xfId="0" applyFont="1" applyFill="1" applyBorder="1" applyAlignment="1" applyProtection="1">
      <alignment horizontal="center"/>
    </xf>
    <xf numFmtId="0" fontId="4" fillId="5" borderId="32" xfId="0" applyFont="1" applyFill="1" applyBorder="1" applyAlignment="1" applyProtection="1">
      <alignment horizontal="center"/>
    </xf>
    <xf numFmtId="0" fontId="4" fillId="6" borderId="4" xfId="0" applyFont="1" applyFill="1" applyBorder="1" applyAlignment="1" applyProtection="1">
      <alignment horizontal="center"/>
    </xf>
    <xf numFmtId="0" fontId="4" fillId="6" borderId="32" xfId="0" applyFont="1" applyFill="1" applyBorder="1" applyAlignment="1" applyProtection="1">
      <alignment horizontal="center"/>
    </xf>
    <xf numFmtId="0" fontId="4" fillId="7" borderId="4" xfId="0" applyFont="1" applyFill="1" applyBorder="1" applyAlignment="1" applyProtection="1">
      <alignment horizontal="center"/>
    </xf>
    <xf numFmtId="0" fontId="4" fillId="7" borderId="32" xfId="0" applyFont="1" applyFill="1" applyBorder="1" applyAlignment="1" applyProtection="1">
      <alignment horizontal="center"/>
    </xf>
    <xf numFmtId="0" fontId="4" fillId="8" borderId="4" xfId="0" applyFont="1" applyFill="1" applyBorder="1" applyAlignment="1" applyProtection="1">
      <alignment horizontal="center"/>
    </xf>
    <xf numFmtId="0" fontId="4" fillId="8" borderId="32" xfId="0" applyFont="1" applyFill="1" applyBorder="1" applyAlignment="1" applyProtection="1">
      <alignment horizontal="center"/>
    </xf>
    <xf numFmtId="0" fontId="4" fillId="9" borderId="4" xfId="0" applyFont="1" applyFill="1" applyBorder="1" applyAlignment="1" applyProtection="1">
      <alignment horizontal="center"/>
    </xf>
    <xf numFmtId="0" fontId="4" fillId="9" borderId="32" xfId="0" applyFont="1" applyFill="1" applyBorder="1" applyAlignment="1" applyProtection="1">
      <alignment horizontal="center"/>
    </xf>
    <xf numFmtId="0" fontId="4" fillId="4" borderId="4" xfId="0" applyFont="1" applyFill="1" applyBorder="1" applyAlignment="1" applyProtection="1">
      <alignment horizontal="center"/>
    </xf>
    <xf numFmtId="0" fontId="4" fillId="4" borderId="32" xfId="0" applyFont="1" applyFill="1" applyBorder="1" applyAlignment="1" applyProtection="1">
      <alignment horizontal="center"/>
    </xf>
    <xf numFmtId="0" fontId="4" fillId="30" borderId="4" xfId="0" applyFont="1" applyFill="1" applyBorder="1" applyAlignment="1" applyProtection="1">
      <alignment horizontal="center"/>
    </xf>
    <xf numFmtId="0" fontId="4" fillId="30" borderId="32" xfId="0" applyFont="1" applyFill="1" applyBorder="1" applyAlignment="1" applyProtection="1">
      <alignment horizontal="center"/>
    </xf>
    <xf numFmtId="0" fontId="0" fillId="2" borderId="21" xfId="0" applyFont="1" applyFill="1" applyBorder="1" applyAlignment="1" applyProtection="1">
      <alignment horizontal="center" vertical="top"/>
    </xf>
    <xf numFmtId="0" fontId="0" fillId="2" borderId="25" xfId="0" applyFont="1" applyFill="1" applyBorder="1" applyAlignment="1" applyProtection="1">
      <alignment horizontal="center" vertical="top"/>
    </xf>
    <xf numFmtId="0" fontId="21" fillId="2" borderId="21" xfId="0" applyFont="1" applyFill="1" applyBorder="1" applyAlignment="1" applyProtection="1">
      <alignment horizontal="center" vertical="top"/>
    </xf>
    <xf numFmtId="0" fontId="21" fillId="2" borderId="25" xfId="0" applyFont="1" applyFill="1" applyBorder="1" applyAlignment="1" applyProtection="1">
      <alignment horizontal="center" vertical="top"/>
    </xf>
    <xf numFmtId="0" fontId="25" fillId="29" borderId="11" xfId="0" applyFont="1" applyFill="1" applyBorder="1" applyAlignment="1" applyProtection="1">
      <alignment horizontal="center"/>
    </xf>
    <xf numFmtId="0" fontId="25" fillId="29" borderId="12" xfId="0" applyFont="1" applyFill="1" applyBorder="1" applyAlignment="1" applyProtection="1">
      <alignment horizontal="center"/>
    </xf>
    <xf numFmtId="0" fontId="25" fillId="29" borderId="13" xfId="0" applyFont="1" applyFill="1" applyBorder="1" applyAlignment="1" applyProtection="1">
      <alignment horizontal="center"/>
    </xf>
    <xf numFmtId="165" fontId="28" fillId="29" borderId="26" xfId="0" applyNumberFormat="1" applyFont="1" applyFill="1" applyBorder="1" applyAlignment="1" applyProtection="1">
      <alignment horizontal="center" vertical="center" wrapText="1"/>
    </xf>
    <xf numFmtId="165" fontId="37" fillId="23" borderId="21" xfId="0" applyNumberFormat="1" applyFont="1" applyFill="1" applyBorder="1" applyAlignment="1" applyProtection="1">
      <alignment horizontal="center" vertical="center" wrapText="1"/>
    </xf>
    <xf numFmtId="165" fontId="37" fillId="23" borderId="28" xfId="0" applyNumberFormat="1" applyFont="1" applyFill="1" applyBorder="1" applyAlignment="1" applyProtection="1">
      <alignment horizontal="center" vertical="center" wrapText="1"/>
    </xf>
    <xf numFmtId="165" fontId="37" fillId="23" borderId="30" xfId="0" applyNumberFormat="1" applyFont="1" applyFill="1" applyBorder="1" applyAlignment="1" applyProtection="1">
      <alignment horizontal="center" vertical="center" wrapText="1"/>
    </xf>
    <xf numFmtId="165" fontId="24" fillId="23" borderId="8" xfId="0" applyNumberFormat="1" applyFont="1" applyFill="1" applyBorder="1" applyAlignment="1" applyProtection="1">
      <alignment horizontal="left" vertical="top" wrapText="1"/>
      <protection locked="0"/>
    </xf>
    <xf numFmtId="165" fontId="24" fillId="23" borderId="0" xfId="0" applyNumberFormat="1" applyFont="1" applyFill="1" applyBorder="1" applyAlignment="1" applyProtection="1">
      <alignment horizontal="left" vertical="top" wrapText="1"/>
      <protection locked="0"/>
    </xf>
    <xf numFmtId="165" fontId="24" fillId="23" borderId="23" xfId="0" applyNumberFormat="1" applyFont="1" applyFill="1" applyBorder="1" applyAlignment="1" applyProtection="1">
      <alignment horizontal="left" vertical="top" wrapText="1"/>
      <protection locked="0"/>
    </xf>
    <xf numFmtId="165" fontId="24" fillId="23" borderId="47" xfId="0" applyNumberFormat="1" applyFont="1" applyFill="1" applyBorder="1" applyAlignment="1" applyProtection="1">
      <alignment horizontal="left" vertical="top" wrapText="1"/>
      <protection locked="0"/>
    </xf>
    <xf numFmtId="165" fontId="24" fillId="23" borderId="48" xfId="0" applyNumberFormat="1" applyFont="1" applyFill="1" applyBorder="1" applyAlignment="1" applyProtection="1">
      <alignment horizontal="left" vertical="top" wrapText="1"/>
      <protection locked="0"/>
    </xf>
    <xf numFmtId="165" fontId="24" fillId="23" borderId="49" xfId="0" applyNumberFormat="1" applyFont="1" applyFill="1" applyBorder="1" applyAlignment="1" applyProtection="1">
      <alignment horizontal="left" vertical="top" wrapText="1"/>
      <protection locked="0"/>
    </xf>
    <xf numFmtId="0" fontId="25" fillId="27" borderId="11" xfId="0" applyFont="1" applyFill="1" applyBorder="1" applyAlignment="1" applyProtection="1">
      <alignment horizontal="center"/>
    </xf>
    <xf numFmtId="0" fontId="25" fillId="27" borderId="12" xfId="0" applyFont="1" applyFill="1" applyBorder="1" applyAlignment="1" applyProtection="1">
      <alignment horizontal="center"/>
    </xf>
    <xf numFmtId="0" fontId="25" fillId="27" borderId="13" xfId="0" applyFont="1" applyFill="1" applyBorder="1" applyAlignment="1" applyProtection="1">
      <alignment horizontal="center"/>
    </xf>
    <xf numFmtId="165" fontId="28" fillId="26" borderId="26" xfId="0" applyNumberFormat="1" applyFont="1" applyFill="1" applyBorder="1" applyAlignment="1" applyProtection="1">
      <alignment horizontal="center" vertical="center" wrapText="1"/>
    </xf>
    <xf numFmtId="165" fontId="28" fillId="27" borderId="26" xfId="0" applyNumberFormat="1" applyFont="1" applyFill="1" applyBorder="1" applyAlignment="1" applyProtection="1">
      <alignment horizontal="center" vertical="center" wrapText="1"/>
    </xf>
    <xf numFmtId="0" fontId="25" fillId="15" borderId="11" xfId="0" applyFont="1" applyFill="1" applyBorder="1" applyAlignment="1" applyProtection="1">
      <alignment horizontal="center"/>
    </xf>
    <xf numFmtId="0" fontId="25" fillId="15" borderId="12" xfId="0" applyFont="1" applyFill="1" applyBorder="1" applyAlignment="1" applyProtection="1">
      <alignment horizontal="center"/>
    </xf>
    <xf numFmtId="0" fontId="25" fillId="15" borderId="13" xfId="0" applyFont="1" applyFill="1" applyBorder="1" applyAlignment="1" applyProtection="1">
      <alignment horizontal="center"/>
    </xf>
    <xf numFmtId="0" fontId="26" fillId="28" borderId="11" xfId="0" applyFont="1" applyFill="1" applyBorder="1" applyAlignment="1" applyProtection="1">
      <alignment horizontal="center"/>
    </xf>
    <xf numFmtId="0" fontId="26" fillId="28" borderId="12" xfId="0" applyFont="1" applyFill="1" applyBorder="1" applyAlignment="1" applyProtection="1">
      <alignment horizontal="center"/>
    </xf>
    <xf numFmtId="0" fontId="26" fillId="28" borderId="13" xfId="0" applyFont="1" applyFill="1" applyBorder="1" applyAlignment="1" applyProtection="1">
      <alignment horizontal="center"/>
    </xf>
    <xf numFmtId="0" fontId="25" fillId="24" borderId="11" xfId="0" applyFont="1" applyFill="1" applyBorder="1" applyAlignment="1" applyProtection="1">
      <alignment horizontal="center"/>
    </xf>
    <xf numFmtId="0" fontId="25" fillId="24" borderId="12" xfId="0" applyFont="1" applyFill="1" applyBorder="1" applyAlignment="1" applyProtection="1">
      <alignment horizontal="center"/>
    </xf>
    <xf numFmtId="0" fontId="25" fillId="24" borderId="13" xfId="0" applyFont="1" applyFill="1" applyBorder="1" applyAlignment="1" applyProtection="1">
      <alignment horizontal="center"/>
    </xf>
    <xf numFmtId="0" fontId="25" fillId="25" borderId="11" xfId="0" applyFont="1" applyFill="1" applyBorder="1" applyAlignment="1" applyProtection="1">
      <alignment horizontal="center"/>
    </xf>
    <xf numFmtId="0" fontId="25" fillId="25" borderId="12" xfId="0" applyFont="1" applyFill="1" applyBorder="1" applyAlignment="1" applyProtection="1">
      <alignment horizontal="center"/>
    </xf>
    <xf numFmtId="0" fontId="25" fillId="25" borderId="13" xfId="0" applyFont="1" applyFill="1" applyBorder="1" applyAlignment="1" applyProtection="1">
      <alignment horizontal="center"/>
    </xf>
    <xf numFmtId="0" fontId="25" fillId="26" borderId="11" xfId="0" applyFont="1" applyFill="1" applyBorder="1" applyAlignment="1" applyProtection="1">
      <alignment horizontal="center"/>
    </xf>
    <xf numFmtId="0" fontId="25" fillId="26" borderId="12" xfId="0" applyFont="1" applyFill="1" applyBorder="1" applyAlignment="1" applyProtection="1">
      <alignment horizontal="center"/>
    </xf>
    <xf numFmtId="0" fontId="25" fillId="26" borderId="13" xfId="0" applyFont="1" applyFill="1" applyBorder="1" applyAlignment="1" applyProtection="1">
      <alignment horizontal="center"/>
    </xf>
    <xf numFmtId="165" fontId="28" fillId="15" borderId="26" xfId="0" applyNumberFormat="1" applyFont="1" applyFill="1" applyBorder="1" applyAlignment="1" applyProtection="1">
      <alignment horizontal="center" vertical="center" wrapText="1"/>
    </xf>
    <xf numFmtId="165" fontId="28" fillId="28" borderId="26" xfId="0" applyNumberFormat="1" applyFont="1" applyFill="1" applyBorder="1" applyAlignment="1" applyProtection="1">
      <alignment horizontal="center" vertical="center" wrapText="1"/>
    </xf>
    <xf numFmtId="165" fontId="28" fillId="24" borderId="26" xfId="0" applyNumberFormat="1" applyFont="1" applyFill="1" applyBorder="1" applyAlignment="1" applyProtection="1">
      <alignment horizontal="center" vertical="center" wrapText="1"/>
    </xf>
    <xf numFmtId="165" fontId="28" fillId="25" borderId="26" xfId="0" applyNumberFormat="1" applyFont="1" applyFill="1" applyBorder="1" applyAlignment="1" applyProtection="1">
      <alignment horizontal="center" vertical="center" wrapText="1"/>
    </xf>
    <xf numFmtId="165" fontId="24" fillId="23" borderId="8" xfId="0" applyNumberFormat="1" applyFont="1" applyFill="1" applyBorder="1" applyAlignment="1" applyProtection="1">
      <alignment horizontal="left" vertical="top" wrapText="1"/>
    </xf>
    <xf numFmtId="165" fontId="24" fillId="23" borderId="0" xfId="0" applyNumberFormat="1" applyFont="1" applyFill="1" applyBorder="1" applyAlignment="1" applyProtection="1">
      <alignment horizontal="left" vertical="top" wrapText="1"/>
    </xf>
    <xf numFmtId="165" fontId="24" fillId="23" borderId="23" xfId="0" applyNumberFormat="1" applyFont="1" applyFill="1" applyBorder="1" applyAlignment="1" applyProtection="1">
      <alignment horizontal="left" vertical="top" wrapText="1"/>
    </xf>
    <xf numFmtId="165" fontId="24" fillId="23" borderId="47" xfId="0" applyNumberFormat="1" applyFont="1" applyFill="1" applyBorder="1" applyAlignment="1" applyProtection="1">
      <alignment horizontal="left" vertical="top" wrapText="1"/>
    </xf>
    <xf numFmtId="165" fontId="24" fillId="23" borderId="48" xfId="0" applyNumberFormat="1" applyFont="1" applyFill="1" applyBorder="1" applyAlignment="1" applyProtection="1">
      <alignment horizontal="left" vertical="top" wrapText="1"/>
    </xf>
    <xf numFmtId="165" fontId="24" fillId="23" borderId="49" xfId="0" applyNumberFormat="1" applyFont="1" applyFill="1" applyBorder="1" applyAlignment="1" applyProtection="1">
      <alignment horizontal="left" vertical="top" wrapText="1"/>
    </xf>
    <xf numFmtId="165" fontId="24" fillId="23" borderId="44" xfId="0" applyNumberFormat="1" applyFont="1" applyFill="1" applyBorder="1" applyAlignment="1" applyProtection="1">
      <alignment horizontal="left" vertical="top" wrapText="1"/>
    </xf>
    <xf numFmtId="165" fontId="24" fillId="23" borderId="45" xfId="0" applyNumberFormat="1" applyFont="1" applyFill="1" applyBorder="1" applyAlignment="1" applyProtection="1">
      <alignment horizontal="left" vertical="top" wrapText="1"/>
    </xf>
    <xf numFmtId="165" fontId="24" fillId="23" borderId="41" xfId="0" applyNumberFormat="1" applyFont="1" applyFill="1" applyBorder="1" applyAlignment="1" applyProtection="1">
      <alignment horizontal="left" vertical="top" wrapText="1"/>
    </xf>
  </cellXfs>
  <cellStyles count="5">
    <cellStyle name="Comma" xfId="1" builtinId="3"/>
    <cellStyle name="Normal" xfId="0" builtinId="0"/>
    <cellStyle name="Normal 2 2 4" xfId="3" xr:uid="{58131E79-7F1C-460F-83A0-5A70A8F0C23A}"/>
    <cellStyle name="Percent" xfId="2" builtinId="5"/>
    <cellStyle name="Percent 2" xfId="4" xr:uid="{B9E825E3-A62D-40DD-A809-26FD6E4656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E293B-E6A0-48C4-9B0C-4C9DB777A823}">
  <sheetPr>
    <pageSetUpPr fitToPage="1"/>
  </sheetPr>
  <dimension ref="B1:BP32"/>
  <sheetViews>
    <sheetView showGridLines="0" tabSelected="1" zoomScale="80" zoomScaleNormal="80" workbookViewId="0">
      <pane xSplit="3" ySplit="5" topLeftCell="AR6" activePane="bottomRight" state="frozen"/>
      <selection pane="topRight" activeCell="D1" sqref="D1"/>
      <selection pane="bottomLeft" activeCell="A6" sqref="A6"/>
      <selection pane="bottomRight" activeCell="BS15" sqref="BS15"/>
    </sheetView>
  </sheetViews>
  <sheetFormatPr defaultRowHeight="14.25" x14ac:dyDescent="0.2"/>
  <cols>
    <col min="1" max="1" width="2.140625" style="50" customWidth="1"/>
    <col min="2" max="2" width="21" style="50" customWidth="1"/>
    <col min="3" max="3" width="21.28515625" style="50" customWidth="1"/>
    <col min="4" max="4" width="14.140625" style="50" hidden="1" customWidth="1"/>
    <col min="5" max="7" width="13.140625" style="50" hidden="1" customWidth="1"/>
    <col min="8" max="8" width="16.42578125" style="117" hidden="1" customWidth="1"/>
    <col min="9" max="9" width="14.140625" style="50" hidden="1" customWidth="1"/>
    <col min="10" max="12" width="13.140625" style="50" hidden="1" customWidth="1"/>
    <col min="13" max="13" width="14.42578125" style="117" hidden="1" customWidth="1"/>
    <col min="14" max="14" width="14.140625" style="50" hidden="1" customWidth="1"/>
    <col min="15" max="17" width="13.140625" style="50" hidden="1" customWidth="1"/>
    <col min="18" max="18" width="14.42578125" style="117" hidden="1" customWidth="1"/>
    <col min="19" max="19" width="14.28515625" style="50" hidden="1" customWidth="1"/>
    <col min="20" max="22" width="13.140625" style="50" hidden="1" customWidth="1"/>
    <col min="23" max="23" width="14.42578125" style="117" hidden="1" customWidth="1"/>
    <col min="24" max="24" width="14.140625" style="50" hidden="1" customWidth="1"/>
    <col min="25" max="27" width="13.140625" style="50" hidden="1" customWidth="1"/>
    <col min="28" max="28" width="14.42578125" style="117" hidden="1" customWidth="1"/>
    <col min="29" max="29" width="14.140625" style="50" hidden="1" customWidth="1"/>
    <col min="30" max="32" width="13.140625" style="50" hidden="1" customWidth="1"/>
    <col min="33" max="33" width="14.42578125" style="117" hidden="1" customWidth="1"/>
    <col min="34" max="34" width="14.140625" style="50" hidden="1" customWidth="1"/>
    <col min="35" max="37" width="13.140625" style="50" hidden="1" customWidth="1"/>
    <col min="38" max="38" width="14.42578125" style="117" hidden="1" customWidth="1"/>
    <col min="39" max="39" width="14.140625" style="50" hidden="1" customWidth="1"/>
    <col min="40" max="42" width="13.140625" style="50" hidden="1" customWidth="1"/>
    <col min="43" max="43" width="14.42578125" style="117" hidden="1" customWidth="1"/>
    <col min="44" max="44" width="14.140625" style="50" customWidth="1"/>
    <col min="45" max="47" width="13.140625" style="50" customWidth="1"/>
    <col min="48" max="48" width="14.42578125" style="117" customWidth="1"/>
    <col min="49" max="49" width="14.140625" style="50" customWidth="1"/>
    <col min="50" max="52" width="13.140625" style="50" customWidth="1"/>
    <col min="53" max="53" width="14.42578125" style="117" customWidth="1"/>
    <col min="54" max="54" width="14.140625" style="50" customWidth="1"/>
    <col min="55" max="57" width="13.140625" style="50" customWidth="1"/>
    <col min="58" max="58" width="14.42578125" style="117" customWidth="1"/>
    <col min="59" max="59" width="14.140625" style="50" hidden="1" customWidth="1"/>
    <col min="60" max="62" width="13.140625" style="50" hidden="1" customWidth="1"/>
    <col min="63" max="63" width="14.42578125" style="117" hidden="1" customWidth="1"/>
    <col min="64" max="64" width="14.140625" style="50" hidden="1" customWidth="1"/>
    <col min="65" max="67" width="13.140625" style="50" hidden="1" customWidth="1"/>
    <col min="68" max="68" width="14.42578125" style="117" hidden="1" customWidth="1"/>
    <col min="69" max="701" width="9.140625" style="50"/>
    <col min="702" max="702" width="0" style="50" hidden="1" customWidth="1"/>
    <col min="703" max="16384" width="9.140625" style="50"/>
  </cols>
  <sheetData>
    <row r="1" spans="2:68" s="46" customFormat="1" ht="15" thickBot="1" x14ac:dyDescent="0.25">
      <c r="H1" s="47"/>
      <c r="M1" s="47"/>
      <c r="R1" s="47"/>
      <c r="W1" s="47"/>
      <c r="AB1" s="47"/>
      <c r="AG1" s="47"/>
      <c r="AL1" s="47"/>
      <c r="AQ1" s="47"/>
      <c r="AV1" s="47"/>
      <c r="BA1" s="47"/>
      <c r="BF1" s="47"/>
      <c r="BK1" s="47"/>
      <c r="BP1" s="47"/>
    </row>
    <row r="2" spans="2:68" s="46" customFormat="1" ht="23.25" customHeight="1" x14ac:dyDescent="0.25">
      <c r="B2" s="48"/>
      <c r="D2" s="407" t="s">
        <v>57</v>
      </c>
      <c r="E2" s="408"/>
      <c r="F2" s="408"/>
      <c r="G2" s="408"/>
      <c r="H2" s="409"/>
      <c r="I2" s="410" t="s">
        <v>6</v>
      </c>
      <c r="J2" s="411"/>
      <c r="K2" s="411"/>
      <c r="L2" s="411"/>
      <c r="M2" s="412"/>
      <c r="N2" s="413" t="s">
        <v>7</v>
      </c>
      <c r="O2" s="414"/>
      <c r="P2" s="414"/>
      <c r="Q2" s="414"/>
      <c r="R2" s="415"/>
      <c r="S2" s="416" t="s">
        <v>8</v>
      </c>
      <c r="T2" s="417"/>
      <c r="U2" s="417"/>
      <c r="V2" s="417"/>
      <c r="W2" s="418"/>
      <c r="X2" s="419" t="s">
        <v>9</v>
      </c>
      <c r="Y2" s="420"/>
      <c r="Z2" s="420"/>
      <c r="AA2" s="420"/>
      <c r="AB2" s="421"/>
      <c r="AC2" s="404" t="s">
        <v>10</v>
      </c>
      <c r="AD2" s="405"/>
      <c r="AE2" s="405"/>
      <c r="AF2" s="405"/>
      <c r="AG2" s="406"/>
      <c r="AH2" s="407" t="s">
        <v>11</v>
      </c>
      <c r="AI2" s="408"/>
      <c r="AJ2" s="408"/>
      <c r="AK2" s="408"/>
      <c r="AL2" s="409"/>
      <c r="AM2" s="410" t="s">
        <v>12</v>
      </c>
      <c r="AN2" s="411"/>
      <c r="AO2" s="411"/>
      <c r="AP2" s="411"/>
      <c r="AQ2" s="412"/>
      <c r="AR2" s="413" t="s">
        <v>13</v>
      </c>
      <c r="AS2" s="414"/>
      <c r="AT2" s="414"/>
      <c r="AU2" s="414"/>
      <c r="AV2" s="415"/>
      <c r="AW2" s="416" t="s">
        <v>14</v>
      </c>
      <c r="AX2" s="417"/>
      <c r="AY2" s="417"/>
      <c r="AZ2" s="417"/>
      <c r="BA2" s="418"/>
      <c r="BB2" s="419" t="s">
        <v>15</v>
      </c>
      <c r="BC2" s="420"/>
      <c r="BD2" s="420"/>
      <c r="BE2" s="420"/>
      <c r="BF2" s="421"/>
      <c r="BG2" s="437">
        <v>2023.24</v>
      </c>
      <c r="BH2" s="438"/>
      <c r="BI2" s="438"/>
      <c r="BJ2" s="438"/>
      <c r="BK2" s="439"/>
      <c r="BL2" s="422" t="s">
        <v>58</v>
      </c>
      <c r="BM2" s="423"/>
      <c r="BN2" s="423"/>
      <c r="BO2" s="423"/>
      <c r="BP2" s="424"/>
    </row>
    <row r="3" spans="2:68" ht="24" customHeight="1" thickBot="1" x14ac:dyDescent="0.3">
      <c r="B3" s="49" t="s">
        <v>59</v>
      </c>
      <c r="D3" s="425" t="s">
        <v>60</v>
      </c>
      <c r="E3" s="428" t="s">
        <v>61</v>
      </c>
      <c r="F3" s="428" t="s">
        <v>62</v>
      </c>
      <c r="G3" s="431" t="s">
        <v>63</v>
      </c>
      <c r="H3" s="434" t="s">
        <v>19</v>
      </c>
      <c r="I3" s="425" t="s">
        <v>60</v>
      </c>
      <c r="J3" s="428" t="s">
        <v>61</v>
      </c>
      <c r="K3" s="428" t="s">
        <v>62</v>
      </c>
      <c r="L3" s="431" t="s">
        <v>63</v>
      </c>
      <c r="M3" s="434" t="s">
        <v>19</v>
      </c>
      <c r="N3" s="425" t="s">
        <v>60</v>
      </c>
      <c r="O3" s="428" t="s">
        <v>61</v>
      </c>
      <c r="P3" s="428" t="s">
        <v>62</v>
      </c>
      <c r="Q3" s="431" t="s">
        <v>63</v>
      </c>
      <c r="R3" s="434" t="s">
        <v>19</v>
      </c>
      <c r="S3" s="425" t="s">
        <v>60</v>
      </c>
      <c r="T3" s="428" t="s">
        <v>61</v>
      </c>
      <c r="U3" s="428" t="s">
        <v>62</v>
      </c>
      <c r="V3" s="431" t="s">
        <v>63</v>
      </c>
      <c r="W3" s="434" t="s">
        <v>19</v>
      </c>
      <c r="X3" s="425" t="s">
        <v>60</v>
      </c>
      <c r="Y3" s="428" t="s">
        <v>61</v>
      </c>
      <c r="Z3" s="428" t="s">
        <v>62</v>
      </c>
      <c r="AA3" s="431" t="s">
        <v>63</v>
      </c>
      <c r="AB3" s="434" t="s">
        <v>19</v>
      </c>
      <c r="AC3" s="425" t="s">
        <v>60</v>
      </c>
      <c r="AD3" s="428" t="s">
        <v>61</v>
      </c>
      <c r="AE3" s="428" t="s">
        <v>62</v>
      </c>
      <c r="AF3" s="431" t="s">
        <v>63</v>
      </c>
      <c r="AG3" s="434" t="s">
        <v>19</v>
      </c>
      <c r="AH3" s="425" t="s">
        <v>60</v>
      </c>
      <c r="AI3" s="428" t="s">
        <v>61</v>
      </c>
      <c r="AJ3" s="428" t="s">
        <v>62</v>
      </c>
      <c r="AK3" s="431" t="s">
        <v>63</v>
      </c>
      <c r="AL3" s="434" t="s">
        <v>19</v>
      </c>
      <c r="AM3" s="425" t="s">
        <v>60</v>
      </c>
      <c r="AN3" s="428" t="s">
        <v>61</v>
      </c>
      <c r="AO3" s="428" t="s">
        <v>62</v>
      </c>
      <c r="AP3" s="431" t="s">
        <v>63</v>
      </c>
      <c r="AQ3" s="434" t="s">
        <v>19</v>
      </c>
      <c r="AR3" s="425" t="s">
        <v>60</v>
      </c>
      <c r="AS3" s="428" t="s">
        <v>61</v>
      </c>
      <c r="AT3" s="428" t="s">
        <v>62</v>
      </c>
      <c r="AU3" s="431" t="s">
        <v>63</v>
      </c>
      <c r="AV3" s="434" t="s">
        <v>19</v>
      </c>
      <c r="AW3" s="425" t="s">
        <v>60</v>
      </c>
      <c r="AX3" s="428" t="s">
        <v>61</v>
      </c>
      <c r="AY3" s="428" t="s">
        <v>62</v>
      </c>
      <c r="AZ3" s="431" t="s">
        <v>63</v>
      </c>
      <c r="BA3" s="434" t="s">
        <v>19</v>
      </c>
      <c r="BB3" s="425" t="s">
        <v>60</v>
      </c>
      <c r="BC3" s="428" t="s">
        <v>61</v>
      </c>
      <c r="BD3" s="428" t="s">
        <v>62</v>
      </c>
      <c r="BE3" s="431" t="s">
        <v>63</v>
      </c>
      <c r="BF3" s="434" t="s">
        <v>19</v>
      </c>
      <c r="BG3" s="425" t="s">
        <v>60</v>
      </c>
      <c r="BH3" s="428" t="s">
        <v>61</v>
      </c>
      <c r="BI3" s="428" t="s">
        <v>62</v>
      </c>
      <c r="BJ3" s="431" t="s">
        <v>63</v>
      </c>
      <c r="BK3" s="434" t="s">
        <v>19</v>
      </c>
      <c r="BL3" s="425" t="s">
        <v>60</v>
      </c>
      <c r="BM3" s="428" t="s">
        <v>61</v>
      </c>
      <c r="BN3" s="428" t="s">
        <v>62</v>
      </c>
      <c r="BO3" s="431" t="s">
        <v>63</v>
      </c>
      <c r="BP3" s="434" t="s">
        <v>19</v>
      </c>
    </row>
    <row r="4" spans="2:68" ht="22.5" customHeight="1" thickBot="1" x14ac:dyDescent="0.25">
      <c r="B4" s="51" t="s">
        <v>64</v>
      </c>
      <c r="C4" s="52"/>
      <c r="D4" s="426"/>
      <c r="E4" s="429"/>
      <c r="F4" s="429"/>
      <c r="G4" s="432"/>
      <c r="H4" s="435"/>
      <c r="I4" s="426"/>
      <c r="J4" s="429"/>
      <c r="K4" s="429"/>
      <c r="L4" s="432"/>
      <c r="M4" s="435"/>
      <c r="N4" s="426"/>
      <c r="O4" s="429"/>
      <c r="P4" s="429"/>
      <c r="Q4" s="432"/>
      <c r="R4" s="435"/>
      <c r="S4" s="426"/>
      <c r="T4" s="429"/>
      <c r="U4" s="429"/>
      <c r="V4" s="432"/>
      <c r="W4" s="435"/>
      <c r="X4" s="426"/>
      <c r="Y4" s="429"/>
      <c r="Z4" s="429"/>
      <c r="AA4" s="432"/>
      <c r="AB4" s="435"/>
      <c r="AC4" s="426"/>
      <c r="AD4" s="429"/>
      <c r="AE4" s="429"/>
      <c r="AF4" s="432"/>
      <c r="AG4" s="435"/>
      <c r="AH4" s="426"/>
      <c r="AI4" s="429"/>
      <c r="AJ4" s="429"/>
      <c r="AK4" s="432"/>
      <c r="AL4" s="435"/>
      <c r="AM4" s="426"/>
      <c r="AN4" s="429"/>
      <c r="AO4" s="429"/>
      <c r="AP4" s="432"/>
      <c r="AQ4" s="435"/>
      <c r="AR4" s="426"/>
      <c r="AS4" s="429"/>
      <c r="AT4" s="429"/>
      <c r="AU4" s="432"/>
      <c r="AV4" s="435"/>
      <c r="AW4" s="426"/>
      <c r="AX4" s="429"/>
      <c r="AY4" s="429"/>
      <c r="AZ4" s="432"/>
      <c r="BA4" s="435"/>
      <c r="BB4" s="426"/>
      <c r="BC4" s="429"/>
      <c r="BD4" s="429"/>
      <c r="BE4" s="432"/>
      <c r="BF4" s="435"/>
      <c r="BG4" s="426"/>
      <c r="BH4" s="429"/>
      <c r="BI4" s="429"/>
      <c r="BJ4" s="432"/>
      <c r="BK4" s="435"/>
      <c r="BL4" s="426"/>
      <c r="BM4" s="429"/>
      <c r="BN4" s="429"/>
      <c r="BO4" s="432"/>
      <c r="BP4" s="435"/>
    </row>
    <row r="5" spans="2:68" ht="18" customHeight="1" x14ac:dyDescent="0.25">
      <c r="B5" s="53"/>
      <c r="C5" s="54"/>
      <c r="D5" s="427"/>
      <c r="E5" s="430"/>
      <c r="F5" s="430"/>
      <c r="G5" s="433"/>
      <c r="H5" s="436"/>
      <c r="I5" s="427"/>
      <c r="J5" s="430"/>
      <c r="K5" s="430"/>
      <c r="L5" s="433"/>
      <c r="M5" s="436"/>
      <c r="N5" s="427"/>
      <c r="O5" s="430"/>
      <c r="P5" s="430"/>
      <c r="Q5" s="433"/>
      <c r="R5" s="436"/>
      <c r="S5" s="427"/>
      <c r="T5" s="430"/>
      <c r="U5" s="430"/>
      <c r="V5" s="433"/>
      <c r="W5" s="436"/>
      <c r="X5" s="427"/>
      <c r="Y5" s="430"/>
      <c r="Z5" s="430"/>
      <c r="AA5" s="433"/>
      <c r="AB5" s="436"/>
      <c r="AC5" s="427"/>
      <c r="AD5" s="430"/>
      <c r="AE5" s="430"/>
      <c r="AF5" s="433"/>
      <c r="AG5" s="436"/>
      <c r="AH5" s="427"/>
      <c r="AI5" s="430"/>
      <c r="AJ5" s="430"/>
      <c r="AK5" s="433"/>
      <c r="AL5" s="436"/>
      <c r="AM5" s="427"/>
      <c r="AN5" s="430"/>
      <c r="AO5" s="430"/>
      <c r="AP5" s="433"/>
      <c r="AQ5" s="436"/>
      <c r="AR5" s="427"/>
      <c r="AS5" s="430"/>
      <c r="AT5" s="430"/>
      <c r="AU5" s="433"/>
      <c r="AV5" s="436"/>
      <c r="AW5" s="427"/>
      <c r="AX5" s="430"/>
      <c r="AY5" s="430"/>
      <c r="AZ5" s="433"/>
      <c r="BA5" s="436"/>
      <c r="BB5" s="427"/>
      <c r="BC5" s="430"/>
      <c r="BD5" s="430"/>
      <c r="BE5" s="433"/>
      <c r="BF5" s="436"/>
      <c r="BG5" s="427"/>
      <c r="BH5" s="430"/>
      <c r="BI5" s="430"/>
      <c r="BJ5" s="433"/>
      <c r="BK5" s="436"/>
      <c r="BL5" s="427"/>
      <c r="BM5" s="430"/>
      <c r="BN5" s="430"/>
      <c r="BO5" s="433"/>
      <c r="BP5" s="436"/>
    </row>
    <row r="6" spans="2:68" ht="36.75" customHeight="1" x14ac:dyDescent="0.25">
      <c r="B6" s="55" t="s">
        <v>65</v>
      </c>
      <c r="C6" s="56"/>
      <c r="D6" s="57"/>
      <c r="E6" s="58"/>
      <c r="F6" s="58"/>
      <c r="G6" s="58"/>
      <c r="H6" s="59"/>
      <c r="I6" s="57"/>
      <c r="J6" s="58"/>
      <c r="K6" s="58"/>
      <c r="L6" s="58"/>
      <c r="M6" s="59"/>
      <c r="N6" s="57"/>
      <c r="O6" s="58"/>
      <c r="P6" s="58"/>
      <c r="Q6" s="58"/>
      <c r="R6" s="59"/>
      <c r="S6" s="57"/>
      <c r="T6" s="58"/>
      <c r="U6" s="58"/>
      <c r="V6" s="58"/>
      <c r="W6" s="59"/>
      <c r="X6" s="57"/>
      <c r="Y6" s="58"/>
      <c r="Z6" s="58"/>
      <c r="AA6" s="58"/>
      <c r="AB6" s="59"/>
      <c r="AC6" s="57"/>
      <c r="AD6" s="58"/>
      <c r="AE6" s="58"/>
      <c r="AF6" s="58"/>
      <c r="AG6" s="59"/>
      <c r="AH6" s="57"/>
      <c r="AI6" s="58"/>
      <c r="AJ6" s="58"/>
      <c r="AK6" s="58"/>
      <c r="AL6" s="59"/>
      <c r="AM6" s="57"/>
      <c r="AN6" s="58"/>
      <c r="AO6" s="58"/>
      <c r="AP6" s="58"/>
      <c r="AQ6" s="59"/>
      <c r="AR6" s="57"/>
      <c r="AS6" s="58"/>
      <c r="AT6" s="58"/>
      <c r="AU6" s="58"/>
      <c r="AV6" s="59"/>
      <c r="AW6" s="57"/>
      <c r="AX6" s="58"/>
      <c r="AY6" s="58"/>
      <c r="AZ6" s="58"/>
      <c r="BA6" s="59"/>
      <c r="BB6" s="57"/>
      <c r="BC6" s="58"/>
      <c r="BD6" s="58"/>
      <c r="BE6" s="58"/>
      <c r="BF6" s="59"/>
      <c r="BG6" s="57"/>
      <c r="BH6" s="58"/>
      <c r="BI6" s="58"/>
      <c r="BJ6" s="58"/>
      <c r="BK6" s="59"/>
      <c r="BL6" s="57"/>
      <c r="BM6" s="58"/>
      <c r="BN6" s="58"/>
      <c r="BO6" s="58"/>
      <c r="BP6" s="59"/>
    </row>
    <row r="7" spans="2:68" ht="18" customHeight="1" x14ac:dyDescent="0.2">
      <c r="B7" s="443" t="s">
        <v>66</v>
      </c>
      <c r="C7" s="60" t="s">
        <v>67</v>
      </c>
      <c r="D7" s="61">
        <v>28127</v>
      </c>
      <c r="E7" s="62">
        <v>515716</v>
      </c>
      <c r="F7" s="62">
        <v>42779.5</v>
      </c>
      <c r="G7" s="63">
        <f>IF($B$4="quarter",SUM((E7/45),(F7/900)),IF($B$4="semester",SUM((E7/30),F7/900)))</f>
        <v>11507.888333333334</v>
      </c>
      <c r="H7" s="64">
        <v>26505428</v>
      </c>
      <c r="I7" s="65">
        <v>27789</v>
      </c>
      <c r="J7" s="62">
        <v>468218.5</v>
      </c>
      <c r="K7" s="62">
        <v>39193.800000000003</v>
      </c>
      <c r="L7" s="63">
        <f>IF($B$4="quarter",SUM((J7/45),(K7/900)),IF($B$4="semester",SUM((J7/30),K7/900)))</f>
        <v>10448.404222222223</v>
      </c>
      <c r="M7" s="64">
        <v>24605676</v>
      </c>
      <c r="N7" s="65">
        <v>26108</v>
      </c>
      <c r="O7" s="62">
        <v>438470</v>
      </c>
      <c r="P7" s="62">
        <v>32530.7</v>
      </c>
      <c r="Q7" s="63">
        <f>IF($B$4="quarter",SUM((O7/45),(P7/900)),IF($B$4="semester",SUM((O7/30),P7/900)))</f>
        <v>9779.9229999999989</v>
      </c>
      <c r="R7" s="64">
        <v>23198897</v>
      </c>
      <c r="S7" s="65">
        <v>22432</v>
      </c>
      <c r="T7" s="62">
        <v>417048</v>
      </c>
      <c r="U7" s="62">
        <v>34964.5</v>
      </c>
      <c r="V7" s="63">
        <f>IF($B$4="quarter",SUM((T7/45),(U7/900)),IF($B$4="semester",SUM((T7/30),U7/900)))</f>
        <v>9306.5827777777777</v>
      </c>
      <c r="W7" s="64">
        <v>22756349</v>
      </c>
      <c r="X7" s="65">
        <v>22986</v>
      </c>
      <c r="Y7" s="62">
        <v>422220</v>
      </c>
      <c r="Z7" s="62">
        <v>37138.699999999997</v>
      </c>
      <c r="AA7" s="63">
        <f>IF($B$4="quarter",SUM((Y7/45),(Z7/900)),IF($B$4="semester",SUM((Y7/30),Z7/900)))</f>
        <v>9423.9318888888884</v>
      </c>
      <c r="AB7" s="64">
        <v>23576734</v>
      </c>
      <c r="AC7" s="66">
        <v>23005</v>
      </c>
      <c r="AD7" s="67">
        <v>420197</v>
      </c>
      <c r="AE7" s="67">
        <v>42765.25</v>
      </c>
      <c r="AF7" s="63">
        <f>IF($B$4="quarter",SUM((AD7/45),(AE7/900)),IF($B$4="semester",SUM((AD7/30),AE7/900)))</f>
        <v>9385.2280555555553</v>
      </c>
      <c r="AG7" s="64">
        <v>23753576</v>
      </c>
      <c r="AH7" s="66">
        <v>23063</v>
      </c>
      <c r="AI7" s="67">
        <v>422170</v>
      </c>
      <c r="AJ7" s="67">
        <v>52701.5</v>
      </c>
      <c r="AK7" s="63">
        <f>IF($B$4="quarter",SUM((AI7/45),(AJ7/900)),IF($B$4="semester",SUM((AI7/30),AJ7/900)))</f>
        <v>9440.1127777777765</v>
      </c>
      <c r="AL7" s="64">
        <v>25410033</v>
      </c>
      <c r="AM7" s="66">
        <v>21495</v>
      </c>
      <c r="AN7" s="67">
        <v>391700.5</v>
      </c>
      <c r="AO7" s="67">
        <v>46969</v>
      </c>
      <c r="AP7" s="63">
        <f>IF($B$4="quarter",SUM((AN7/45),(AO7/900)),IF($B$4="semester",SUM((AN7/30),AO7/900)))</f>
        <v>8756.6433333333334</v>
      </c>
      <c r="AQ7" s="64">
        <v>24057091</v>
      </c>
      <c r="AR7" s="66">
        <v>20276</v>
      </c>
      <c r="AS7" s="67">
        <v>353138.5</v>
      </c>
      <c r="AT7" s="67">
        <v>63901</v>
      </c>
      <c r="AU7" s="63">
        <f>IF($B$4="quarter",SUM((AS7/45),(AT7/900)),IF($B$4="semester",SUM((AS7/30),AT7/900)))</f>
        <v>7918.5233333333326</v>
      </c>
      <c r="AV7" s="64">
        <v>21009823</v>
      </c>
      <c r="AW7" s="66">
        <v>20162</v>
      </c>
      <c r="AX7" s="67">
        <v>347099</v>
      </c>
      <c r="AY7" s="67">
        <v>58746</v>
      </c>
      <c r="AZ7" s="63">
        <f>IF($B$4="quarter",SUM((AX7/45),(AY7/900)),IF($B$4="semester",SUM((AX7/30),AY7/900)))</f>
        <v>7778.5844444444447</v>
      </c>
      <c r="BA7" s="64">
        <v>20269778</v>
      </c>
      <c r="BB7" s="68">
        <v>22015</v>
      </c>
      <c r="BC7" s="69">
        <v>370115</v>
      </c>
      <c r="BD7" s="69">
        <v>70864</v>
      </c>
      <c r="BE7" s="63">
        <f>IF($B$4="quarter",SUM((BC7/45),(BD7/900)),IF($B$4="semester",SUM((BC7/30),BD7/900)))</f>
        <v>8303.5155555555557</v>
      </c>
      <c r="BF7" s="70">
        <v>21950019</v>
      </c>
      <c r="BG7" s="66"/>
      <c r="BH7" s="67"/>
      <c r="BI7" s="67"/>
      <c r="BJ7" s="63">
        <f>IF($B$4="quarter",SUM((BH7/45),(BI7/900)),IF($B$4="semester",SUM((BH7/30),BI7/900)))</f>
        <v>0</v>
      </c>
      <c r="BK7" s="64"/>
      <c r="BL7" s="66"/>
      <c r="BM7" s="67"/>
      <c r="BN7" s="67"/>
      <c r="BO7" s="63">
        <f>IF($B$4="quarter",SUM((BM7/45),(BN7/900)),IF($B$4="semester",SUM((BM7/30),BN7/900)))</f>
        <v>0</v>
      </c>
      <c r="BP7" s="64"/>
    </row>
    <row r="8" spans="2:68" ht="18" customHeight="1" x14ac:dyDescent="0.2">
      <c r="B8" s="444"/>
      <c r="C8" s="60" t="s">
        <v>68</v>
      </c>
      <c r="D8" s="61">
        <v>1844</v>
      </c>
      <c r="E8" s="62">
        <v>29213.5</v>
      </c>
      <c r="F8" s="62">
        <v>1807.6</v>
      </c>
      <c r="G8" s="63">
        <f>IF($B$4="quarter",SUM((E8/45),(F8/900)),IF($B$4="semester",SUM((E8/30),F8/900)))</f>
        <v>651.19733333333329</v>
      </c>
      <c r="H8" s="64">
        <v>1678118</v>
      </c>
      <c r="I8" s="65">
        <v>1583</v>
      </c>
      <c r="J8" s="62">
        <v>25271.5</v>
      </c>
      <c r="K8" s="62">
        <v>1654.9</v>
      </c>
      <c r="L8" s="63">
        <f>IF($B$4="quarter",SUM((J8/45),(K8/900)),IF($B$4="semester",SUM((J8/30),K8/900)))</f>
        <v>563.4276666666666</v>
      </c>
      <c r="M8" s="64">
        <v>1567976</v>
      </c>
      <c r="N8" s="65">
        <v>1665</v>
      </c>
      <c r="O8" s="62">
        <v>25159.5</v>
      </c>
      <c r="P8" s="62">
        <v>1892</v>
      </c>
      <c r="Q8" s="63">
        <f>IF($B$4="quarter",SUM((O8/45),(P8/900)),IF($B$4="semester",SUM((O8/30),P8/900)))</f>
        <v>561.20222222222219</v>
      </c>
      <c r="R8" s="64">
        <v>1584542</v>
      </c>
      <c r="S8" s="65">
        <v>1260</v>
      </c>
      <c r="T8" s="62">
        <v>23636</v>
      </c>
      <c r="U8" s="62">
        <v>1836</v>
      </c>
      <c r="V8" s="63">
        <f>IF($B$4="quarter",SUM((T8/45),(U8/900)),IF($B$4="semester",SUM((T8/30),U8/900)))</f>
        <v>527.28444444444438</v>
      </c>
      <c r="W8" s="64">
        <v>1617597</v>
      </c>
      <c r="X8" s="65">
        <v>1315</v>
      </c>
      <c r="Y8" s="62">
        <v>23987.5</v>
      </c>
      <c r="Z8" s="62">
        <v>5396.5</v>
      </c>
      <c r="AA8" s="63">
        <f>IF($B$4="quarter",SUM((Y8/45),(Z8/900)),IF($B$4="semester",SUM((Y8/30),Z8/900)))</f>
        <v>539.05166666666662</v>
      </c>
      <c r="AB8" s="64">
        <v>1777520</v>
      </c>
      <c r="AC8" s="66">
        <v>1321</v>
      </c>
      <c r="AD8" s="67">
        <v>23946</v>
      </c>
      <c r="AE8" s="67">
        <v>5226.05</v>
      </c>
      <c r="AF8" s="63">
        <f>IF($B$4="quarter",SUM((AD8/45),(AE8/900)),IF($B$4="semester",SUM((AD8/30),AE8/900)))</f>
        <v>537.94005555555555</v>
      </c>
      <c r="AG8" s="64">
        <v>2172579</v>
      </c>
      <c r="AH8" s="66">
        <v>1258</v>
      </c>
      <c r="AI8" s="67">
        <v>21954.5</v>
      </c>
      <c r="AJ8" s="67">
        <v>5933.5</v>
      </c>
      <c r="AK8" s="63">
        <f>IF($B$4="quarter",SUM((AI8/45),(AJ8/900)),IF($B$4="semester",SUM((AI8/30),AJ8/900)))</f>
        <v>494.47055555555556</v>
      </c>
      <c r="AL8" s="64">
        <v>2142736</v>
      </c>
      <c r="AM8" s="66">
        <v>1155</v>
      </c>
      <c r="AN8" s="67">
        <v>18599</v>
      </c>
      <c r="AO8" s="67">
        <v>4624</v>
      </c>
      <c r="AP8" s="63">
        <f>IF($B$4="quarter",SUM((AN8/45),(AO8/900)),IF($B$4="semester",SUM((AN8/30),AO8/900)))</f>
        <v>418.44888888888892</v>
      </c>
      <c r="AQ8" s="64">
        <v>1930522</v>
      </c>
      <c r="AR8" s="66">
        <v>966</v>
      </c>
      <c r="AS8" s="67">
        <v>16550.5</v>
      </c>
      <c r="AT8" s="67">
        <v>2940</v>
      </c>
      <c r="AU8" s="63">
        <f>IF($B$4="quarter",SUM((AS8/45),(AT8/900)),IF($B$4="semester",SUM((AS8/30),AT8/900)))</f>
        <v>371.05555555555554</v>
      </c>
      <c r="AV8" s="64">
        <v>1751129</v>
      </c>
      <c r="AW8" s="66">
        <v>844</v>
      </c>
      <c r="AX8" s="67">
        <v>14006</v>
      </c>
      <c r="AY8" s="67">
        <v>2371</v>
      </c>
      <c r="AZ8" s="63">
        <f>IF($B$4="quarter",SUM((AX8/45),(AY8/900)),IF($B$4="semester",SUM((AX8/30),AY8/900)))</f>
        <v>313.87888888888892</v>
      </c>
      <c r="BA8" s="64">
        <v>1469924</v>
      </c>
      <c r="BB8" s="68">
        <v>855</v>
      </c>
      <c r="BC8" s="69">
        <v>15610</v>
      </c>
      <c r="BD8" s="69">
        <v>6603</v>
      </c>
      <c r="BE8" s="63">
        <f>IF($B$4="quarter",SUM((BC8/45),(BD8/900)),IF($B$4="semester",SUM((BC8/30),BD8/900)))</f>
        <v>354.22555555555556</v>
      </c>
      <c r="BF8" s="70">
        <v>1216238</v>
      </c>
      <c r="BG8" s="66"/>
      <c r="BH8" s="67"/>
      <c r="BI8" s="67"/>
      <c r="BJ8" s="63">
        <f>IF($B$4="quarter",SUM((BH8/45),(BI8/900)),IF($B$4="semester",SUM((BH8/30),BI8/900)))</f>
        <v>0</v>
      </c>
      <c r="BK8" s="64"/>
      <c r="BL8" s="66"/>
      <c r="BM8" s="67"/>
      <c r="BN8" s="67"/>
      <c r="BO8" s="63">
        <f>IF($B$4="quarter",SUM((BM8/45),(BN8/900)),IF($B$4="semester",SUM((BM8/30),BN8/900)))</f>
        <v>0</v>
      </c>
      <c r="BP8" s="64"/>
    </row>
    <row r="9" spans="2:68" ht="18" customHeight="1" x14ac:dyDescent="0.25">
      <c r="B9" s="445"/>
      <c r="C9" s="71" t="s">
        <v>69</v>
      </c>
      <c r="D9" s="72">
        <f>SUM(D7:D8)</f>
        <v>29971</v>
      </c>
      <c r="E9" s="63">
        <f>SUM(E7:E8)</f>
        <v>544929.5</v>
      </c>
      <c r="F9" s="63">
        <f>SUM(F7:F8)</f>
        <v>44587.1</v>
      </c>
      <c r="G9" s="73">
        <f>SUM(G7:G8)</f>
        <v>12159.085666666668</v>
      </c>
      <c r="H9" s="74">
        <f t="shared" ref="H9" si="0">SUM(H7:H8)</f>
        <v>28183546</v>
      </c>
      <c r="I9" s="72">
        <f>SUM(I7:I8)</f>
        <v>29372</v>
      </c>
      <c r="J9" s="63">
        <f>SUM(J7:J8)</f>
        <v>493490</v>
      </c>
      <c r="K9" s="63">
        <f>SUM(K7:K8)</f>
        <v>40848.700000000004</v>
      </c>
      <c r="L9" s="63">
        <f>SUM(L7:L8)</f>
        <v>11011.83188888889</v>
      </c>
      <c r="M9" s="74">
        <f t="shared" ref="M9:BP9" si="1">SUM(M7:M8)</f>
        <v>26173652</v>
      </c>
      <c r="N9" s="72">
        <f t="shared" si="1"/>
        <v>27773</v>
      </c>
      <c r="O9" s="63">
        <f t="shared" si="1"/>
        <v>463629.5</v>
      </c>
      <c r="P9" s="63">
        <f t="shared" si="1"/>
        <v>34422.699999999997</v>
      </c>
      <c r="Q9" s="63">
        <f t="shared" si="1"/>
        <v>10341.125222222221</v>
      </c>
      <c r="R9" s="74">
        <f t="shared" si="1"/>
        <v>24783439</v>
      </c>
      <c r="S9" s="72">
        <f t="shared" si="1"/>
        <v>23692</v>
      </c>
      <c r="T9" s="63">
        <f t="shared" si="1"/>
        <v>440684</v>
      </c>
      <c r="U9" s="63">
        <f t="shared" si="1"/>
        <v>36800.5</v>
      </c>
      <c r="V9" s="63">
        <f t="shared" si="1"/>
        <v>9833.8672222222212</v>
      </c>
      <c r="W9" s="74">
        <f t="shared" si="1"/>
        <v>24373946</v>
      </c>
      <c r="X9" s="72">
        <f t="shared" si="1"/>
        <v>24301</v>
      </c>
      <c r="Y9" s="63">
        <f t="shared" si="1"/>
        <v>446207.5</v>
      </c>
      <c r="Z9" s="63">
        <f t="shared" si="1"/>
        <v>42535.199999999997</v>
      </c>
      <c r="AA9" s="63">
        <f t="shared" si="1"/>
        <v>9962.9835555555546</v>
      </c>
      <c r="AB9" s="74">
        <f t="shared" si="1"/>
        <v>25354254</v>
      </c>
      <c r="AC9" s="72">
        <f t="shared" si="1"/>
        <v>24326</v>
      </c>
      <c r="AD9" s="63">
        <f t="shared" si="1"/>
        <v>444143</v>
      </c>
      <c r="AE9" s="63">
        <f t="shared" si="1"/>
        <v>47991.3</v>
      </c>
      <c r="AF9" s="63">
        <f t="shared" si="1"/>
        <v>9923.1681111111102</v>
      </c>
      <c r="AG9" s="74">
        <f t="shared" si="1"/>
        <v>25926155</v>
      </c>
      <c r="AH9" s="72">
        <f t="shared" si="1"/>
        <v>24321</v>
      </c>
      <c r="AI9" s="63">
        <f t="shared" si="1"/>
        <v>444124.5</v>
      </c>
      <c r="AJ9" s="63">
        <f t="shared" si="1"/>
        <v>58635</v>
      </c>
      <c r="AK9" s="63">
        <f t="shared" si="1"/>
        <v>9934.5833333333321</v>
      </c>
      <c r="AL9" s="74">
        <f t="shared" si="1"/>
        <v>27552769</v>
      </c>
      <c r="AM9" s="72">
        <f t="shared" si="1"/>
        <v>22650</v>
      </c>
      <c r="AN9" s="63">
        <f t="shared" si="1"/>
        <v>410299.5</v>
      </c>
      <c r="AO9" s="63">
        <f t="shared" si="1"/>
        <v>51593</v>
      </c>
      <c r="AP9" s="63">
        <f t="shared" si="1"/>
        <v>9175.0922222222216</v>
      </c>
      <c r="AQ9" s="74">
        <f t="shared" si="1"/>
        <v>25987613</v>
      </c>
      <c r="AR9" s="72">
        <f t="shared" si="1"/>
        <v>21242</v>
      </c>
      <c r="AS9" s="63">
        <f t="shared" si="1"/>
        <v>369689</v>
      </c>
      <c r="AT9" s="63">
        <f t="shared" si="1"/>
        <v>66841</v>
      </c>
      <c r="AU9" s="63">
        <f t="shared" si="1"/>
        <v>8289.5788888888874</v>
      </c>
      <c r="AV9" s="74">
        <f t="shared" si="1"/>
        <v>22760952</v>
      </c>
      <c r="AW9" s="72">
        <f t="shared" si="1"/>
        <v>21006</v>
      </c>
      <c r="AX9" s="63">
        <f t="shared" si="1"/>
        <v>361105</v>
      </c>
      <c r="AY9" s="63">
        <f t="shared" si="1"/>
        <v>61117</v>
      </c>
      <c r="AZ9" s="63">
        <f t="shared" si="1"/>
        <v>8092.4633333333331</v>
      </c>
      <c r="BA9" s="74">
        <f t="shared" si="1"/>
        <v>21739702</v>
      </c>
      <c r="BB9" s="72">
        <f t="shared" si="1"/>
        <v>22870</v>
      </c>
      <c r="BC9" s="63">
        <f t="shared" si="1"/>
        <v>385725</v>
      </c>
      <c r="BD9" s="63">
        <f t="shared" si="1"/>
        <v>77467</v>
      </c>
      <c r="BE9" s="63">
        <f t="shared" si="1"/>
        <v>8657.7411111111105</v>
      </c>
      <c r="BF9" s="74">
        <f t="shared" si="1"/>
        <v>23166257</v>
      </c>
      <c r="BG9" s="72">
        <f t="shared" si="1"/>
        <v>0</v>
      </c>
      <c r="BH9" s="63">
        <f t="shared" si="1"/>
        <v>0</v>
      </c>
      <c r="BI9" s="63">
        <f t="shared" si="1"/>
        <v>0</v>
      </c>
      <c r="BJ9" s="63">
        <f t="shared" si="1"/>
        <v>0</v>
      </c>
      <c r="BK9" s="74">
        <f t="shared" si="1"/>
        <v>0</v>
      </c>
      <c r="BL9" s="72">
        <f t="shared" si="1"/>
        <v>0</v>
      </c>
      <c r="BM9" s="63">
        <f t="shared" si="1"/>
        <v>0</v>
      </c>
      <c r="BN9" s="63">
        <f t="shared" si="1"/>
        <v>0</v>
      </c>
      <c r="BO9" s="63">
        <f t="shared" si="1"/>
        <v>0</v>
      </c>
      <c r="BP9" s="74">
        <f t="shared" si="1"/>
        <v>0</v>
      </c>
    </row>
    <row r="10" spans="2:68" s="76" customFormat="1" ht="24.75" customHeight="1" x14ac:dyDescent="0.2">
      <c r="B10" s="75" t="s">
        <v>70</v>
      </c>
      <c r="D10" s="57"/>
      <c r="E10" s="58"/>
      <c r="F10" s="58"/>
      <c r="G10" s="58"/>
      <c r="H10" s="77"/>
      <c r="I10" s="78"/>
      <c r="J10" s="58"/>
      <c r="K10" s="58"/>
      <c r="L10" s="58"/>
      <c r="M10" s="79"/>
      <c r="N10" s="57"/>
      <c r="O10" s="58"/>
      <c r="P10" s="58"/>
      <c r="Q10" s="58"/>
      <c r="R10" s="79"/>
      <c r="S10" s="57"/>
      <c r="T10" s="58"/>
      <c r="U10" s="58"/>
      <c r="V10" s="58"/>
      <c r="W10" s="79"/>
      <c r="X10" s="57"/>
      <c r="Y10" s="58"/>
      <c r="Z10" s="58"/>
      <c r="AA10" s="58"/>
      <c r="AB10" s="79"/>
      <c r="AC10" s="57"/>
      <c r="AD10" s="58"/>
      <c r="AE10" s="58"/>
      <c r="AF10" s="80"/>
      <c r="AG10" s="81"/>
      <c r="AH10" s="57"/>
      <c r="AI10" s="58"/>
      <c r="AJ10" s="58"/>
      <c r="AK10" s="80"/>
      <c r="AL10" s="81"/>
      <c r="AM10" s="57"/>
      <c r="AN10" s="58"/>
      <c r="AO10" s="58"/>
      <c r="AP10" s="80"/>
      <c r="AQ10" s="81"/>
      <c r="AR10" s="57"/>
      <c r="AS10" s="58"/>
      <c r="AT10" s="58"/>
      <c r="AU10" s="58"/>
      <c r="AV10" s="79"/>
      <c r="AW10" s="57"/>
      <c r="AX10" s="58"/>
      <c r="AY10" s="58"/>
      <c r="AZ10" s="58"/>
      <c r="BA10" s="79"/>
      <c r="BB10" s="57"/>
      <c r="BC10" s="58"/>
      <c r="BD10" s="58"/>
      <c r="BE10" s="58"/>
      <c r="BF10" s="79"/>
      <c r="BG10" s="57"/>
      <c r="BH10" s="58"/>
      <c r="BI10" s="58"/>
      <c r="BJ10" s="58"/>
      <c r="BK10" s="79"/>
      <c r="BL10" s="57"/>
      <c r="BM10" s="58"/>
      <c r="BN10" s="58"/>
      <c r="BO10" s="58"/>
      <c r="BP10" s="79"/>
    </row>
    <row r="11" spans="2:68" s="86" customFormat="1" ht="18" customHeight="1" x14ac:dyDescent="0.25">
      <c r="B11" s="82" t="s">
        <v>71</v>
      </c>
      <c r="C11" s="76"/>
      <c r="D11" s="57"/>
      <c r="E11" s="58"/>
      <c r="F11" s="58"/>
      <c r="G11" s="58"/>
      <c r="H11" s="83">
        <v>326763</v>
      </c>
      <c r="I11" s="78"/>
      <c r="J11" s="58"/>
      <c r="K11" s="58"/>
      <c r="L11" s="58"/>
      <c r="M11" s="84">
        <v>326147</v>
      </c>
      <c r="N11" s="57"/>
      <c r="O11" s="58"/>
      <c r="P11" s="58"/>
      <c r="Q11" s="58"/>
      <c r="R11" s="84">
        <v>273474</v>
      </c>
      <c r="S11" s="57"/>
      <c r="T11" s="58"/>
      <c r="U11" s="58"/>
      <c r="V11" s="58"/>
      <c r="W11" s="84">
        <v>36717</v>
      </c>
      <c r="X11" s="57"/>
      <c r="Y11" s="58"/>
      <c r="Z11" s="58"/>
      <c r="AA11" s="58"/>
      <c r="AB11" s="84">
        <v>45843</v>
      </c>
      <c r="AC11" s="57"/>
      <c r="AD11" s="58"/>
      <c r="AE11" s="58"/>
      <c r="AF11" s="58"/>
      <c r="AG11" s="84">
        <v>34085</v>
      </c>
      <c r="AH11" s="57"/>
      <c r="AI11" s="58"/>
      <c r="AJ11" s="58"/>
      <c r="AK11" s="58"/>
      <c r="AL11" s="84">
        <v>37490</v>
      </c>
      <c r="AM11" s="57"/>
      <c r="AN11" s="58"/>
      <c r="AO11" s="58"/>
      <c r="AP11" s="58"/>
      <c r="AQ11" s="84">
        <v>23872</v>
      </c>
      <c r="AR11" s="57"/>
      <c r="AS11" s="58"/>
      <c r="AT11" s="58"/>
      <c r="AU11" s="58"/>
      <c r="AV11" s="84">
        <v>8316</v>
      </c>
      <c r="AW11" s="57"/>
      <c r="AX11" s="58"/>
      <c r="AY11" s="58"/>
      <c r="AZ11" s="58"/>
      <c r="BA11" s="84">
        <v>0</v>
      </c>
      <c r="BB11" s="57"/>
      <c r="BC11" s="58"/>
      <c r="BD11" s="58"/>
      <c r="BE11" s="58"/>
      <c r="BF11" s="85">
        <v>0</v>
      </c>
      <c r="BG11" s="57"/>
      <c r="BH11" s="58"/>
      <c r="BI11" s="58"/>
      <c r="BJ11" s="58"/>
      <c r="BK11" s="84"/>
      <c r="BL11" s="57"/>
      <c r="BM11" s="58"/>
      <c r="BN11" s="58"/>
      <c r="BO11" s="58"/>
      <c r="BP11" s="84"/>
    </row>
    <row r="12" spans="2:68" s="86" customFormat="1" ht="18" customHeight="1" x14ac:dyDescent="0.25">
      <c r="B12" s="82" t="s">
        <v>72</v>
      </c>
      <c r="C12" s="76"/>
      <c r="D12" s="57"/>
      <c r="E12" s="58"/>
      <c r="F12" s="58"/>
      <c r="G12" s="58"/>
      <c r="H12" s="83">
        <v>2208912</v>
      </c>
      <c r="I12" s="78"/>
      <c r="J12" s="58"/>
      <c r="K12" s="58"/>
      <c r="L12" s="58"/>
      <c r="M12" s="84">
        <v>2222003</v>
      </c>
      <c r="N12" s="57"/>
      <c r="O12" s="58"/>
      <c r="P12" s="58"/>
      <c r="Q12" s="58"/>
      <c r="R12" s="84">
        <v>2290955</v>
      </c>
      <c r="S12" s="57"/>
      <c r="T12" s="78"/>
      <c r="U12" s="78"/>
      <c r="V12" s="78"/>
      <c r="W12" s="84">
        <v>2423241</v>
      </c>
      <c r="X12" s="57"/>
      <c r="Y12" s="58"/>
      <c r="Z12" s="58"/>
      <c r="AA12" s="78"/>
      <c r="AB12" s="84">
        <v>2112927</v>
      </c>
      <c r="AC12" s="57"/>
      <c r="AD12" s="78"/>
      <c r="AE12" s="78"/>
      <c r="AF12" s="78"/>
      <c r="AG12" s="84">
        <v>2210886</v>
      </c>
      <c r="AH12" s="57"/>
      <c r="AI12" s="78"/>
      <c r="AJ12" s="78"/>
      <c r="AK12" s="78"/>
      <c r="AL12" s="84">
        <v>2089456</v>
      </c>
      <c r="AM12" s="57"/>
      <c r="AN12" s="78"/>
      <c r="AO12" s="78"/>
      <c r="AP12" s="78"/>
      <c r="AQ12" s="84">
        <v>1995876</v>
      </c>
      <c r="AR12" s="57"/>
      <c r="AS12" s="78"/>
      <c r="AT12" s="78"/>
      <c r="AU12" s="78"/>
      <c r="AV12" s="84">
        <v>1617709</v>
      </c>
      <c r="AW12" s="57"/>
      <c r="AX12" s="78"/>
      <c r="AY12" s="78"/>
      <c r="AZ12" s="78"/>
      <c r="BA12" s="84">
        <v>2243577</v>
      </c>
      <c r="BB12" s="57"/>
      <c r="BC12" s="78"/>
      <c r="BD12" s="78"/>
      <c r="BE12" s="78"/>
      <c r="BF12" s="85">
        <v>2634893</v>
      </c>
      <c r="BG12" s="57"/>
      <c r="BH12" s="78"/>
      <c r="BI12" s="78"/>
      <c r="BJ12" s="78"/>
      <c r="BK12" s="84"/>
      <c r="BL12" s="57"/>
      <c r="BM12" s="78"/>
      <c r="BN12" s="78"/>
      <c r="BO12" s="78"/>
      <c r="BP12" s="84"/>
    </row>
    <row r="13" spans="2:68" s="86" customFormat="1" ht="18" customHeight="1" x14ac:dyDescent="0.25">
      <c r="B13" s="82" t="s">
        <v>73</v>
      </c>
      <c r="C13" s="76"/>
      <c r="D13" s="57"/>
      <c r="E13" s="58"/>
      <c r="F13" s="58"/>
      <c r="G13" s="58"/>
      <c r="H13" s="74">
        <f>H9-H11-H12</f>
        <v>25647871</v>
      </c>
      <c r="I13" s="78"/>
      <c r="J13" s="58"/>
      <c r="K13" s="58"/>
      <c r="L13" s="58"/>
      <c r="M13" s="74">
        <f>M9-M11-M12</f>
        <v>23625502</v>
      </c>
      <c r="N13" s="57"/>
      <c r="O13" s="58"/>
      <c r="P13" s="58"/>
      <c r="Q13" s="58"/>
      <c r="R13" s="74">
        <f>R9-R11-R12</f>
        <v>22219010</v>
      </c>
      <c r="S13" s="57"/>
      <c r="T13" s="58"/>
      <c r="U13" s="58"/>
      <c r="V13" s="58"/>
      <c r="W13" s="74">
        <f>W9-W11-W12</f>
        <v>21913988</v>
      </c>
      <c r="X13" s="57"/>
      <c r="Y13" s="58"/>
      <c r="Z13" s="58"/>
      <c r="AA13" s="58"/>
      <c r="AB13" s="74">
        <f>AB9-AB11-AB12</f>
        <v>23195484</v>
      </c>
      <c r="AC13" s="57"/>
      <c r="AD13" s="58"/>
      <c r="AE13" s="58"/>
      <c r="AF13" s="58"/>
      <c r="AG13" s="74">
        <f>AG9-AG11-AG12</f>
        <v>23681184</v>
      </c>
      <c r="AH13" s="57"/>
      <c r="AI13" s="58"/>
      <c r="AJ13" s="58"/>
      <c r="AK13" s="58"/>
      <c r="AL13" s="74">
        <f>AL9-AL11-AL12</f>
        <v>25425823</v>
      </c>
      <c r="AM13" s="57"/>
      <c r="AN13" s="58"/>
      <c r="AO13" s="58"/>
      <c r="AP13" s="58"/>
      <c r="AQ13" s="74">
        <f>AQ9-AQ11-AQ12</f>
        <v>23967865</v>
      </c>
      <c r="AR13" s="57"/>
      <c r="AS13" s="58"/>
      <c r="AT13" s="58"/>
      <c r="AU13" s="58"/>
      <c r="AV13" s="74">
        <f>AV9-AV11-AV12</f>
        <v>21134927</v>
      </c>
      <c r="AW13" s="57"/>
      <c r="AX13" s="58"/>
      <c r="AY13" s="58"/>
      <c r="AZ13" s="58"/>
      <c r="BA13" s="74">
        <f>BA9-BA11-BA12</f>
        <v>19496125</v>
      </c>
      <c r="BB13" s="57"/>
      <c r="BC13" s="58"/>
      <c r="BD13" s="58"/>
      <c r="BE13" s="58"/>
      <c r="BF13" s="74">
        <f>BF9-BF11-BF12</f>
        <v>20531364</v>
      </c>
      <c r="BG13" s="57"/>
      <c r="BH13" s="58"/>
      <c r="BI13" s="58"/>
      <c r="BJ13" s="58"/>
      <c r="BK13" s="74">
        <f>BK9-BK11-BK12</f>
        <v>0</v>
      </c>
      <c r="BL13" s="57"/>
      <c r="BM13" s="58"/>
      <c r="BN13" s="58"/>
      <c r="BO13" s="58"/>
      <c r="BP13" s="74">
        <f>BP9-BP11-BP12</f>
        <v>0</v>
      </c>
    </row>
    <row r="14" spans="2:68" s="86" customFormat="1" ht="15" x14ac:dyDescent="0.25">
      <c r="B14" s="82"/>
      <c r="C14" s="76"/>
      <c r="D14" s="57"/>
      <c r="E14" s="58"/>
      <c r="F14" s="58"/>
      <c r="G14" s="58"/>
      <c r="H14" s="77"/>
      <c r="I14" s="78"/>
      <c r="J14" s="58"/>
      <c r="K14" s="58"/>
      <c r="L14" s="58"/>
      <c r="M14" s="79"/>
      <c r="N14" s="57"/>
      <c r="O14" s="58"/>
      <c r="P14" s="58"/>
      <c r="Q14" s="58"/>
      <c r="R14" s="79"/>
      <c r="S14" s="57"/>
      <c r="T14" s="58"/>
      <c r="U14" s="58"/>
      <c r="V14" s="58"/>
      <c r="W14" s="79"/>
      <c r="X14" s="57"/>
      <c r="Y14" s="58"/>
      <c r="Z14" s="58"/>
      <c r="AA14" s="58"/>
      <c r="AB14" s="79"/>
      <c r="AC14" s="57"/>
      <c r="AD14" s="58"/>
      <c r="AE14" s="58"/>
      <c r="AF14" s="58"/>
      <c r="AG14" s="79"/>
      <c r="AH14" s="57"/>
      <c r="AI14" s="58"/>
      <c r="AJ14" s="58"/>
      <c r="AK14" s="58"/>
      <c r="AL14" s="79"/>
      <c r="AM14" s="57"/>
      <c r="AN14" s="58"/>
      <c r="AO14" s="58"/>
      <c r="AP14" s="58"/>
      <c r="AQ14" s="79"/>
      <c r="AR14" s="57"/>
      <c r="AS14" s="58"/>
      <c r="AT14" s="58"/>
      <c r="AU14" s="58"/>
      <c r="AV14" s="79"/>
      <c r="AW14" s="57"/>
      <c r="AX14" s="58"/>
      <c r="AY14" s="58"/>
      <c r="AZ14" s="58"/>
      <c r="BA14" s="79"/>
      <c r="BB14" s="57"/>
      <c r="BC14" s="58"/>
      <c r="BD14" s="58"/>
      <c r="BE14" s="58"/>
      <c r="BF14" s="79"/>
      <c r="BG14" s="57"/>
      <c r="BH14" s="58"/>
      <c r="BI14" s="58"/>
      <c r="BJ14" s="58"/>
      <c r="BK14" s="79"/>
      <c r="BL14" s="57"/>
      <c r="BM14" s="58"/>
      <c r="BN14" s="58"/>
      <c r="BO14" s="58"/>
      <c r="BP14" s="79"/>
    </row>
    <row r="15" spans="2:68" s="88" customFormat="1" ht="51" customHeight="1" x14ac:dyDescent="0.25">
      <c r="B15" s="446" t="s">
        <v>74</v>
      </c>
      <c r="C15" s="446"/>
      <c r="D15" s="87"/>
      <c r="H15" s="89"/>
      <c r="I15" s="90"/>
      <c r="M15" s="91"/>
      <c r="N15" s="87"/>
      <c r="R15" s="91"/>
      <c r="S15" s="87"/>
      <c r="W15" s="91"/>
      <c r="X15" s="87"/>
      <c r="Y15" s="92"/>
      <c r="Z15" s="92"/>
      <c r="AB15" s="91"/>
      <c r="AC15" s="87"/>
      <c r="AG15" s="91"/>
      <c r="AH15" s="87"/>
      <c r="AL15" s="91"/>
      <c r="AM15" s="87"/>
      <c r="AQ15" s="91"/>
      <c r="AR15" s="87"/>
      <c r="AV15" s="91"/>
      <c r="AW15" s="87"/>
      <c r="BA15" s="91"/>
      <c r="BB15" s="87"/>
      <c r="BF15" s="91"/>
      <c r="BG15" s="87"/>
      <c r="BK15" s="91"/>
      <c r="BL15" s="87"/>
      <c r="BP15" s="91"/>
    </row>
    <row r="16" spans="2:68" ht="18" customHeight="1" x14ac:dyDescent="0.2">
      <c r="B16" s="447" t="s">
        <v>75</v>
      </c>
      <c r="C16" s="60" t="s">
        <v>67</v>
      </c>
      <c r="D16" s="61">
        <v>9268</v>
      </c>
      <c r="E16" s="62">
        <v>67414</v>
      </c>
      <c r="F16" s="62">
        <v>0</v>
      </c>
      <c r="G16" s="63">
        <f>IF($B$4="quarter",SUM((E16/45),(F16/900)),IF($B$4="semester",SUM((E16/30),F16/900)))</f>
        <v>1498.088888888889</v>
      </c>
      <c r="H16" s="93"/>
      <c r="I16" s="65">
        <v>8757</v>
      </c>
      <c r="J16" s="62">
        <v>56451</v>
      </c>
      <c r="K16" s="62">
        <v>0</v>
      </c>
      <c r="L16" s="63">
        <f>IF($B$4="quarter",SUM((J16/45),(K16/900)),IF($B$4="semester",SUM((J16/30),K16/900)))</f>
        <v>1254.4666666666667</v>
      </c>
      <c r="M16" s="94"/>
      <c r="N16" s="65">
        <v>5103</v>
      </c>
      <c r="O16" s="62">
        <v>49068.5</v>
      </c>
      <c r="P16" s="62">
        <v>0</v>
      </c>
      <c r="Q16" s="63">
        <f>IF($B$4="quarter",SUM((O16/45),(P16/900)),IF($B$4="semester",SUM((O16/30),P16/900)))</f>
        <v>1090.411111111111</v>
      </c>
      <c r="R16" s="94"/>
      <c r="S16" s="65">
        <v>4519</v>
      </c>
      <c r="T16" s="62">
        <v>45484</v>
      </c>
      <c r="U16" s="62">
        <v>0</v>
      </c>
      <c r="V16" s="63">
        <f>IF($B$4="quarter",SUM((T16/45),(U16/900)),IF($B$4="semester",SUM((T16/30),U16/900)))</f>
        <v>1010.7555555555556</v>
      </c>
      <c r="W16" s="94"/>
      <c r="X16" s="65">
        <v>4333</v>
      </c>
      <c r="Y16" s="62">
        <v>42019</v>
      </c>
      <c r="Z16" s="62">
        <v>0</v>
      </c>
      <c r="AA16" s="63">
        <f>IF($B$4="quarter",SUM((Y16/45),(Z16/900)),IF($B$4="semester",SUM((Y16/30),Z16/900)))</f>
        <v>933.75555555555559</v>
      </c>
      <c r="AB16" s="94"/>
      <c r="AC16" s="66">
        <v>3912</v>
      </c>
      <c r="AD16" s="67">
        <v>36974</v>
      </c>
      <c r="AE16" s="95">
        <v>0</v>
      </c>
      <c r="AF16" s="63">
        <f>IF($B$4="quarter",SUM((AD16/45),(AE16/900)),IF($B$4="semester",SUM((AD16/30),AE16/900)))</f>
        <v>821.64444444444439</v>
      </c>
      <c r="AG16" s="94"/>
      <c r="AH16" s="66">
        <v>3328</v>
      </c>
      <c r="AI16" s="67">
        <v>29982.5</v>
      </c>
      <c r="AJ16" s="95">
        <v>0</v>
      </c>
      <c r="AK16" s="63">
        <f>IF($B$4="quarter",SUM((AI16/45),(AJ16/900)),IF($B$4="semester",SUM((AI16/30),AJ16/900)))</f>
        <v>666.27777777777783</v>
      </c>
      <c r="AL16" s="94"/>
      <c r="AM16" s="66">
        <v>3175</v>
      </c>
      <c r="AN16" s="66">
        <v>30596.5</v>
      </c>
      <c r="AO16" s="95">
        <v>0</v>
      </c>
      <c r="AP16" s="63">
        <f>IF($B$4="quarter",SUM((AN16/45),(AO16/900)),IF($B$4="semester",SUM((AN16/30),AO16/900)))</f>
        <v>679.92222222222222</v>
      </c>
      <c r="AQ16" s="94"/>
      <c r="AR16" s="66">
        <v>2195</v>
      </c>
      <c r="AS16" s="67">
        <v>18640.5</v>
      </c>
      <c r="AT16" s="95">
        <v>0</v>
      </c>
      <c r="AU16" s="63">
        <f>IF($B$4="quarter",SUM((AS16/45),(AT16/900)),IF($B$4="semester",SUM((AS16/30),AT16/900)))</f>
        <v>414.23333333333335</v>
      </c>
      <c r="AV16" s="94"/>
      <c r="AW16" s="66">
        <v>2259</v>
      </c>
      <c r="AX16" s="67">
        <v>18578</v>
      </c>
      <c r="AY16" s="95">
        <v>0</v>
      </c>
      <c r="AZ16" s="63">
        <f>IF($B$4="quarter",SUM((AX16/45),(AY16/900)),IF($B$4="semester",SUM((AX16/30),AY16/900)))</f>
        <v>412.84444444444443</v>
      </c>
      <c r="BA16" s="94"/>
      <c r="BB16" s="68">
        <v>2458</v>
      </c>
      <c r="BC16" s="69">
        <v>20452</v>
      </c>
      <c r="BD16" s="95">
        <v>0</v>
      </c>
      <c r="BE16" s="63">
        <f>IF($B$4="quarter",SUM((BC16/45),(BD16/900)),IF($B$4="semester",SUM((BC16/30),BD16/900)))</f>
        <v>454.48888888888888</v>
      </c>
      <c r="BF16" s="94"/>
      <c r="BG16" s="66">
        <v>0</v>
      </c>
      <c r="BH16" s="67">
        <v>0</v>
      </c>
      <c r="BI16" s="67">
        <v>0</v>
      </c>
      <c r="BJ16" s="63">
        <f>IF($B$4="quarter",SUM((BH16/45),(BI16/900)),IF($B$4="semester",SUM((BH16/30),BI16/900)))</f>
        <v>0</v>
      </c>
      <c r="BK16" s="94"/>
      <c r="BL16" s="66">
        <v>0</v>
      </c>
      <c r="BM16" s="67">
        <v>0</v>
      </c>
      <c r="BN16" s="67">
        <v>0</v>
      </c>
      <c r="BO16" s="63">
        <f>IF($B$4="quarter",SUM((BM16/45),(BN16/900)),IF($B$4="semester",SUM((BM16/30),BN16/900)))</f>
        <v>0</v>
      </c>
      <c r="BP16" s="94"/>
    </row>
    <row r="17" spans="2:68" ht="18" customHeight="1" x14ac:dyDescent="0.2">
      <c r="B17" s="448"/>
      <c r="C17" s="60" t="s">
        <v>68</v>
      </c>
      <c r="D17" s="96">
        <v>448</v>
      </c>
      <c r="E17" s="67">
        <v>3809.5</v>
      </c>
      <c r="F17" s="67">
        <v>0</v>
      </c>
      <c r="G17" s="63">
        <f>IF($B$4="quarter",SUM((E17/45),(F17/900)),IF($B$4="semester",SUM((E17/30),F17/900)))</f>
        <v>84.655555555555551</v>
      </c>
      <c r="H17" s="93"/>
      <c r="I17" s="65">
        <v>410</v>
      </c>
      <c r="J17" s="62">
        <v>3044</v>
      </c>
      <c r="K17" s="62">
        <v>0</v>
      </c>
      <c r="L17" s="63">
        <f>IF($B$4="quarter",SUM((J17/45),(K17/900)),IF($B$4="semester",SUM((J17/30),K17/900)))</f>
        <v>67.644444444444446</v>
      </c>
      <c r="M17" s="94"/>
      <c r="N17" s="65">
        <v>231</v>
      </c>
      <c r="O17" s="62">
        <v>2883</v>
      </c>
      <c r="P17" s="62">
        <v>0</v>
      </c>
      <c r="Q17" s="63">
        <f>IF($B$4="quarter",SUM((O17/45),(P17/900)),IF($B$4="semester",SUM((O17/30),P17/900)))</f>
        <v>64.066666666666663</v>
      </c>
      <c r="R17" s="94"/>
      <c r="S17" s="65">
        <v>213</v>
      </c>
      <c r="T17" s="62">
        <v>2647</v>
      </c>
      <c r="U17" s="62">
        <v>0</v>
      </c>
      <c r="V17" s="63">
        <f>IF($B$4="quarter",SUM((T17/45),(U17/900)),IF($B$4="semester",SUM((T17/30),U17/900)))</f>
        <v>58.822222222222223</v>
      </c>
      <c r="W17" s="94"/>
      <c r="X17" s="65">
        <v>212</v>
      </c>
      <c r="Y17" s="62">
        <v>2739</v>
      </c>
      <c r="Z17" s="62">
        <v>0</v>
      </c>
      <c r="AA17" s="63">
        <f>IF($B$4="quarter",SUM((Y17/45),(Z17/900)),IF($B$4="semester",SUM((Y17/30),Z17/900)))</f>
        <v>60.866666666666667</v>
      </c>
      <c r="AB17" s="94"/>
      <c r="AC17" s="66">
        <v>186</v>
      </c>
      <c r="AD17" s="67">
        <v>2032</v>
      </c>
      <c r="AE17" s="95">
        <v>0</v>
      </c>
      <c r="AF17" s="63">
        <f>IF($B$4="quarter",SUM((AD17/45),(AE17/900)),IF($B$4="semester",SUM((AD17/30),AE17/900)))</f>
        <v>45.155555555555559</v>
      </c>
      <c r="AG17" s="94"/>
      <c r="AH17" s="66">
        <v>116</v>
      </c>
      <c r="AI17" s="67">
        <v>1108.5</v>
      </c>
      <c r="AJ17" s="95">
        <v>0</v>
      </c>
      <c r="AK17" s="63">
        <f>IF($B$4="quarter",SUM((AI17/45),(AJ17/900)),IF($B$4="semester",SUM((AI17/30),AJ17/900)))</f>
        <v>24.633333333333333</v>
      </c>
      <c r="AL17" s="94"/>
      <c r="AM17" s="66">
        <v>133</v>
      </c>
      <c r="AN17" s="66">
        <v>1533.5</v>
      </c>
      <c r="AO17" s="95">
        <v>0</v>
      </c>
      <c r="AP17" s="63">
        <f>IF($B$4="quarter",SUM((AN17/45),(AO17/900)),IF($B$4="semester",SUM((AN17/30),AO17/900)))</f>
        <v>34.077777777777776</v>
      </c>
      <c r="AQ17" s="94"/>
      <c r="AR17" s="66">
        <v>81</v>
      </c>
      <c r="AS17" s="67">
        <v>753</v>
      </c>
      <c r="AT17" s="95">
        <v>0</v>
      </c>
      <c r="AU17" s="63">
        <f>IF($B$4="quarter",SUM((AS17/45),(AT17/900)),IF($B$4="semester",SUM((AS17/30),AT17/900)))</f>
        <v>16.733333333333334</v>
      </c>
      <c r="AV17" s="94"/>
      <c r="AW17" s="66">
        <v>67</v>
      </c>
      <c r="AX17" s="67">
        <v>652</v>
      </c>
      <c r="AY17" s="95">
        <v>0</v>
      </c>
      <c r="AZ17" s="63">
        <f>IF($B$4="quarter",SUM((AX17/45),(AY17/900)),IF($B$4="semester",SUM((AX17/30),AY17/900)))</f>
        <v>14.488888888888889</v>
      </c>
      <c r="BA17" s="94"/>
      <c r="BB17" s="68">
        <v>101</v>
      </c>
      <c r="BC17" s="69">
        <v>1326</v>
      </c>
      <c r="BD17" s="95">
        <v>0</v>
      </c>
      <c r="BE17" s="63">
        <f>IF($B$4="quarter",SUM((BC17/45),(BD17/900)),IF($B$4="semester",SUM((BC17/30),BD17/900)))</f>
        <v>29.466666666666665</v>
      </c>
      <c r="BF17" s="94"/>
      <c r="BG17" s="66">
        <v>0</v>
      </c>
      <c r="BH17" s="67">
        <v>0</v>
      </c>
      <c r="BI17" s="67">
        <v>0</v>
      </c>
      <c r="BJ17" s="63">
        <f>IF($B$4="quarter",SUM((BH17/45),(BI17/900)),IF($B$4="semester",SUM((BH17/30),BI17/900)))</f>
        <v>0</v>
      </c>
      <c r="BK17" s="94"/>
      <c r="BL17" s="66">
        <v>0</v>
      </c>
      <c r="BM17" s="67">
        <v>0</v>
      </c>
      <c r="BN17" s="67">
        <v>0</v>
      </c>
      <c r="BO17" s="63">
        <f>IF($B$4="quarter",SUM((BM17/45),(BN17/900)),IF($B$4="semester",SUM((BM17/30),BN17/900)))</f>
        <v>0</v>
      </c>
      <c r="BP17" s="94"/>
    </row>
    <row r="18" spans="2:68" ht="18" customHeight="1" x14ac:dyDescent="0.25">
      <c r="B18" s="448"/>
      <c r="C18" s="97" t="s">
        <v>69</v>
      </c>
      <c r="D18" s="98">
        <f>SUM(D16:D17)</f>
        <v>9716</v>
      </c>
      <c r="E18" s="63">
        <f>SUM(E16:E17)</f>
        <v>71223.5</v>
      </c>
      <c r="F18" s="63">
        <f>SUM(F16:F17)</f>
        <v>0</v>
      </c>
      <c r="G18" s="63">
        <f>SUM(G16:G17)</f>
        <v>1582.7444444444445</v>
      </c>
      <c r="H18" s="93"/>
      <c r="I18" s="72">
        <f>SUM(I16:I17)</f>
        <v>9167</v>
      </c>
      <c r="J18" s="63">
        <f>SUM(J16:J17)</f>
        <v>59495</v>
      </c>
      <c r="K18" s="63">
        <f>SUM(K16:K17)</f>
        <v>0</v>
      </c>
      <c r="L18" s="63">
        <f>SUM(L16:L17)</f>
        <v>1322.1111111111111</v>
      </c>
      <c r="M18" s="94"/>
      <c r="N18" s="72">
        <f>SUM(N16:N17)</f>
        <v>5334</v>
      </c>
      <c r="O18" s="63">
        <f>SUM(O16:O17)</f>
        <v>51951.5</v>
      </c>
      <c r="P18" s="63">
        <f>SUM(P16:P17)</f>
        <v>0</v>
      </c>
      <c r="Q18" s="63">
        <f>SUM(Q16:Q17)</f>
        <v>1154.4777777777776</v>
      </c>
      <c r="R18" s="94"/>
      <c r="S18" s="72">
        <f>SUM(S16:S17)</f>
        <v>4732</v>
      </c>
      <c r="T18" s="63">
        <f>SUM(T16:T17)</f>
        <v>48131</v>
      </c>
      <c r="U18" s="63">
        <f>SUM(U16:U17)</f>
        <v>0</v>
      </c>
      <c r="V18" s="63">
        <f>SUM(V16:V17)</f>
        <v>1069.5777777777778</v>
      </c>
      <c r="W18" s="94"/>
      <c r="X18" s="72">
        <f>SUM(X16:X17)</f>
        <v>4545</v>
      </c>
      <c r="Y18" s="63">
        <f>SUM(Y16:Y17)</f>
        <v>44758</v>
      </c>
      <c r="Z18" s="63">
        <f>SUM(Z16:Z17)</f>
        <v>0</v>
      </c>
      <c r="AA18" s="63">
        <f>SUM(AA16:AA17)</f>
        <v>994.62222222222226</v>
      </c>
      <c r="AB18" s="94"/>
      <c r="AC18" s="72">
        <f>SUM(AC16:AC17)</f>
        <v>4098</v>
      </c>
      <c r="AD18" s="63">
        <f>SUM(AD16:AD17)</f>
        <v>39006</v>
      </c>
      <c r="AE18" s="95">
        <f>SUM(AE16:AE17)</f>
        <v>0</v>
      </c>
      <c r="AF18" s="63">
        <f>SUM(AF16:AF17)</f>
        <v>866.8</v>
      </c>
      <c r="AG18" s="94"/>
      <c r="AH18" s="72">
        <f>SUM(AH16:AH17)</f>
        <v>3444</v>
      </c>
      <c r="AI18" s="63">
        <f>SUM(AI16:AI17)</f>
        <v>31091</v>
      </c>
      <c r="AJ18" s="95">
        <f>SUM(AJ16:AJ17)</f>
        <v>0</v>
      </c>
      <c r="AK18" s="63">
        <f>SUM(AK16:AK17)</f>
        <v>690.91111111111115</v>
      </c>
      <c r="AL18" s="94"/>
      <c r="AM18" s="72">
        <f>SUM(AM16:AM17)</f>
        <v>3308</v>
      </c>
      <c r="AN18" s="63">
        <f>SUM(AN16:AN17)</f>
        <v>32130</v>
      </c>
      <c r="AO18" s="95">
        <f>SUM(AO16:AO17)</f>
        <v>0</v>
      </c>
      <c r="AP18" s="63">
        <f>SUM(AP16:AP17)</f>
        <v>714</v>
      </c>
      <c r="AQ18" s="94"/>
      <c r="AR18" s="72">
        <f>SUM(AR16:AR17)</f>
        <v>2276</v>
      </c>
      <c r="AS18" s="63">
        <f>SUM(AS16:AS17)</f>
        <v>19393.5</v>
      </c>
      <c r="AT18" s="95">
        <f>SUM(AT16:AT17)</f>
        <v>0</v>
      </c>
      <c r="AU18" s="63">
        <f>SUM(AU16:AU17)</f>
        <v>430.9666666666667</v>
      </c>
      <c r="AV18" s="94"/>
      <c r="AW18" s="72">
        <f>SUM(AW16:AW17)</f>
        <v>2326</v>
      </c>
      <c r="AX18" s="63">
        <f>SUM(AX16:AX17)</f>
        <v>19230</v>
      </c>
      <c r="AY18" s="95">
        <f>SUM(AY16:AY17)</f>
        <v>0</v>
      </c>
      <c r="AZ18" s="63">
        <f>SUM(AZ16:AZ17)</f>
        <v>427.33333333333331</v>
      </c>
      <c r="BA18" s="94"/>
      <c r="BB18" s="72">
        <f>SUM(BB16:BB17)</f>
        <v>2559</v>
      </c>
      <c r="BC18" s="63">
        <f>SUM(BC16:BC17)</f>
        <v>21778</v>
      </c>
      <c r="BD18" s="95">
        <f>SUM(BD16:BD17)</f>
        <v>0</v>
      </c>
      <c r="BE18" s="63">
        <f>SUM(BE16:BE17)</f>
        <v>483.95555555555552</v>
      </c>
      <c r="BF18" s="94"/>
      <c r="BG18" s="72">
        <f>SUM(BG16:BG17)</f>
        <v>0</v>
      </c>
      <c r="BH18" s="63">
        <f>SUM(BH16:BH17)</f>
        <v>0</v>
      </c>
      <c r="BI18" s="63">
        <f>SUM(BI16:BI17)</f>
        <v>0</v>
      </c>
      <c r="BJ18" s="63">
        <f>SUM(BJ16:BJ17)</f>
        <v>0</v>
      </c>
      <c r="BK18" s="94"/>
      <c r="BL18" s="72">
        <f>SUM(BL16:BL17)</f>
        <v>0</v>
      </c>
      <c r="BM18" s="63">
        <f>SUM(BM16:BM17)</f>
        <v>0</v>
      </c>
      <c r="BN18" s="63">
        <f>SUM(BN16:BN17)</f>
        <v>0</v>
      </c>
      <c r="BO18" s="63">
        <f>SUM(BO16:BO17)</f>
        <v>0</v>
      </c>
      <c r="BP18" s="94"/>
    </row>
    <row r="19" spans="2:68" s="86" customFormat="1" x14ac:dyDescent="0.2">
      <c r="B19" s="99"/>
      <c r="C19" s="100"/>
      <c r="D19" s="101"/>
      <c r="E19" s="99"/>
      <c r="F19" s="99"/>
      <c r="G19" s="99"/>
      <c r="H19" s="102"/>
      <c r="I19" s="103"/>
      <c r="J19" s="99"/>
      <c r="K19" s="99"/>
      <c r="L19" s="99"/>
      <c r="M19" s="104"/>
      <c r="N19" s="103"/>
      <c r="O19" s="99"/>
      <c r="P19" s="99"/>
      <c r="Q19" s="99"/>
      <c r="R19" s="104"/>
      <c r="S19" s="103"/>
      <c r="T19" s="99"/>
      <c r="U19" s="99"/>
      <c r="V19" s="99"/>
      <c r="W19" s="104"/>
      <c r="X19" s="103"/>
      <c r="Y19" s="105"/>
      <c r="Z19" s="105"/>
      <c r="AA19" s="99"/>
      <c r="AB19" s="104"/>
      <c r="AC19" s="103"/>
      <c r="AD19" s="99"/>
      <c r="AE19" s="99"/>
      <c r="AF19" s="99"/>
      <c r="AG19" s="104"/>
      <c r="AH19" s="103"/>
      <c r="AI19" s="99"/>
      <c r="AJ19" s="99"/>
      <c r="AK19" s="99"/>
      <c r="AL19" s="104"/>
      <c r="AM19" s="103"/>
      <c r="AN19" s="99"/>
      <c r="AO19" s="99"/>
      <c r="AP19" s="99"/>
      <c r="AQ19" s="104"/>
      <c r="AR19" s="103"/>
      <c r="AS19" s="99"/>
      <c r="AT19" s="99"/>
      <c r="AU19" s="99"/>
      <c r="AV19" s="104"/>
      <c r="AW19" s="103"/>
      <c r="AX19" s="99"/>
      <c r="AY19" s="99"/>
      <c r="AZ19" s="99"/>
      <c r="BA19" s="104"/>
      <c r="BB19" s="103"/>
      <c r="BC19" s="99"/>
      <c r="BD19" s="99"/>
      <c r="BE19" s="99"/>
      <c r="BF19" s="104"/>
      <c r="BG19" s="103"/>
      <c r="BH19" s="99"/>
      <c r="BI19" s="99"/>
      <c r="BJ19" s="99"/>
      <c r="BK19" s="104"/>
      <c r="BL19" s="103"/>
      <c r="BM19" s="99"/>
      <c r="BN19" s="99"/>
      <c r="BO19" s="99"/>
      <c r="BP19" s="104"/>
    </row>
    <row r="20" spans="2:68" ht="18" customHeight="1" x14ac:dyDescent="0.2">
      <c r="B20" s="449" t="s">
        <v>76</v>
      </c>
      <c r="C20" s="60" t="s">
        <v>67</v>
      </c>
      <c r="D20" s="96">
        <v>2485</v>
      </c>
      <c r="E20" s="67">
        <v>29208.5</v>
      </c>
      <c r="F20" s="67">
        <v>0</v>
      </c>
      <c r="G20" s="63">
        <f>IF($B$4="quarter",SUM((E20/45),(F20/900)),IF($B$4="semester",SUM((E20/30),F20/900)))</f>
        <v>649.07777777777778</v>
      </c>
      <c r="H20" s="93"/>
      <c r="I20" s="65">
        <v>2658</v>
      </c>
      <c r="J20" s="62">
        <v>32882</v>
      </c>
      <c r="K20" s="62">
        <v>0</v>
      </c>
      <c r="L20" s="63">
        <f>IF($B$4="quarter",SUM((J20/45),(K20/900)),IF($B$4="semester",SUM((J20/30),K20/900)))</f>
        <v>730.71111111111111</v>
      </c>
      <c r="M20" s="94"/>
      <c r="N20" s="65">
        <v>2662</v>
      </c>
      <c r="O20" s="62">
        <v>33650.5</v>
      </c>
      <c r="P20" s="62">
        <v>0</v>
      </c>
      <c r="Q20" s="63">
        <f>IF($B$4="quarter",SUM((O20/45),(P20/900)),IF($B$4="semester",SUM((O20/30),P20/900)))</f>
        <v>747.78888888888889</v>
      </c>
      <c r="R20" s="94"/>
      <c r="S20" s="65">
        <v>2886</v>
      </c>
      <c r="T20" s="62">
        <v>38298.5</v>
      </c>
      <c r="U20" s="62">
        <v>0</v>
      </c>
      <c r="V20" s="63">
        <f>IF($B$4="quarter",SUM((T20/45),(U20/900)),IF($B$4="semester",SUM((T20/30),U20/900)))</f>
        <v>851.07777777777778</v>
      </c>
      <c r="W20" s="94"/>
      <c r="X20" s="65">
        <v>2439</v>
      </c>
      <c r="Y20" s="62">
        <v>32595</v>
      </c>
      <c r="Z20" s="62">
        <v>0</v>
      </c>
      <c r="AA20" s="63">
        <f>IF($B$4="quarter",SUM((Y20/45),(Z20/900)),IF($B$4="semester",SUM((Y20/30),Z20/900)))</f>
        <v>724.33333333333337</v>
      </c>
      <c r="AB20" s="94"/>
      <c r="AC20" s="66">
        <v>2856</v>
      </c>
      <c r="AD20" s="67">
        <v>39777</v>
      </c>
      <c r="AE20" s="95">
        <v>0</v>
      </c>
      <c r="AF20" s="63">
        <f>IF($B$4="quarter",SUM((AD20/45),(AE20/900)),IF($B$4="semester",SUM((AD20/30),AE20/900)))</f>
        <v>883.93333333333328</v>
      </c>
      <c r="AG20" s="94"/>
      <c r="AH20" s="66">
        <v>3286</v>
      </c>
      <c r="AI20" s="67">
        <v>46707</v>
      </c>
      <c r="AJ20" s="95">
        <v>0</v>
      </c>
      <c r="AK20" s="63">
        <f>IF($B$4="quarter",SUM((AI20/45),(AJ20/900)),IF($B$4="semester",SUM((AI20/30),AJ20/900)))</f>
        <v>1037.9333333333334</v>
      </c>
      <c r="AL20" s="94"/>
      <c r="AM20" s="66">
        <v>3178</v>
      </c>
      <c r="AN20" s="67">
        <v>48628.5</v>
      </c>
      <c r="AO20" s="95">
        <v>0</v>
      </c>
      <c r="AP20" s="63">
        <f>IF($B$4="quarter",SUM((AN20/45),(AO20/900)),IF($B$4="semester",SUM((AN20/30),AO20/900)))</f>
        <v>1080.6333333333334</v>
      </c>
      <c r="AQ20" s="94"/>
      <c r="AR20" s="66">
        <v>3991</v>
      </c>
      <c r="AS20" s="67">
        <v>57684</v>
      </c>
      <c r="AT20" s="95">
        <v>0</v>
      </c>
      <c r="AU20" s="63">
        <f>IF($B$4="quarter",SUM((AS20/45),(AT20/900)),IF($B$4="semester",SUM((AS20/30),AT20/900)))</f>
        <v>1281.8666666666666</v>
      </c>
      <c r="AV20" s="94"/>
      <c r="AW20" s="66">
        <v>5008</v>
      </c>
      <c r="AX20" s="67">
        <v>66968</v>
      </c>
      <c r="AY20" s="95">
        <v>0</v>
      </c>
      <c r="AZ20" s="63">
        <f>IF($B$4="quarter",SUM((AX20/45),(AY20/900)),IF($B$4="semester",SUM((AX20/30),AY20/900)))</f>
        <v>1488.1777777777777</v>
      </c>
      <c r="BA20" s="94"/>
      <c r="BB20" s="68">
        <v>8047</v>
      </c>
      <c r="BC20" s="69">
        <v>74204</v>
      </c>
      <c r="BD20" s="95">
        <v>0</v>
      </c>
      <c r="BE20" s="63">
        <f>IF($B$4="quarter",SUM((BC20/45),(BD20/900)),IF($B$4="semester",SUM((BC20/30),BD20/900)))</f>
        <v>1648.9777777777779</v>
      </c>
      <c r="BF20" s="94"/>
      <c r="BG20" s="66">
        <v>0</v>
      </c>
      <c r="BH20" s="67">
        <v>0</v>
      </c>
      <c r="BI20" s="67">
        <v>0</v>
      </c>
      <c r="BJ20" s="63">
        <f>IF($B$4="quarter",SUM((BH20/45),(BI20/900)),IF($B$4="semester",SUM((BH20/30),BI20/900)))</f>
        <v>0</v>
      </c>
      <c r="BK20" s="94"/>
      <c r="BL20" s="66">
        <v>0</v>
      </c>
      <c r="BM20" s="67">
        <v>0</v>
      </c>
      <c r="BN20" s="67">
        <v>0</v>
      </c>
      <c r="BO20" s="63">
        <f>IF($B$4="quarter",SUM((BM20/45),(BN20/900)),IF($B$4="semester",SUM((BM20/30),BN20/900)))</f>
        <v>0</v>
      </c>
      <c r="BP20" s="94"/>
    </row>
    <row r="21" spans="2:68" ht="18" customHeight="1" x14ac:dyDescent="0.2">
      <c r="B21" s="449"/>
      <c r="C21" s="60" t="s">
        <v>68</v>
      </c>
      <c r="D21" s="96">
        <v>0</v>
      </c>
      <c r="E21" s="67">
        <v>0</v>
      </c>
      <c r="F21" s="67">
        <v>0</v>
      </c>
      <c r="G21" s="63">
        <f>IF($B$4="quarter",SUM((E21/45),(F21/900)),IF($B$4="semester",SUM((E21/30),F21/900)))</f>
        <v>0</v>
      </c>
      <c r="H21" s="93"/>
      <c r="I21" s="65">
        <v>0</v>
      </c>
      <c r="J21" s="62">
        <v>0</v>
      </c>
      <c r="K21" s="62">
        <v>0</v>
      </c>
      <c r="L21" s="63">
        <f>IF($B$4="quarter",SUM((J21/45),(K21/900)),IF($B$4="semester",SUM((J21/30),K21/900)))</f>
        <v>0</v>
      </c>
      <c r="M21" s="94"/>
      <c r="N21" s="65">
        <v>0</v>
      </c>
      <c r="O21" s="62">
        <v>0</v>
      </c>
      <c r="P21" s="62">
        <v>0</v>
      </c>
      <c r="Q21" s="63">
        <f>IF($B$4="quarter",SUM((O21/45),(P21/900)),IF($B$4="semester",SUM((O21/30),P21/900)))</f>
        <v>0</v>
      </c>
      <c r="R21" s="94"/>
      <c r="S21" s="65">
        <v>0</v>
      </c>
      <c r="T21" s="62">
        <v>0</v>
      </c>
      <c r="U21" s="62">
        <v>0</v>
      </c>
      <c r="V21" s="63">
        <f>IF($B$4="quarter",SUM((T21/45),(U21/900)),IF($B$4="semester",SUM((T21/30),U21/900)))</f>
        <v>0</v>
      </c>
      <c r="W21" s="94"/>
      <c r="X21" s="65">
        <v>0</v>
      </c>
      <c r="Y21" s="62">
        <v>0</v>
      </c>
      <c r="Z21" s="62">
        <v>0</v>
      </c>
      <c r="AA21" s="63">
        <f>IF($B$4="quarter",SUM((Y21/45),(Z21/900)),IF($B$4="semester",SUM((Y21/30),Z21/900)))</f>
        <v>0</v>
      </c>
      <c r="AB21" s="94"/>
      <c r="AC21" s="66">
        <v>0</v>
      </c>
      <c r="AD21" s="67">
        <v>0</v>
      </c>
      <c r="AE21" s="95">
        <v>0</v>
      </c>
      <c r="AF21" s="63">
        <f>IF($B$4="quarter",SUM((AD21/45),(AE21/900)),IF($B$4="semester",SUM((AD21/30),AE21/900)))</f>
        <v>0</v>
      </c>
      <c r="AG21" s="94"/>
      <c r="AH21" s="66">
        <v>0</v>
      </c>
      <c r="AI21" s="67">
        <v>0</v>
      </c>
      <c r="AJ21" s="95">
        <v>0</v>
      </c>
      <c r="AK21" s="63">
        <f>IF($B$4="quarter",SUM((AI21/45),(AJ21/900)),IF($B$4="semester",SUM((AI21/30),AJ21/900)))</f>
        <v>0</v>
      </c>
      <c r="AL21" s="94"/>
      <c r="AM21" s="66">
        <v>0</v>
      </c>
      <c r="AN21" s="67">
        <v>0</v>
      </c>
      <c r="AO21" s="95">
        <v>0</v>
      </c>
      <c r="AP21" s="63">
        <f>IF($B$4="quarter",SUM((AN21/45),(AO21/900)),IF($B$4="semester",SUM((AN21/30),AO21/900)))</f>
        <v>0</v>
      </c>
      <c r="AQ21" s="94"/>
      <c r="AR21" s="66">
        <v>3</v>
      </c>
      <c r="AS21" s="67">
        <v>30.5</v>
      </c>
      <c r="AT21" s="95">
        <v>0</v>
      </c>
      <c r="AU21" s="63">
        <f>IF($B$4="quarter",SUM((AS21/45),(AT21/900)),IF($B$4="semester",SUM((AS21/30),AT21/900)))</f>
        <v>0.67777777777777781</v>
      </c>
      <c r="AV21" s="94"/>
      <c r="AW21" s="66">
        <v>8</v>
      </c>
      <c r="AX21" s="67">
        <v>49.5</v>
      </c>
      <c r="AY21" s="95">
        <v>0</v>
      </c>
      <c r="AZ21" s="63">
        <f>IF($B$4="quarter",SUM((AX21/45),(AY21/900)),IF($B$4="semester",SUM((AX21/30),AY21/900)))</f>
        <v>1.1000000000000001</v>
      </c>
      <c r="BA21" s="94"/>
      <c r="BB21" s="68">
        <v>112</v>
      </c>
      <c r="BC21" s="69">
        <v>750</v>
      </c>
      <c r="BD21" s="95">
        <v>0</v>
      </c>
      <c r="BE21" s="63">
        <f>IF($B$4="quarter",SUM((BC21/45),(BD21/900)),IF($B$4="semester",SUM((BC21/30),BD21/900)))</f>
        <v>16.666666666666668</v>
      </c>
      <c r="BF21" s="94"/>
      <c r="BG21" s="66">
        <v>0</v>
      </c>
      <c r="BH21" s="67">
        <v>0</v>
      </c>
      <c r="BI21" s="67">
        <v>0</v>
      </c>
      <c r="BJ21" s="63">
        <f>IF($B$4="quarter",SUM((BH21/45),(BI21/900)),IF($B$4="semester",SUM((BH21/30),BI21/900)))</f>
        <v>0</v>
      </c>
      <c r="BK21" s="94"/>
      <c r="BL21" s="66">
        <v>0</v>
      </c>
      <c r="BM21" s="67">
        <v>0</v>
      </c>
      <c r="BN21" s="67">
        <v>0</v>
      </c>
      <c r="BO21" s="63">
        <f>IF($B$4="quarter",SUM((BM21/45),(BN21/900)),IF($B$4="semester",SUM((BM21/30),BN21/900)))</f>
        <v>0</v>
      </c>
      <c r="BP21" s="94"/>
    </row>
    <row r="22" spans="2:68" ht="18" customHeight="1" x14ac:dyDescent="0.25">
      <c r="B22" s="449"/>
      <c r="C22" s="97" t="s">
        <v>69</v>
      </c>
      <c r="D22" s="98">
        <f>SUM(D20:D21)</f>
        <v>2485</v>
      </c>
      <c r="E22" s="63">
        <f>SUM(E20:E21)</f>
        <v>29208.5</v>
      </c>
      <c r="F22" s="63">
        <f>SUM(F20:F21)</f>
        <v>0</v>
      </c>
      <c r="G22" s="63">
        <f>SUM(G20:G21)</f>
        <v>649.07777777777778</v>
      </c>
      <c r="H22" s="93"/>
      <c r="I22" s="72">
        <f>SUM(I20:I21)</f>
        <v>2658</v>
      </c>
      <c r="J22" s="63">
        <f>SUM(J20:J21)</f>
        <v>32882</v>
      </c>
      <c r="K22" s="63">
        <f>SUM(K20:K21)</f>
        <v>0</v>
      </c>
      <c r="L22" s="63">
        <f>SUM(L20:L21)</f>
        <v>730.71111111111111</v>
      </c>
      <c r="M22" s="94"/>
      <c r="N22" s="72">
        <f>SUM(N20:N21)</f>
        <v>2662</v>
      </c>
      <c r="O22" s="63">
        <f>SUM(O20:O21)</f>
        <v>33650.5</v>
      </c>
      <c r="P22" s="63">
        <f>SUM(P20:P21)</f>
        <v>0</v>
      </c>
      <c r="Q22" s="63">
        <f>SUM(Q20:Q21)</f>
        <v>747.78888888888889</v>
      </c>
      <c r="R22" s="94"/>
      <c r="S22" s="72">
        <f>SUM(S20:S21)</f>
        <v>2886</v>
      </c>
      <c r="T22" s="63">
        <f>SUM(T20:T21)</f>
        <v>38298.5</v>
      </c>
      <c r="U22" s="63">
        <f>SUM(U20:U21)</f>
        <v>0</v>
      </c>
      <c r="V22" s="63">
        <f>SUM(V20:V21)</f>
        <v>851.07777777777778</v>
      </c>
      <c r="W22" s="94"/>
      <c r="X22" s="72">
        <f>SUM(X20:X21)</f>
        <v>2439</v>
      </c>
      <c r="Y22" s="63">
        <f>SUM(Y20:Y21)</f>
        <v>32595</v>
      </c>
      <c r="Z22" s="63">
        <f>SUM(Z20:Z21)</f>
        <v>0</v>
      </c>
      <c r="AA22" s="63">
        <f>SUM(AA20:AA21)</f>
        <v>724.33333333333337</v>
      </c>
      <c r="AB22" s="94"/>
      <c r="AC22" s="72">
        <f>SUM(AC20:AC21)</f>
        <v>2856</v>
      </c>
      <c r="AD22" s="63">
        <f>SUM(AD20:AD21)</f>
        <v>39777</v>
      </c>
      <c r="AE22" s="95">
        <f>SUM(AE20:AE21)</f>
        <v>0</v>
      </c>
      <c r="AF22" s="63">
        <f>SUM(AF20:AF21)</f>
        <v>883.93333333333328</v>
      </c>
      <c r="AG22" s="94"/>
      <c r="AH22" s="72">
        <f>SUM(AH20:AH21)</f>
        <v>3286</v>
      </c>
      <c r="AI22" s="63">
        <f>SUM(AI20:AI21)</f>
        <v>46707</v>
      </c>
      <c r="AJ22" s="95">
        <f>SUM(AJ20:AJ21)</f>
        <v>0</v>
      </c>
      <c r="AK22" s="63">
        <f>SUM(AK20:AK21)</f>
        <v>1037.9333333333334</v>
      </c>
      <c r="AL22" s="94"/>
      <c r="AM22" s="72">
        <f>SUM(AM20:AM21)</f>
        <v>3178</v>
      </c>
      <c r="AN22" s="63">
        <f>SUM(AN20:AN21)</f>
        <v>48628.5</v>
      </c>
      <c r="AO22" s="95">
        <f>SUM(AO20:AO21)</f>
        <v>0</v>
      </c>
      <c r="AP22" s="63">
        <f>SUM(AP20:AP21)</f>
        <v>1080.6333333333334</v>
      </c>
      <c r="AQ22" s="94"/>
      <c r="AR22" s="72">
        <f>SUM(AR20:AR21)</f>
        <v>3994</v>
      </c>
      <c r="AS22" s="63">
        <f>SUM(AS20:AS21)</f>
        <v>57714.5</v>
      </c>
      <c r="AT22" s="95">
        <f>SUM(AT20:AT21)</f>
        <v>0</v>
      </c>
      <c r="AU22" s="63">
        <f>SUM(AU20:AU21)</f>
        <v>1282.5444444444443</v>
      </c>
      <c r="AV22" s="94"/>
      <c r="AW22" s="72">
        <f>SUM(AW20:AW21)</f>
        <v>5016</v>
      </c>
      <c r="AX22" s="63">
        <f>SUM(AX20:AX21)</f>
        <v>67017.5</v>
      </c>
      <c r="AY22" s="95">
        <f>SUM(AY20:AY21)</f>
        <v>0</v>
      </c>
      <c r="AZ22" s="63">
        <f>SUM(AZ20:AZ21)</f>
        <v>1489.2777777777776</v>
      </c>
      <c r="BA22" s="94"/>
      <c r="BB22" s="72">
        <f>SUM(BB20:BB21)</f>
        <v>8159</v>
      </c>
      <c r="BC22" s="63">
        <f>SUM(BC20:BC21)</f>
        <v>74954</v>
      </c>
      <c r="BD22" s="95">
        <f>SUM(BD20:BD21)</f>
        <v>0</v>
      </c>
      <c r="BE22" s="63">
        <f>SUM(BE20:BE21)</f>
        <v>1665.6444444444446</v>
      </c>
      <c r="BF22" s="94"/>
      <c r="BG22" s="72">
        <f>SUM(BG20:BG21)</f>
        <v>0</v>
      </c>
      <c r="BH22" s="63">
        <f>SUM(BH20:BH21)</f>
        <v>0</v>
      </c>
      <c r="BI22" s="63">
        <f>SUM(BI20:BI21)</f>
        <v>0</v>
      </c>
      <c r="BJ22" s="63">
        <f>SUM(BJ20:BJ21)</f>
        <v>0</v>
      </c>
      <c r="BK22" s="94"/>
      <c r="BL22" s="72">
        <f>SUM(BL20:BL21)</f>
        <v>0</v>
      </c>
      <c r="BM22" s="63">
        <f>SUM(BM20:BM21)</f>
        <v>0</v>
      </c>
      <c r="BN22" s="63">
        <f>SUM(BN20:BN21)</f>
        <v>0</v>
      </c>
      <c r="BO22" s="63">
        <f>SUM(BO20:BO21)</f>
        <v>0</v>
      </c>
      <c r="BP22" s="94"/>
    </row>
    <row r="23" spans="2:68" s="88" customFormat="1" ht="15" x14ac:dyDescent="0.25">
      <c r="B23" s="106"/>
      <c r="C23" s="107"/>
      <c r="D23" s="78"/>
      <c r="E23" s="58"/>
      <c r="F23" s="58"/>
      <c r="G23" s="58"/>
      <c r="H23" s="77"/>
      <c r="I23" s="57"/>
      <c r="J23" s="58"/>
      <c r="K23" s="58"/>
      <c r="L23" s="58"/>
      <c r="M23" s="79"/>
      <c r="N23" s="57"/>
      <c r="O23" s="58"/>
      <c r="P23" s="58"/>
      <c r="Q23" s="58"/>
      <c r="R23" s="79"/>
      <c r="S23" s="57"/>
      <c r="T23" s="58"/>
      <c r="U23" s="58"/>
      <c r="V23" s="58"/>
      <c r="W23" s="79"/>
      <c r="X23" s="57"/>
      <c r="Y23" s="58"/>
      <c r="Z23" s="58"/>
      <c r="AA23" s="58"/>
      <c r="AB23" s="79"/>
      <c r="AC23" s="57"/>
      <c r="AD23" s="58"/>
      <c r="AE23" s="58"/>
      <c r="AF23" s="58"/>
      <c r="AG23" s="79"/>
      <c r="AH23" s="57"/>
      <c r="AI23" s="58"/>
      <c r="AJ23" s="58"/>
      <c r="AK23" s="58"/>
      <c r="AL23" s="79"/>
      <c r="AM23" s="57"/>
      <c r="AN23" s="58"/>
      <c r="AO23" s="58"/>
      <c r="AP23" s="58"/>
      <c r="AQ23" s="79"/>
      <c r="AR23" s="57"/>
      <c r="AS23" s="58"/>
      <c r="AT23" s="58"/>
      <c r="AU23" s="58"/>
      <c r="AV23" s="79"/>
      <c r="AW23" s="57"/>
      <c r="AX23" s="58"/>
      <c r="AY23" s="58"/>
      <c r="AZ23" s="58"/>
      <c r="BA23" s="79"/>
      <c r="BB23" s="57"/>
      <c r="BC23" s="58"/>
      <c r="BD23" s="58"/>
      <c r="BE23" s="58"/>
      <c r="BF23" s="79"/>
      <c r="BG23" s="57"/>
      <c r="BH23" s="58"/>
      <c r="BI23" s="58"/>
      <c r="BJ23" s="58"/>
      <c r="BK23" s="79"/>
      <c r="BL23" s="57"/>
      <c r="BM23" s="58"/>
      <c r="BN23" s="58"/>
      <c r="BO23" s="58"/>
      <c r="BP23" s="79"/>
    </row>
    <row r="24" spans="2:68" s="88" customFormat="1" ht="11.25" customHeight="1" x14ac:dyDescent="0.2">
      <c r="B24" s="108"/>
      <c r="C24" s="108"/>
      <c r="D24" s="109"/>
      <c r="E24" s="108"/>
      <c r="F24" s="108"/>
      <c r="G24" s="108"/>
      <c r="H24" s="110"/>
      <c r="I24" s="109"/>
      <c r="J24" s="108"/>
      <c r="K24" s="108"/>
      <c r="L24" s="108"/>
      <c r="M24" s="110"/>
      <c r="N24" s="109"/>
      <c r="O24" s="108"/>
      <c r="P24" s="108"/>
      <c r="Q24" s="108"/>
      <c r="R24" s="110"/>
      <c r="S24" s="109"/>
      <c r="T24" s="108"/>
      <c r="U24" s="108"/>
      <c r="V24" s="108"/>
      <c r="W24" s="110"/>
      <c r="X24" s="109"/>
      <c r="Y24" s="111"/>
      <c r="Z24" s="111"/>
      <c r="AA24" s="108"/>
      <c r="AB24" s="110"/>
      <c r="AC24" s="109"/>
      <c r="AD24" s="108"/>
      <c r="AE24" s="108"/>
      <c r="AF24" s="108"/>
      <c r="AG24" s="110"/>
      <c r="AH24" s="109"/>
      <c r="AI24" s="108"/>
      <c r="AJ24" s="108"/>
      <c r="AK24" s="108"/>
      <c r="AL24" s="110"/>
      <c r="AM24" s="109"/>
      <c r="AN24" s="108"/>
      <c r="AO24" s="108"/>
      <c r="AP24" s="108"/>
      <c r="AQ24" s="110"/>
      <c r="AR24" s="109"/>
      <c r="AS24" s="108"/>
      <c r="AT24" s="108"/>
      <c r="AU24" s="108"/>
      <c r="AV24" s="110"/>
      <c r="AW24" s="109"/>
      <c r="AX24" s="108"/>
      <c r="AY24" s="108"/>
      <c r="AZ24" s="108"/>
      <c r="BA24" s="110"/>
      <c r="BB24" s="109"/>
      <c r="BC24" s="108"/>
      <c r="BD24" s="108"/>
      <c r="BE24" s="108"/>
      <c r="BF24" s="110"/>
      <c r="BG24" s="109"/>
      <c r="BH24" s="108"/>
      <c r="BI24" s="108"/>
      <c r="BJ24" s="108"/>
      <c r="BK24" s="110"/>
      <c r="BL24" s="109"/>
      <c r="BM24" s="108"/>
      <c r="BN24" s="108"/>
      <c r="BO24" s="108"/>
      <c r="BP24" s="110"/>
    </row>
    <row r="25" spans="2:68" ht="15" x14ac:dyDescent="0.25">
      <c r="B25" s="52"/>
      <c r="C25" s="53"/>
      <c r="D25" s="58"/>
      <c r="E25" s="58"/>
      <c r="F25" s="58"/>
      <c r="G25" s="58"/>
      <c r="H25" s="77"/>
      <c r="I25" s="58"/>
      <c r="J25" s="58"/>
      <c r="K25" s="58"/>
      <c r="L25" s="58"/>
      <c r="M25" s="77"/>
      <c r="N25" s="58"/>
      <c r="O25" s="58"/>
      <c r="P25" s="58"/>
      <c r="Q25" s="58"/>
      <c r="R25" s="77"/>
      <c r="S25" s="112"/>
      <c r="T25" s="112"/>
      <c r="U25" s="112"/>
      <c r="V25" s="58"/>
      <c r="W25" s="77"/>
      <c r="X25" s="112"/>
      <c r="Y25" s="112"/>
      <c r="Z25" s="112"/>
      <c r="AA25" s="58"/>
      <c r="AB25" s="77"/>
      <c r="AC25" s="112"/>
      <c r="AD25" s="112"/>
      <c r="AE25" s="112"/>
      <c r="AF25" s="58"/>
      <c r="AG25" s="77"/>
      <c r="AH25" s="112"/>
      <c r="AI25" s="112"/>
      <c r="AJ25" s="112"/>
      <c r="AK25" s="58"/>
      <c r="AL25" s="77"/>
      <c r="AM25" s="112"/>
      <c r="AN25" s="112"/>
      <c r="AO25" s="112"/>
      <c r="AP25" s="58"/>
      <c r="AQ25" s="77"/>
      <c r="AR25" s="112"/>
      <c r="AS25" s="112"/>
      <c r="AT25" s="112"/>
      <c r="AU25" s="58"/>
      <c r="AV25" s="77"/>
      <c r="AW25" s="112"/>
      <c r="AX25" s="112"/>
      <c r="AY25" s="112"/>
      <c r="AZ25" s="58"/>
      <c r="BA25" s="77"/>
      <c r="BB25" s="112"/>
      <c r="BC25" s="112"/>
      <c r="BD25" s="112"/>
      <c r="BE25" s="58"/>
      <c r="BF25" s="77"/>
      <c r="BG25" s="112"/>
      <c r="BH25" s="112"/>
      <c r="BI25" s="112"/>
      <c r="BJ25" s="58"/>
      <c r="BK25" s="77"/>
      <c r="BL25" s="112"/>
      <c r="BM25" s="112"/>
      <c r="BN25" s="112"/>
      <c r="BO25" s="58"/>
      <c r="BP25" s="77"/>
    </row>
    <row r="26" spans="2:68" ht="36.75" customHeight="1" x14ac:dyDescent="0.25">
      <c r="B26" s="55" t="s">
        <v>77</v>
      </c>
      <c r="C26" s="113"/>
      <c r="D26" s="103"/>
      <c r="E26" s="105"/>
      <c r="F26" s="105"/>
      <c r="G26" s="105"/>
      <c r="H26" s="114"/>
      <c r="I26" s="103"/>
      <c r="J26" s="105"/>
      <c r="K26" s="105"/>
      <c r="L26" s="105"/>
      <c r="M26" s="114"/>
      <c r="N26" s="103"/>
      <c r="O26" s="105"/>
      <c r="P26" s="105"/>
      <c r="Q26" s="105"/>
      <c r="R26" s="114"/>
      <c r="S26" s="103"/>
      <c r="T26" s="105"/>
      <c r="U26" s="105"/>
      <c r="V26" s="105"/>
      <c r="W26" s="114"/>
      <c r="X26" s="103"/>
      <c r="Y26" s="105"/>
      <c r="Z26" s="105"/>
      <c r="AA26" s="105"/>
      <c r="AB26" s="114"/>
      <c r="AC26" s="103"/>
      <c r="AD26" s="105"/>
      <c r="AE26" s="105"/>
      <c r="AF26" s="105"/>
      <c r="AG26" s="114"/>
      <c r="AH26" s="103"/>
      <c r="AI26" s="105"/>
      <c r="AJ26" s="105"/>
      <c r="AK26" s="105"/>
      <c r="AL26" s="115"/>
      <c r="AM26" s="103"/>
      <c r="AN26" s="105"/>
      <c r="AO26" s="105"/>
      <c r="AP26" s="105"/>
      <c r="AQ26" s="115"/>
      <c r="AR26" s="103"/>
      <c r="AS26" s="105"/>
      <c r="AT26" s="105"/>
      <c r="AU26" s="105"/>
      <c r="AV26" s="115"/>
      <c r="AW26" s="103"/>
      <c r="AX26" s="105"/>
      <c r="AY26" s="105"/>
      <c r="AZ26" s="105"/>
      <c r="BA26" s="115"/>
      <c r="BB26" s="103"/>
      <c r="BC26" s="105"/>
      <c r="BD26" s="105"/>
      <c r="BE26" s="105"/>
      <c r="BF26" s="115"/>
      <c r="BG26" s="103"/>
      <c r="BH26" s="105"/>
      <c r="BI26" s="105"/>
      <c r="BJ26" s="105"/>
      <c r="BK26" s="115"/>
      <c r="BL26" s="103"/>
      <c r="BM26" s="105"/>
      <c r="BN26" s="105"/>
      <c r="BO26" s="105"/>
      <c r="BP26" s="115"/>
    </row>
    <row r="27" spans="2:68" ht="18" customHeight="1" x14ac:dyDescent="0.2">
      <c r="B27" s="443" t="s">
        <v>66</v>
      </c>
      <c r="C27" s="60" t="s">
        <v>67</v>
      </c>
      <c r="D27" s="66">
        <v>4228</v>
      </c>
      <c r="E27" s="67">
        <v>0</v>
      </c>
      <c r="F27" s="62">
        <v>58864.5</v>
      </c>
      <c r="G27" s="63">
        <f>IF($B$4="quarter",SUM((E27/45),(F27/900)),IF($B$4="semester",SUM((E27/30),F27/900)))</f>
        <v>65.405000000000001</v>
      </c>
      <c r="H27" s="93"/>
      <c r="I27" s="65">
        <v>4546</v>
      </c>
      <c r="J27" s="62">
        <v>0</v>
      </c>
      <c r="K27" s="62">
        <v>63875.5</v>
      </c>
      <c r="L27" s="63">
        <f>IF($B$4="quarter",SUM((J27/45),(K27/900)),IF($B$4="semester",SUM((J27/30),K27/900)))</f>
        <v>70.972777777777779</v>
      </c>
      <c r="M27" s="93"/>
      <c r="N27" s="65">
        <v>6671</v>
      </c>
      <c r="O27" s="62">
        <v>0</v>
      </c>
      <c r="P27" s="62">
        <v>72653</v>
      </c>
      <c r="Q27" s="63">
        <f>IF($B$4="quarter",SUM((O27/45),(P27/900)),IF($B$4="semester",SUM((O27/30),P27/900)))</f>
        <v>80.725555555555559</v>
      </c>
      <c r="R27" s="93"/>
      <c r="S27" s="65">
        <v>0</v>
      </c>
      <c r="T27" s="62">
        <v>0</v>
      </c>
      <c r="U27" s="62">
        <v>55062</v>
      </c>
      <c r="V27" s="63">
        <f>IF($B$4="quarter",SUM((T27/45),(U27/900)),IF($B$4="semester",SUM((T27/30),U27/900)))</f>
        <v>61.18</v>
      </c>
      <c r="W27" s="93"/>
      <c r="X27" s="65">
        <v>0</v>
      </c>
      <c r="Y27" s="62">
        <v>0</v>
      </c>
      <c r="Z27" s="62">
        <v>69649.3</v>
      </c>
      <c r="AA27" s="63">
        <f>IF($B$4="quarter",SUM((Y27/45),(Z27/900)),IF($B$4="semester",SUM((Y27/30),Z27/900)))</f>
        <v>77.388111111111115</v>
      </c>
      <c r="AB27" s="93"/>
      <c r="AC27" s="66">
        <v>0</v>
      </c>
      <c r="AD27" s="67">
        <v>0</v>
      </c>
      <c r="AE27" s="67">
        <v>78683.5</v>
      </c>
      <c r="AF27" s="63">
        <f>IF($B$4="quarter",SUM((AD27/45),(AE27/900)),IF($B$4="semester",SUM((AD27/30),AE27/900)))</f>
        <v>87.426111111111112</v>
      </c>
      <c r="AG27" s="93"/>
      <c r="AH27" s="66">
        <v>0</v>
      </c>
      <c r="AI27" s="67">
        <v>0</v>
      </c>
      <c r="AJ27" s="67">
        <v>82705.5</v>
      </c>
      <c r="AK27" s="63">
        <f>IF($B$4="quarter",SUM((AI27/45),(AJ27/900)),IF($B$4="semester",SUM((AI27/30),AJ27/900)))</f>
        <v>91.894999999999996</v>
      </c>
      <c r="AL27" s="93"/>
      <c r="AM27" s="66">
        <v>0</v>
      </c>
      <c r="AN27" s="67">
        <v>0</v>
      </c>
      <c r="AO27" s="67">
        <v>28926</v>
      </c>
      <c r="AP27" s="63">
        <f>IF($B$4="quarter",SUM((AN27/45),(AO27/900)),IF($B$4="semester",SUM((AN27/30),AO27/900)))</f>
        <v>32.14</v>
      </c>
      <c r="AQ27" s="93"/>
      <c r="AR27" s="66">
        <v>0</v>
      </c>
      <c r="AS27" s="67">
        <v>0</v>
      </c>
      <c r="AT27" s="67">
        <v>74459.5</v>
      </c>
      <c r="AU27" s="63">
        <f>IF($B$4="quarter",SUM((AS27/45),(AT27/900)),IF($B$4="semester",SUM((AS27/30),AT27/900)))</f>
        <v>82.732777777777784</v>
      </c>
      <c r="AV27" s="93"/>
      <c r="AW27" s="66">
        <v>0</v>
      </c>
      <c r="AX27" s="67">
        <v>0</v>
      </c>
      <c r="AY27" s="67">
        <v>105681</v>
      </c>
      <c r="AZ27" s="63">
        <f>IF($B$4="quarter",SUM((AX27/45),(AY27/900)),IF($B$4="semester",SUM((AX27/30),AY27/900)))</f>
        <v>117.42333333333333</v>
      </c>
      <c r="BA27" s="93"/>
      <c r="BB27" s="68"/>
      <c r="BC27" s="69"/>
      <c r="BD27" s="69">
        <v>105336</v>
      </c>
      <c r="BE27" s="63">
        <f>IF($B$4="quarter",SUM((BC27/45),(BD27/900)),IF($B$4="semester",SUM((BC27/30),BD27/900)))</f>
        <v>117.04</v>
      </c>
      <c r="BF27" s="93"/>
      <c r="BG27" s="66"/>
      <c r="BH27" s="67"/>
      <c r="BI27" s="67"/>
      <c r="BJ27" s="63">
        <f>IF($B$4="quarter",SUM((BH27/45),(BI27/900)),IF($B$4="semester",SUM((BH27/30),BI27/900)))</f>
        <v>0</v>
      </c>
      <c r="BK27" s="93"/>
      <c r="BL27" s="66"/>
      <c r="BM27" s="67"/>
      <c r="BN27" s="67"/>
      <c r="BO27" s="63">
        <f>IF($B$4="quarter",SUM((BM27/45),(BN27/900)),IF($B$4="semester",SUM((BM27/30),BN27/900)))</f>
        <v>0</v>
      </c>
      <c r="BP27" s="93"/>
    </row>
    <row r="28" spans="2:68" ht="18" customHeight="1" x14ac:dyDescent="0.2">
      <c r="B28" s="444"/>
      <c r="C28" s="116" t="s">
        <v>68</v>
      </c>
      <c r="D28" s="66">
        <v>104</v>
      </c>
      <c r="E28" s="67">
        <v>0</v>
      </c>
      <c r="F28" s="67">
        <v>1612.9</v>
      </c>
      <c r="G28" s="63">
        <f>IF($B$4="quarter",SUM((E28/45),(F28/900)),IF($B$4="semester",SUM((E28/30),F28/900)))</f>
        <v>1.7921111111111112</v>
      </c>
      <c r="H28" s="93"/>
      <c r="I28" s="65">
        <v>113</v>
      </c>
      <c r="J28" s="62">
        <v>0</v>
      </c>
      <c r="K28" s="62">
        <v>1961</v>
      </c>
      <c r="L28" s="63">
        <f>IF($B$4="quarter",SUM((J28/45),(K28/900)),IF($B$4="semester",SUM((J28/30),K28/900)))</f>
        <v>2.1788888888888889</v>
      </c>
      <c r="M28" s="93"/>
      <c r="N28" s="65">
        <v>214</v>
      </c>
      <c r="O28" s="62">
        <v>0</v>
      </c>
      <c r="P28" s="62">
        <v>2078</v>
      </c>
      <c r="Q28" s="63">
        <f>IF($B$4="quarter",SUM((O28/45),(P28/900)),IF($B$4="semester",SUM((O28/30),P28/900)))</f>
        <v>2.3088888888888888</v>
      </c>
      <c r="R28" s="93"/>
      <c r="S28" s="65">
        <v>0</v>
      </c>
      <c r="T28" s="62">
        <v>0</v>
      </c>
      <c r="U28" s="62">
        <v>2713</v>
      </c>
      <c r="V28" s="63">
        <f>IF($B$4="quarter",SUM((T28/45),(U28/900)),IF($B$4="semester",SUM((T28/30),U28/900)))</f>
        <v>3.0144444444444445</v>
      </c>
      <c r="W28" s="93"/>
      <c r="X28" s="65">
        <v>0</v>
      </c>
      <c r="Y28" s="62">
        <v>0</v>
      </c>
      <c r="Z28" s="62">
        <v>2009.6</v>
      </c>
      <c r="AA28" s="63">
        <f>IF($B$4="quarter",SUM((Y28/45),(Z28/900)),IF($B$4="semester",SUM((Y28/30),Z28/900)))</f>
        <v>2.2328888888888887</v>
      </c>
      <c r="AB28" s="93"/>
      <c r="AC28" s="66">
        <v>0</v>
      </c>
      <c r="AD28" s="67">
        <v>0</v>
      </c>
      <c r="AE28" s="67">
        <v>5315.2</v>
      </c>
      <c r="AF28" s="63">
        <f>IF($B$4="quarter",SUM((AD28/45),(AE28/900)),IF($B$4="semester",SUM((AD28/30),AE28/900)))</f>
        <v>5.9057777777777778</v>
      </c>
      <c r="AG28" s="93"/>
      <c r="AH28" s="66">
        <v>0</v>
      </c>
      <c r="AI28" s="67">
        <v>0</v>
      </c>
      <c r="AJ28" s="67">
        <v>5456</v>
      </c>
      <c r="AK28" s="63">
        <f>IF($B$4="quarter",SUM((AI28/45),(AJ28/900)),IF($B$4="semester",SUM((AI28/30),AJ28/900)))</f>
        <v>6.0622222222222222</v>
      </c>
      <c r="AL28" s="93"/>
      <c r="AM28" s="66">
        <v>0</v>
      </c>
      <c r="AN28" s="67">
        <v>0</v>
      </c>
      <c r="AO28" s="67">
        <v>2313</v>
      </c>
      <c r="AP28" s="63">
        <f>IF($B$4="quarter",SUM((AN28/45),(AO28/900)),IF($B$4="semester",SUM((AN28/30),AO28/900)))</f>
        <v>2.57</v>
      </c>
      <c r="AQ28" s="93"/>
      <c r="AR28" s="66">
        <v>0</v>
      </c>
      <c r="AS28" s="67">
        <v>0</v>
      </c>
      <c r="AT28" s="67">
        <v>3347</v>
      </c>
      <c r="AU28" s="63">
        <f>IF($B$4="quarter",SUM((AS28/45),(AT28/900)),IF($B$4="semester",SUM((AS28/30),AT28/900)))</f>
        <v>3.7188888888888889</v>
      </c>
      <c r="AV28" s="93"/>
      <c r="AW28" s="66">
        <v>0</v>
      </c>
      <c r="AX28" s="67">
        <v>0</v>
      </c>
      <c r="AY28" s="67">
        <v>4264</v>
      </c>
      <c r="AZ28" s="63">
        <f>IF($B$4="quarter",SUM((AX28/45),(AY28/900)),IF($B$4="semester",SUM((AX28/30),AY28/900)))</f>
        <v>4.7377777777777776</v>
      </c>
      <c r="BA28" s="93"/>
      <c r="BB28" s="68"/>
      <c r="BC28" s="69"/>
      <c r="BD28" s="69">
        <v>20569</v>
      </c>
      <c r="BE28" s="63">
        <f>IF($B$4="quarter",SUM((BC28/45),(BD28/900)),IF($B$4="semester",SUM((BC28/30),BD28/900)))</f>
        <v>22.854444444444443</v>
      </c>
      <c r="BF28" s="93"/>
      <c r="BG28" s="66"/>
      <c r="BH28" s="67"/>
      <c r="BI28" s="67"/>
      <c r="BJ28" s="63">
        <f>IF($B$4="quarter",SUM((BH28/45),(BI28/900)),IF($B$4="semester",SUM((BH28/30),BI28/900)))</f>
        <v>0</v>
      </c>
      <c r="BK28" s="93"/>
      <c r="BL28" s="66"/>
      <c r="BM28" s="67"/>
      <c r="BN28" s="67"/>
      <c r="BO28" s="63">
        <f>IF($B$4="quarter",SUM((BM28/45),(BN28/900)),IF($B$4="semester",SUM((BM28/30),BN28/900)))</f>
        <v>0</v>
      </c>
      <c r="BP28" s="93"/>
    </row>
    <row r="29" spans="2:68" ht="18" customHeight="1" x14ac:dyDescent="0.25">
      <c r="B29" s="445"/>
      <c r="C29" s="71" t="s">
        <v>69</v>
      </c>
      <c r="D29" s="72">
        <f>SUM(D27:D28)</f>
        <v>4332</v>
      </c>
      <c r="E29" s="63">
        <f>SUM(E27:E28)</f>
        <v>0</v>
      </c>
      <c r="F29" s="63">
        <f>SUM(F27:F28)</f>
        <v>60477.4</v>
      </c>
      <c r="G29" s="63">
        <f>SUM(G27:G28)</f>
        <v>67.197111111111113</v>
      </c>
      <c r="H29" s="93"/>
      <c r="I29" s="72">
        <f>SUM(I27:I28)</f>
        <v>4659</v>
      </c>
      <c r="J29" s="63">
        <f>SUM(J27:J28)</f>
        <v>0</v>
      </c>
      <c r="K29" s="63">
        <f>SUM(K27:K28)</f>
        <v>65836.5</v>
      </c>
      <c r="L29" s="63">
        <f>SUM(L27:L28)</f>
        <v>73.151666666666671</v>
      </c>
      <c r="M29" s="93"/>
      <c r="N29" s="72">
        <f>SUM(N27:N28)</f>
        <v>6885</v>
      </c>
      <c r="O29" s="63">
        <f>SUM(O27:O28)</f>
        <v>0</v>
      </c>
      <c r="P29" s="63">
        <f>SUM(P27:P28)</f>
        <v>74731</v>
      </c>
      <c r="Q29" s="63">
        <f>SUM(Q27:Q28)</f>
        <v>83.034444444444446</v>
      </c>
      <c r="R29" s="93"/>
      <c r="S29" s="72">
        <f>SUM(S27:S28)</f>
        <v>0</v>
      </c>
      <c r="T29" s="63">
        <f>SUM(T27:T28)</f>
        <v>0</v>
      </c>
      <c r="U29" s="63">
        <f>SUM(U27:U28)</f>
        <v>57775</v>
      </c>
      <c r="V29" s="63">
        <f>SUM(V27:V28)</f>
        <v>64.194444444444443</v>
      </c>
      <c r="W29" s="93"/>
      <c r="X29" s="72">
        <f>SUM(X27:X28)</f>
        <v>0</v>
      </c>
      <c r="Y29" s="63">
        <f>SUM(Y27:Y28)</f>
        <v>0</v>
      </c>
      <c r="Z29" s="63">
        <f>SUM(Z27:Z28)</f>
        <v>71658.900000000009</v>
      </c>
      <c r="AA29" s="63">
        <f>SUM(AA27:AA28)</f>
        <v>79.621000000000009</v>
      </c>
      <c r="AB29" s="93"/>
      <c r="AC29" s="72">
        <f>SUM(AC27:AC28)</f>
        <v>0</v>
      </c>
      <c r="AD29" s="63">
        <f>SUM(AD27:AD28)</f>
        <v>0</v>
      </c>
      <c r="AE29" s="63">
        <f>SUM(AE27:AE28)</f>
        <v>83998.7</v>
      </c>
      <c r="AF29" s="73">
        <f>SUM(AF27:AF28)</f>
        <v>93.331888888888884</v>
      </c>
      <c r="AG29" s="93"/>
      <c r="AH29" s="72">
        <f>SUM(AH27:AH28)</f>
        <v>0</v>
      </c>
      <c r="AI29" s="63">
        <f>SUM(AI27:AI28)</f>
        <v>0</v>
      </c>
      <c r="AJ29" s="63">
        <f>SUM(AJ27:AJ28)</f>
        <v>88161.5</v>
      </c>
      <c r="AK29" s="63">
        <f>SUM(AK27:AK28)</f>
        <v>97.957222222222214</v>
      </c>
      <c r="AL29" s="93"/>
      <c r="AM29" s="72">
        <f>SUM(AM27:AM28)</f>
        <v>0</v>
      </c>
      <c r="AN29" s="63">
        <f>SUM(AN27:AN28)</f>
        <v>0</v>
      </c>
      <c r="AO29" s="63">
        <f>SUM(AO27:AO28)</f>
        <v>31239</v>
      </c>
      <c r="AP29" s="63">
        <f>SUM(AP27:AP28)</f>
        <v>34.71</v>
      </c>
      <c r="AQ29" s="93"/>
      <c r="AR29" s="72">
        <f>SUM(AR27:AR28)</f>
        <v>0</v>
      </c>
      <c r="AS29" s="63">
        <f>SUM(AS27:AS28)</f>
        <v>0</v>
      </c>
      <c r="AT29" s="63">
        <f>SUM(AT27:AT28)</f>
        <v>77806.5</v>
      </c>
      <c r="AU29" s="63">
        <f>SUM(AU27:AU28)</f>
        <v>86.451666666666668</v>
      </c>
      <c r="AV29" s="93"/>
      <c r="AW29" s="72">
        <f>SUM(AW27:AW28)</f>
        <v>0</v>
      </c>
      <c r="AX29" s="63">
        <f>SUM(AX27:AX28)</f>
        <v>0</v>
      </c>
      <c r="AY29" s="63">
        <f>SUM(AY27:AY28)</f>
        <v>109945</v>
      </c>
      <c r="AZ29" s="63">
        <f>SUM(AZ27:AZ28)</f>
        <v>122.16111111111111</v>
      </c>
      <c r="BA29" s="93"/>
      <c r="BB29" s="72">
        <f>SUM(BB27:BB28)</f>
        <v>0</v>
      </c>
      <c r="BC29" s="63">
        <f>SUM(BC27:BC28)</f>
        <v>0</v>
      </c>
      <c r="BD29" s="63">
        <f>SUM(BD27:BD28)</f>
        <v>125905</v>
      </c>
      <c r="BE29" s="63">
        <f>SUM(BE27:BE28)</f>
        <v>139.89444444444445</v>
      </c>
      <c r="BF29" s="93"/>
      <c r="BG29" s="72">
        <f>SUM(BG27:BG28)</f>
        <v>0</v>
      </c>
      <c r="BH29" s="63">
        <f>SUM(BH27:BH28)</f>
        <v>0</v>
      </c>
      <c r="BI29" s="63">
        <f>SUM(BI27:BI28)</f>
        <v>0</v>
      </c>
      <c r="BJ29" s="63">
        <f>SUM(BJ27:BJ28)</f>
        <v>0</v>
      </c>
      <c r="BK29" s="93"/>
      <c r="BL29" s="72">
        <f>SUM(BL27:BL28)</f>
        <v>0</v>
      </c>
      <c r="BM29" s="63">
        <f>SUM(BM27:BM28)</f>
        <v>0</v>
      </c>
      <c r="BN29" s="63">
        <f>SUM(BN27:BN28)</f>
        <v>0</v>
      </c>
      <c r="BO29" s="63">
        <f>SUM(BO27:BO28)</f>
        <v>0</v>
      </c>
      <c r="BP29" s="93"/>
    </row>
    <row r="30" spans="2:68" ht="15" x14ac:dyDescent="0.25">
      <c r="AM30" s="118"/>
      <c r="AR30" s="118"/>
      <c r="AW30" s="118"/>
      <c r="BB30" s="118"/>
      <c r="BG30" s="118"/>
      <c r="BL30" s="118"/>
    </row>
    <row r="31" spans="2:68" s="118" customFormat="1" ht="15" x14ac:dyDescent="0.25">
      <c r="B31" s="119"/>
      <c r="C31" s="119"/>
      <c r="D31" s="118" t="str">
        <f>D2&amp;" COMMENTS"</f>
        <v>2012-13 COMMENTS</v>
      </c>
      <c r="H31" s="120"/>
      <c r="I31" s="118" t="str">
        <f>I2&amp;" COMMENTS"</f>
        <v>2013-14 COMMENTS</v>
      </c>
      <c r="M31" s="120"/>
      <c r="N31" s="118" t="str">
        <f>N2&amp;" COMMENTS"</f>
        <v>2014-15 COMMENTS</v>
      </c>
      <c r="R31" s="120"/>
      <c r="S31" s="118" t="str">
        <f>S2&amp;" COMMENTS"</f>
        <v>2015-16 COMMENTS</v>
      </c>
      <c r="W31" s="120"/>
      <c r="X31" s="118" t="str">
        <f>X2&amp;" COMMENTS"</f>
        <v>2016-17 COMMENTS</v>
      </c>
      <c r="AB31" s="120"/>
      <c r="AC31" s="118" t="str">
        <f>AC2&amp;" COMMENTS"</f>
        <v>2017-18 COMMENTS</v>
      </c>
      <c r="AG31" s="120"/>
      <c r="AH31" s="118" t="str">
        <f>AH2&amp;" COMMENTS"</f>
        <v>2018-19 COMMENTS</v>
      </c>
      <c r="AL31" s="120"/>
      <c r="AM31" s="118" t="str">
        <f>AM2&amp;" COMMENTS"</f>
        <v>2019-20 COMMENTS</v>
      </c>
      <c r="AQ31" s="120"/>
      <c r="AR31" s="118" t="str">
        <f>AR2&amp;" COMMENTS"</f>
        <v>2020-21 COMMENTS</v>
      </c>
      <c r="AV31" s="120"/>
      <c r="AW31" s="118" t="str">
        <f>AW2&amp;" COMMENTS"</f>
        <v>2021-22 COMMENTS</v>
      </c>
      <c r="BA31" s="120"/>
      <c r="BB31" s="118" t="str">
        <f>BB2&amp;" COMMENTS"</f>
        <v>2022-23 COMMENTS</v>
      </c>
      <c r="BF31" s="120"/>
      <c r="BG31" s="118" t="str">
        <f>BG2&amp;" COMMENTS"</f>
        <v>2023.24 COMMENTS</v>
      </c>
      <c r="BK31" s="120"/>
      <c r="BL31" s="118" t="str">
        <f>BL2&amp;" COMMENTS"</f>
        <v>2024-25 COMMENTS</v>
      </c>
      <c r="BP31" s="120"/>
    </row>
    <row r="32" spans="2:68" ht="216.75" customHeight="1" x14ac:dyDescent="0.2">
      <c r="D32" s="450"/>
      <c r="E32" s="451"/>
      <c r="F32" s="451"/>
      <c r="G32" s="451"/>
      <c r="H32" s="452"/>
      <c r="I32" s="440"/>
      <c r="J32" s="441"/>
      <c r="K32" s="441"/>
      <c r="L32" s="441"/>
      <c r="M32" s="442"/>
      <c r="N32" s="440"/>
      <c r="O32" s="441"/>
      <c r="P32" s="441"/>
      <c r="Q32" s="441"/>
      <c r="R32" s="442"/>
      <c r="S32" s="440" t="s">
        <v>78</v>
      </c>
      <c r="T32" s="441"/>
      <c r="U32" s="441"/>
      <c r="V32" s="441"/>
      <c r="W32" s="442"/>
      <c r="X32" s="440" t="s">
        <v>79</v>
      </c>
      <c r="Y32" s="441"/>
      <c r="Z32" s="441"/>
      <c r="AA32" s="441"/>
      <c r="AB32" s="442"/>
      <c r="AC32" s="440" t="s">
        <v>80</v>
      </c>
      <c r="AD32" s="441"/>
      <c r="AE32" s="441"/>
      <c r="AF32" s="441"/>
      <c r="AG32" s="442"/>
      <c r="AH32" s="440" t="s">
        <v>81</v>
      </c>
      <c r="AI32" s="441"/>
      <c r="AJ32" s="441"/>
      <c r="AK32" s="441"/>
      <c r="AL32" s="442"/>
      <c r="AM32" s="440" t="s">
        <v>81</v>
      </c>
      <c r="AN32" s="441"/>
      <c r="AO32" s="441"/>
      <c r="AP32" s="441"/>
      <c r="AQ32" s="442"/>
      <c r="AR32" s="440" t="s">
        <v>81</v>
      </c>
      <c r="AS32" s="441"/>
      <c r="AT32" s="441"/>
      <c r="AU32" s="441"/>
      <c r="AV32" s="442"/>
      <c r="AW32" s="440" t="s">
        <v>100</v>
      </c>
      <c r="AX32" s="441"/>
      <c r="AY32" s="441"/>
      <c r="AZ32" s="441"/>
      <c r="BA32" s="442"/>
      <c r="BB32" s="453" t="s">
        <v>100</v>
      </c>
      <c r="BC32" s="454"/>
      <c r="BD32" s="454"/>
      <c r="BE32" s="454"/>
      <c r="BF32" s="455"/>
      <c r="BG32" s="440"/>
      <c r="BH32" s="441"/>
      <c r="BI32" s="441"/>
      <c r="BJ32" s="441"/>
      <c r="BK32" s="442"/>
      <c r="BL32" s="440"/>
      <c r="BM32" s="441"/>
      <c r="BN32" s="441"/>
      <c r="BO32" s="441"/>
      <c r="BP32" s="442"/>
    </row>
  </sheetData>
  <sheetProtection formatColumns="0"/>
  <mergeCells count="96">
    <mergeCell ref="BG32:BK32"/>
    <mergeCell ref="BL32:BP32"/>
    <mergeCell ref="AC32:AG32"/>
    <mergeCell ref="AH32:AL32"/>
    <mergeCell ref="AM32:AQ32"/>
    <mergeCell ref="AR32:AV32"/>
    <mergeCell ref="AW32:BA32"/>
    <mergeCell ref="BB32:BF32"/>
    <mergeCell ref="B27:B29"/>
    <mergeCell ref="D32:H32"/>
    <mergeCell ref="I32:M32"/>
    <mergeCell ref="N32:R32"/>
    <mergeCell ref="S32:W32"/>
    <mergeCell ref="X32:AB32"/>
    <mergeCell ref="BO3:BO5"/>
    <mergeCell ref="BP3:BP5"/>
    <mergeCell ref="B7:B9"/>
    <mergeCell ref="B15:C15"/>
    <mergeCell ref="B16:B18"/>
    <mergeCell ref="B20:B22"/>
    <mergeCell ref="BI3:BI5"/>
    <mergeCell ref="BJ3:BJ5"/>
    <mergeCell ref="BK3:BK5"/>
    <mergeCell ref="BL3:BL5"/>
    <mergeCell ref="BM3:BM5"/>
    <mergeCell ref="BN3:BN5"/>
    <mergeCell ref="BC3:BC5"/>
    <mergeCell ref="BD3:BD5"/>
    <mergeCell ref="BE3:BE5"/>
    <mergeCell ref="BF3:BF5"/>
    <mergeCell ref="BG3:BG5"/>
    <mergeCell ref="BH3:BH5"/>
    <mergeCell ref="AW3:AW5"/>
    <mergeCell ref="AX3:AX5"/>
    <mergeCell ref="AY3:AY5"/>
    <mergeCell ref="AZ3:AZ5"/>
    <mergeCell ref="BA3:BA5"/>
    <mergeCell ref="BB3:BB5"/>
    <mergeCell ref="AV3:AV5"/>
    <mergeCell ref="AK3:AK5"/>
    <mergeCell ref="AL3:AL5"/>
    <mergeCell ref="AM3:AM5"/>
    <mergeCell ref="AN3:AN5"/>
    <mergeCell ref="AO3:AO5"/>
    <mergeCell ref="AP3:AP5"/>
    <mergeCell ref="AQ3:AQ5"/>
    <mergeCell ref="AR3:AR5"/>
    <mergeCell ref="AS3:AS5"/>
    <mergeCell ref="AT3:AT5"/>
    <mergeCell ref="AU3:AU5"/>
    <mergeCell ref="AJ3:AJ5"/>
    <mergeCell ref="Y3:Y5"/>
    <mergeCell ref="Z3:Z5"/>
    <mergeCell ref="AA3:AA5"/>
    <mergeCell ref="AB3:AB5"/>
    <mergeCell ref="AC3:AC5"/>
    <mergeCell ref="AD3:AD5"/>
    <mergeCell ref="AE3:AE5"/>
    <mergeCell ref="AF3:AF5"/>
    <mergeCell ref="AG3:AG5"/>
    <mergeCell ref="AH3:AH5"/>
    <mergeCell ref="AI3:AI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W3:W5"/>
    <mergeCell ref="BL2:BP2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AH2:AL2"/>
    <mergeCell ref="AM2:AQ2"/>
    <mergeCell ref="AR2:AV2"/>
    <mergeCell ref="AW2:BA2"/>
    <mergeCell ref="BB2:BF2"/>
    <mergeCell ref="BG2:BK2"/>
    <mergeCell ref="AC2:AG2"/>
    <mergeCell ref="D2:H2"/>
    <mergeCell ref="I2:M2"/>
    <mergeCell ref="N2:R2"/>
    <mergeCell ref="S2:W2"/>
    <mergeCell ref="X2:AB2"/>
  </mergeCells>
  <dataValidations count="2">
    <dataValidation type="decimal" operator="greaterThanOrEqual" allowBlank="1" showInputMessage="1" showErrorMessage="1" errorTitle="Data Type Error" error="Value must be a number greater than or equal to 0." sqref="N7:P8 I7:K8 S27:U28 D7:F8 F27 S16:U17 I27:K28 N27:P28 D16:F16 X7:Z8 I16:K17 N16:P17 N20:O20 S20:T20 S7:U8 X27:Z28 X16:Z17 X20:Z21" xr:uid="{0B8D0C38-6B8A-4CDD-9138-757DE8FED51E}">
      <formula1>0</formula1>
    </dataValidation>
    <dataValidation type="list" allowBlank="1" showInputMessage="1" showErrorMessage="1" sqref="B4" xr:uid="{5985EF86-E3DF-4473-9936-80512D0003C4}">
      <formula1>"Semester,Quarter"</formula1>
    </dataValidation>
  </dataValidations>
  <pageMargins left="0.5" right="0.5" top="0.75" bottom="0.5" header="0.3" footer="0.3"/>
  <pageSetup scale="61" orientation="landscape" r:id="rId1"/>
  <headerFooter>
    <oddHeader>&amp;C&amp;"-,Bold"&amp;26Metropolitan Community College
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9803C2-DD80-4CAD-965F-D2FE37D1ED69}">
  <sheetPr>
    <pageSetUpPr fitToPage="1"/>
  </sheetPr>
  <dimension ref="B1:AM44"/>
  <sheetViews>
    <sheetView showGridLines="0" zoomScale="90" zoomScaleNormal="9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S6" sqref="S6"/>
    </sheetView>
  </sheetViews>
  <sheetFormatPr defaultColWidth="21.28515625" defaultRowHeight="15" x14ac:dyDescent="0.25"/>
  <cols>
    <col min="1" max="1" width="1.5703125" style="132" customWidth="1"/>
    <col min="2" max="2" width="51.140625" style="132" customWidth="1"/>
    <col min="3" max="3" width="16.7109375" style="132" customWidth="1"/>
    <col min="4" max="4" width="15.7109375" style="213" customWidth="1"/>
    <col min="5" max="5" width="14.28515625" style="132" hidden="1" customWidth="1"/>
    <col min="6" max="6" width="10.28515625" style="132" hidden="1" customWidth="1"/>
    <col min="7" max="7" width="14.28515625" style="132" hidden="1" customWidth="1"/>
    <col min="8" max="8" width="10.28515625" style="132" hidden="1" customWidth="1"/>
    <col min="9" max="9" width="14.42578125" style="132" hidden="1" customWidth="1"/>
    <col min="10" max="10" width="10.28515625" style="132" hidden="1" customWidth="1"/>
    <col min="11" max="11" width="14.42578125" style="132" hidden="1" customWidth="1"/>
    <col min="12" max="12" width="10.28515625" style="132" hidden="1" customWidth="1"/>
    <col min="13" max="13" width="14.42578125" style="132" hidden="1" customWidth="1"/>
    <col min="14" max="14" width="10.28515625" style="132" hidden="1" customWidth="1"/>
    <col min="15" max="15" width="14.42578125" style="132" hidden="1" customWidth="1"/>
    <col min="16" max="16" width="10.28515625" style="132" hidden="1" customWidth="1"/>
    <col min="17" max="17" width="14.42578125" style="132" hidden="1" customWidth="1"/>
    <col min="18" max="18" width="10.28515625" style="132" hidden="1" customWidth="1"/>
    <col min="19" max="19" width="14.42578125" style="132" customWidth="1"/>
    <col min="20" max="20" width="10.28515625" style="132" customWidth="1"/>
    <col min="21" max="21" width="14.42578125" style="132" customWidth="1"/>
    <col min="22" max="22" width="10.28515625" style="132" customWidth="1"/>
    <col min="23" max="23" width="14.42578125" style="132" customWidth="1"/>
    <col min="24" max="24" width="10.28515625" style="132" customWidth="1"/>
    <col min="25" max="25" width="14.42578125" style="132" customWidth="1"/>
    <col min="26" max="26" width="10.28515625" style="132" customWidth="1"/>
    <col min="27" max="27" width="1.7109375" style="132" customWidth="1"/>
    <col min="28" max="34" width="16" style="132" hidden="1" customWidth="1"/>
    <col min="35" max="37" width="16" style="132" customWidth="1"/>
    <col min="38" max="38" width="1.5703125" style="132" customWidth="1"/>
    <col min="39" max="16384" width="21.28515625" style="132"/>
  </cols>
  <sheetData>
    <row r="1" spans="2:39" s="121" customFormat="1" ht="15.75" customHeight="1" thickBot="1" x14ac:dyDescent="0.3">
      <c r="C1" s="122"/>
      <c r="D1" s="123"/>
      <c r="E1" s="460" t="s">
        <v>82</v>
      </c>
      <c r="F1" s="461"/>
      <c r="G1" s="461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  <c r="S1" s="461"/>
      <c r="T1" s="461"/>
      <c r="U1" s="461"/>
      <c r="V1" s="461"/>
      <c r="W1" s="461"/>
      <c r="X1" s="461"/>
      <c r="Y1" s="399"/>
      <c r="Z1" s="398"/>
      <c r="AA1" s="124"/>
      <c r="AB1" s="460" t="s">
        <v>83</v>
      </c>
      <c r="AC1" s="461"/>
      <c r="AD1" s="461"/>
      <c r="AE1" s="461"/>
      <c r="AF1" s="461"/>
      <c r="AG1" s="461"/>
      <c r="AH1" s="461"/>
      <c r="AI1" s="461"/>
      <c r="AJ1" s="461"/>
      <c r="AK1" s="462"/>
      <c r="AL1" s="125"/>
    </row>
    <row r="2" spans="2:39" s="121" customFormat="1" ht="15.75" thickBot="1" x14ac:dyDescent="0.3">
      <c r="D2" s="126"/>
      <c r="E2" s="463" t="s">
        <v>6</v>
      </c>
      <c r="F2" s="464"/>
      <c r="G2" s="465" t="s">
        <v>7</v>
      </c>
      <c r="H2" s="466"/>
      <c r="I2" s="467" t="s">
        <v>8</v>
      </c>
      <c r="J2" s="468"/>
      <c r="K2" s="469" t="s">
        <v>9</v>
      </c>
      <c r="L2" s="470"/>
      <c r="M2" s="471" t="s">
        <v>10</v>
      </c>
      <c r="N2" s="472"/>
      <c r="O2" s="473" t="s">
        <v>11</v>
      </c>
      <c r="P2" s="474"/>
      <c r="Q2" s="463" t="s">
        <v>12</v>
      </c>
      <c r="R2" s="464"/>
      <c r="S2" s="465" t="s">
        <v>13</v>
      </c>
      <c r="T2" s="466"/>
      <c r="U2" s="467" t="s">
        <v>14</v>
      </c>
      <c r="V2" s="468"/>
      <c r="W2" s="469" t="s">
        <v>15</v>
      </c>
      <c r="X2" s="470"/>
      <c r="Y2" s="475" t="s">
        <v>16</v>
      </c>
      <c r="Z2" s="476"/>
      <c r="AA2" s="127"/>
      <c r="AB2" s="128"/>
      <c r="AC2" s="128"/>
      <c r="AD2" s="129"/>
      <c r="AE2" s="129"/>
      <c r="AF2" s="129"/>
      <c r="AG2" s="129"/>
      <c r="AH2" s="129"/>
      <c r="AI2" s="129"/>
      <c r="AJ2" s="129"/>
      <c r="AK2" s="130"/>
      <c r="AL2" s="131"/>
      <c r="AM2" s="132"/>
    </row>
    <row r="3" spans="2:39" s="149" customFormat="1" ht="15.75" thickBot="1" x14ac:dyDescent="0.3">
      <c r="B3" s="133" t="s">
        <v>84</v>
      </c>
      <c r="C3" s="134" t="s">
        <v>85</v>
      </c>
      <c r="D3" s="135" t="s">
        <v>86</v>
      </c>
      <c r="E3" s="136" t="s">
        <v>87</v>
      </c>
      <c r="F3" s="137" t="s">
        <v>88</v>
      </c>
      <c r="G3" s="137" t="s">
        <v>87</v>
      </c>
      <c r="H3" s="137" t="s">
        <v>88</v>
      </c>
      <c r="I3" s="137" t="s">
        <v>87</v>
      </c>
      <c r="J3" s="137" t="s">
        <v>88</v>
      </c>
      <c r="K3" s="138" t="s">
        <v>87</v>
      </c>
      <c r="L3" s="137" t="s">
        <v>88</v>
      </c>
      <c r="M3" s="137" t="s">
        <v>87</v>
      </c>
      <c r="N3" s="137" t="s">
        <v>88</v>
      </c>
      <c r="O3" s="137" t="s">
        <v>87</v>
      </c>
      <c r="P3" s="137" t="s">
        <v>88</v>
      </c>
      <c r="Q3" s="137" t="s">
        <v>87</v>
      </c>
      <c r="R3" s="137" t="s">
        <v>88</v>
      </c>
      <c r="S3" s="139" t="s">
        <v>87</v>
      </c>
      <c r="T3" s="139" t="s">
        <v>88</v>
      </c>
      <c r="U3" s="139" t="s">
        <v>87</v>
      </c>
      <c r="V3" s="139" t="s">
        <v>88</v>
      </c>
      <c r="W3" s="139" t="s">
        <v>87</v>
      </c>
      <c r="X3" s="140" t="s">
        <v>88</v>
      </c>
      <c r="Y3" s="139" t="s">
        <v>87</v>
      </c>
      <c r="Z3" s="140" t="s">
        <v>88</v>
      </c>
      <c r="AA3" s="141"/>
      <c r="AB3" s="142" t="s">
        <v>6</v>
      </c>
      <c r="AC3" s="143" t="s">
        <v>7</v>
      </c>
      <c r="AD3" s="144" t="s">
        <v>8</v>
      </c>
      <c r="AE3" s="145" t="s">
        <v>9</v>
      </c>
      <c r="AF3" s="146" t="s">
        <v>10</v>
      </c>
      <c r="AG3" s="147" t="s">
        <v>11</v>
      </c>
      <c r="AH3" s="142" t="s">
        <v>12</v>
      </c>
      <c r="AI3" s="143" t="s">
        <v>13</v>
      </c>
      <c r="AJ3" s="144" t="s">
        <v>14</v>
      </c>
      <c r="AK3" s="145" t="s">
        <v>15</v>
      </c>
      <c r="AL3" s="148"/>
      <c r="AM3" s="148"/>
    </row>
    <row r="4" spans="2:39" s="160" customFormat="1" ht="19.5" customHeight="1" x14ac:dyDescent="0.25">
      <c r="B4" s="150" t="s">
        <v>89</v>
      </c>
      <c r="C4" s="151"/>
      <c r="D4" s="152"/>
      <c r="E4" s="153"/>
      <c r="F4" s="154"/>
      <c r="G4" s="155"/>
      <c r="H4" s="156"/>
      <c r="I4" s="153"/>
      <c r="J4" s="154"/>
      <c r="K4" s="155"/>
      <c r="L4" s="156"/>
      <c r="M4" s="157"/>
      <c r="N4" s="156"/>
      <c r="O4" s="157"/>
      <c r="P4" s="156"/>
      <c r="Q4" s="157"/>
      <c r="R4" s="156"/>
      <c r="S4" s="157"/>
      <c r="T4" s="156"/>
      <c r="U4" s="157"/>
      <c r="V4" s="156"/>
      <c r="W4" s="157"/>
      <c r="X4" s="156"/>
      <c r="Y4" s="157"/>
      <c r="Z4" s="156"/>
      <c r="AA4" s="151"/>
      <c r="AB4" s="153"/>
      <c r="AC4" s="157"/>
      <c r="AD4" s="158"/>
      <c r="AE4" s="159"/>
      <c r="AF4" s="159"/>
      <c r="AG4" s="159"/>
      <c r="AH4" s="159"/>
      <c r="AI4" s="159"/>
      <c r="AJ4" s="159"/>
      <c r="AK4" s="159"/>
    </row>
    <row r="5" spans="2:39" s="160" customFormat="1" x14ac:dyDescent="0.25">
      <c r="B5" s="161" t="s">
        <v>90</v>
      </c>
      <c r="C5" s="161" t="s">
        <v>91</v>
      </c>
      <c r="D5" s="162"/>
      <c r="E5" s="163">
        <v>5</v>
      </c>
      <c r="F5" s="161" t="s">
        <v>92</v>
      </c>
      <c r="G5" s="163">
        <v>5</v>
      </c>
      <c r="H5" s="161" t="s">
        <v>92</v>
      </c>
      <c r="I5" s="163">
        <v>5</v>
      </c>
      <c r="J5" s="161" t="s">
        <v>92</v>
      </c>
      <c r="K5" s="163">
        <v>5</v>
      </c>
      <c r="L5" s="161" t="s">
        <v>92</v>
      </c>
      <c r="M5" s="163">
        <v>5</v>
      </c>
      <c r="N5" s="161" t="s">
        <v>92</v>
      </c>
      <c r="O5" s="163">
        <v>5</v>
      </c>
      <c r="P5" s="161" t="s">
        <v>92</v>
      </c>
      <c r="Q5" s="163">
        <v>5</v>
      </c>
      <c r="R5" s="161" t="s">
        <v>92</v>
      </c>
      <c r="S5" s="163">
        <v>5</v>
      </c>
      <c r="T5" s="161" t="s">
        <v>92</v>
      </c>
      <c r="U5" s="163">
        <v>5</v>
      </c>
      <c r="V5" s="161" t="s">
        <v>92</v>
      </c>
      <c r="W5" s="163">
        <v>5</v>
      </c>
      <c r="X5" s="161" t="s">
        <v>92</v>
      </c>
      <c r="Y5" s="164">
        <v>5</v>
      </c>
      <c r="Z5" s="165" t="s">
        <v>92</v>
      </c>
      <c r="AA5" s="166"/>
      <c r="AB5" s="167">
        <v>2387332</v>
      </c>
      <c r="AC5" s="167">
        <v>2245566</v>
      </c>
      <c r="AD5" s="167">
        <v>2115553</v>
      </c>
      <c r="AE5" s="167">
        <v>2081586</v>
      </c>
      <c r="AF5" s="167">
        <v>2062928</v>
      </c>
      <c r="AG5" s="167">
        <v>2019458</v>
      </c>
      <c r="AH5" s="167">
        <v>1886114</v>
      </c>
      <c r="AI5" s="167">
        <v>1617601</v>
      </c>
      <c r="AJ5" s="167">
        <v>1523810</v>
      </c>
      <c r="AK5" s="168">
        <v>1580477</v>
      </c>
    </row>
    <row r="6" spans="2:39" s="160" customFormat="1" x14ac:dyDescent="0.25">
      <c r="B6" s="165"/>
      <c r="C6" s="165"/>
      <c r="D6" s="169"/>
      <c r="E6" s="164"/>
      <c r="F6" s="165"/>
      <c r="G6" s="164"/>
      <c r="H6" s="165"/>
      <c r="I6" s="164"/>
      <c r="J6" s="165"/>
      <c r="K6" s="164"/>
      <c r="L6" s="165"/>
      <c r="M6" s="164"/>
      <c r="N6" s="165"/>
      <c r="O6" s="164"/>
      <c r="P6" s="165"/>
      <c r="Q6" s="164"/>
      <c r="R6" s="165"/>
      <c r="S6" s="163"/>
      <c r="T6" s="161"/>
      <c r="U6" s="163"/>
      <c r="V6" s="161"/>
      <c r="W6" s="163"/>
      <c r="X6" s="161"/>
      <c r="Y6" s="164"/>
      <c r="Z6" s="165"/>
      <c r="AA6" s="166"/>
      <c r="AB6" s="167"/>
      <c r="AC6" s="167"/>
      <c r="AD6" s="167"/>
      <c r="AE6" s="167"/>
      <c r="AF6" s="167"/>
      <c r="AG6" s="167"/>
      <c r="AH6" s="167"/>
      <c r="AI6" s="167"/>
      <c r="AJ6" s="167"/>
      <c r="AK6" s="168"/>
    </row>
    <row r="7" spans="2:39" s="160" customFormat="1" x14ac:dyDescent="0.25">
      <c r="B7" s="165"/>
      <c r="C7" s="165"/>
      <c r="D7" s="169"/>
      <c r="E7" s="164"/>
      <c r="F7" s="165"/>
      <c r="G7" s="164"/>
      <c r="H7" s="165"/>
      <c r="I7" s="164"/>
      <c r="J7" s="165"/>
      <c r="K7" s="164"/>
      <c r="L7" s="165"/>
      <c r="M7" s="164"/>
      <c r="N7" s="165"/>
      <c r="O7" s="164"/>
      <c r="P7" s="165"/>
      <c r="Q7" s="164"/>
      <c r="R7" s="165"/>
      <c r="S7" s="163"/>
      <c r="T7" s="161"/>
      <c r="U7" s="163"/>
      <c r="V7" s="161"/>
      <c r="W7" s="163"/>
      <c r="X7" s="161"/>
      <c r="Y7" s="164"/>
      <c r="Z7" s="165"/>
      <c r="AA7" s="166"/>
      <c r="AB7" s="167"/>
      <c r="AC7" s="167"/>
      <c r="AD7" s="167"/>
      <c r="AE7" s="167"/>
      <c r="AF7" s="167"/>
      <c r="AG7" s="167"/>
      <c r="AH7" s="167"/>
      <c r="AI7" s="167"/>
      <c r="AJ7" s="167"/>
      <c r="AK7" s="168"/>
    </row>
    <row r="8" spans="2:39" s="160" customFormat="1" x14ac:dyDescent="0.25">
      <c r="B8" s="165"/>
      <c r="C8" s="165"/>
      <c r="D8" s="169"/>
      <c r="E8" s="164"/>
      <c r="F8" s="165"/>
      <c r="G8" s="164"/>
      <c r="H8" s="165"/>
      <c r="I8" s="164"/>
      <c r="J8" s="165"/>
      <c r="K8" s="164"/>
      <c r="L8" s="165"/>
      <c r="M8" s="164"/>
      <c r="N8" s="165"/>
      <c r="O8" s="164"/>
      <c r="P8" s="165"/>
      <c r="Q8" s="164"/>
      <c r="R8" s="165"/>
      <c r="S8" s="163"/>
      <c r="T8" s="161"/>
      <c r="U8" s="163"/>
      <c r="V8" s="161"/>
      <c r="W8" s="163"/>
      <c r="X8" s="161"/>
      <c r="Y8" s="164"/>
      <c r="Z8" s="165"/>
      <c r="AA8" s="166"/>
      <c r="AB8" s="167"/>
      <c r="AC8" s="167"/>
      <c r="AD8" s="167"/>
      <c r="AE8" s="167"/>
      <c r="AF8" s="167"/>
      <c r="AG8" s="167"/>
      <c r="AH8" s="167"/>
      <c r="AI8" s="167"/>
      <c r="AJ8" s="167"/>
      <c r="AK8" s="168"/>
    </row>
    <row r="9" spans="2:39" s="160" customFormat="1" x14ac:dyDescent="0.25">
      <c r="B9" s="165"/>
      <c r="C9" s="165"/>
      <c r="D9" s="169"/>
      <c r="E9" s="164"/>
      <c r="F9" s="165"/>
      <c r="G9" s="164"/>
      <c r="H9" s="165"/>
      <c r="I9" s="164"/>
      <c r="J9" s="165"/>
      <c r="K9" s="164"/>
      <c r="L9" s="165"/>
      <c r="M9" s="164"/>
      <c r="N9" s="165"/>
      <c r="O9" s="164"/>
      <c r="P9" s="165"/>
      <c r="Q9" s="164"/>
      <c r="R9" s="165"/>
      <c r="S9" s="163"/>
      <c r="T9" s="161"/>
      <c r="U9" s="163"/>
      <c r="V9" s="161"/>
      <c r="W9" s="163"/>
      <c r="X9" s="161"/>
      <c r="Y9" s="164"/>
      <c r="Z9" s="165"/>
      <c r="AA9" s="166"/>
      <c r="AB9" s="167"/>
      <c r="AC9" s="167"/>
      <c r="AD9" s="167"/>
      <c r="AE9" s="167"/>
      <c r="AF9" s="167"/>
      <c r="AG9" s="167"/>
      <c r="AH9" s="167"/>
      <c r="AI9" s="167"/>
      <c r="AJ9" s="167"/>
      <c r="AK9" s="168"/>
    </row>
    <row r="10" spans="2:39" s="160" customFormat="1" x14ac:dyDescent="0.25">
      <c r="B10" s="170"/>
      <c r="C10" s="165"/>
      <c r="D10" s="169"/>
      <c r="E10" s="164"/>
      <c r="F10" s="165"/>
      <c r="G10" s="164"/>
      <c r="H10" s="165"/>
      <c r="I10" s="164"/>
      <c r="J10" s="165"/>
      <c r="K10" s="164"/>
      <c r="L10" s="165"/>
      <c r="M10" s="164"/>
      <c r="N10" s="165"/>
      <c r="O10" s="164"/>
      <c r="P10" s="165"/>
      <c r="Q10" s="164"/>
      <c r="R10" s="165"/>
      <c r="S10" s="163"/>
      <c r="T10" s="161"/>
      <c r="U10" s="163"/>
      <c r="V10" s="161"/>
      <c r="W10" s="163"/>
      <c r="X10" s="161"/>
      <c r="Y10" s="164"/>
      <c r="Z10" s="165"/>
      <c r="AA10" s="166"/>
      <c r="AB10" s="167"/>
      <c r="AC10" s="167"/>
      <c r="AD10" s="167"/>
      <c r="AE10" s="167"/>
      <c r="AF10" s="167"/>
      <c r="AG10" s="167"/>
      <c r="AH10" s="167"/>
      <c r="AI10" s="167"/>
      <c r="AJ10" s="167"/>
      <c r="AK10" s="168"/>
    </row>
    <row r="11" spans="2:39" s="160" customFormat="1" x14ac:dyDescent="0.25">
      <c r="B11" s="170"/>
      <c r="C11" s="165"/>
      <c r="D11" s="169"/>
      <c r="E11" s="164"/>
      <c r="F11" s="165"/>
      <c r="G11" s="164"/>
      <c r="H11" s="165"/>
      <c r="I11" s="164"/>
      <c r="J11" s="165"/>
      <c r="K11" s="164"/>
      <c r="L11" s="165"/>
      <c r="M11" s="164"/>
      <c r="N11" s="165"/>
      <c r="O11" s="164"/>
      <c r="P11" s="165"/>
      <c r="Q11" s="164"/>
      <c r="R11" s="165"/>
      <c r="S11" s="163"/>
      <c r="T11" s="161"/>
      <c r="U11" s="163"/>
      <c r="V11" s="161"/>
      <c r="W11" s="163"/>
      <c r="X11" s="161"/>
      <c r="Y11" s="164"/>
      <c r="Z11" s="165"/>
      <c r="AA11" s="166"/>
      <c r="AB11" s="167"/>
      <c r="AC11" s="167"/>
      <c r="AD11" s="167"/>
      <c r="AE11" s="167"/>
      <c r="AF11" s="167"/>
      <c r="AG11" s="167"/>
      <c r="AH11" s="167"/>
      <c r="AI11" s="167"/>
      <c r="AJ11" s="167"/>
      <c r="AK11" s="168"/>
    </row>
    <row r="12" spans="2:39" s="160" customFormat="1" x14ac:dyDescent="0.25">
      <c r="B12" s="170"/>
      <c r="C12" s="165"/>
      <c r="D12" s="169"/>
      <c r="E12" s="164"/>
      <c r="F12" s="165"/>
      <c r="G12" s="164"/>
      <c r="H12" s="165"/>
      <c r="I12" s="164"/>
      <c r="J12" s="165"/>
      <c r="K12" s="164"/>
      <c r="L12" s="165"/>
      <c r="M12" s="164"/>
      <c r="N12" s="165"/>
      <c r="O12" s="164"/>
      <c r="P12" s="165"/>
      <c r="Q12" s="164"/>
      <c r="R12" s="165"/>
      <c r="S12" s="163"/>
      <c r="T12" s="161"/>
      <c r="U12" s="163"/>
      <c r="V12" s="161"/>
      <c r="W12" s="163"/>
      <c r="X12" s="161"/>
      <c r="Y12" s="164"/>
      <c r="Z12" s="165"/>
      <c r="AA12" s="166"/>
      <c r="AB12" s="167"/>
      <c r="AC12" s="167"/>
      <c r="AD12" s="167"/>
      <c r="AE12" s="167"/>
      <c r="AF12" s="167"/>
      <c r="AG12" s="167"/>
      <c r="AH12" s="167"/>
      <c r="AI12" s="167"/>
      <c r="AJ12" s="167"/>
      <c r="AK12" s="168"/>
    </row>
    <row r="13" spans="2:39" s="160" customFormat="1" x14ac:dyDescent="0.25">
      <c r="B13" s="170"/>
      <c r="C13" s="165"/>
      <c r="D13" s="169"/>
      <c r="E13" s="164"/>
      <c r="F13" s="165"/>
      <c r="G13" s="164"/>
      <c r="H13" s="165"/>
      <c r="I13" s="164"/>
      <c r="J13" s="165"/>
      <c r="K13" s="164"/>
      <c r="L13" s="165"/>
      <c r="M13" s="164"/>
      <c r="N13" s="165"/>
      <c r="O13" s="164"/>
      <c r="P13" s="165"/>
      <c r="Q13" s="164"/>
      <c r="R13" s="165"/>
      <c r="S13" s="163"/>
      <c r="T13" s="161"/>
      <c r="U13" s="163"/>
      <c r="V13" s="161"/>
      <c r="W13" s="163"/>
      <c r="X13" s="161"/>
      <c r="Y13" s="164"/>
      <c r="Z13" s="165"/>
      <c r="AA13" s="166"/>
      <c r="AB13" s="167"/>
      <c r="AC13" s="167"/>
      <c r="AD13" s="167"/>
      <c r="AE13" s="167"/>
      <c r="AF13" s="167"/>
      <c r="AG13" s="167"/>
      <c r="AH13" s="167"/>
      <c r="AI13" s="167"/>
      <c r="AJ13" s="167"/>
      <c r="AK13" s="168"/>
    </row>
    <row r="14" spans="2:39" s="160" customFormat="1" x14ac:dyDescent="0.25">
      <c r="B14" s="170"/>
      <c r="C14" s="165"/>
      <c r="D14" s="169"/>
      <c r="E14" s="164"/>
      <c r="F14" s="165"/>
      <c r="G14" s="164"/>
      <c r="H14" s="165"/>
      <c r="I14" s="164"/>
      <c r="J14" s="165"/>
      <c r="K14" s="164"/>
      <c r="L14" s="165"/>
      <c r="M14" s="164"/>
      <c r="N14" s="165"/>
      <c r="O14" s="164"/>
      <c r="P14" s="165"/>
      <c r="Q14" s="164"/>
      <c r="R14" s="165"/>
      <c r="S14" s="163"/>
      <c r="T14" s="161"/>
      <c r="U14" s="163"/>
      <c r="V14" s="161"/>
      <c r="W14" s="163"/>
      <c r="X14" s="161"/>
      <c r="Y14" s="164"/>
      <c r="Z14" s="165"/>
      <c r="AA14" s="166"/>
      <c r="AB14" s="167"/>
      <c r="AC14" s="167"/>
      <c r="AD14" s="167"/>
      <c r="AE14" s="167"/>
      <c r="AF14" s="167"/>
      <c r="AG14" s="167"/>
      <c r="AH14" s="167"/>
      <c r="AI14" s="167"/>
      <c r="AJ14" s="167"/>
      <c r="AK14" s="168"/>
    </row>
    <row r="15" spans="2:39" s="160" customFormat="1" x14ac:dyDescent="0.25">
      <c r="B15" s="170"/>
      <c r="C15" s="165"/>
      <c r="D15" s="169"/>
      <c r="E15" s="164"/>
      <c r="F15" s="165"/>
      <c r="G15" s="164"/>
      <c r="H15" s="165"/>
      <c r="I15" s="164"/>
      <c r="J15" s="165"/>
      <c r="K15" s="164"/>
      <c r="L15" s="165"/>
      <c r="M15" s="164"/>
      <c r="N15" s="165"/>
      <c r="O15" s="164"/>
      <c r="P15" s="165"/>
      <c r="Q15" s="164"/>
      <c r="R15" s="165"/>
      <c r="S15" s="163"/>
      <c r="T15" s="161"/>
      <c r="U15" s="163"/>
      <c r="V15" s="161"/>
      <c r="W15" s="163"/>
      <c r="X15" s="161"/>
      <c r="Y15" s="164"/>
      <c r="Z15" s="165"/>
      <c r="AA15" s="166"/>
      <c r="AB15" s="167"/>
      <c r="AC15" s="167"/>
      <c r="AD15" s="167"/>
      <c r="AE15" s="167"/>
      <c r="AF15" s="167"/>
      <c r="AG15" s="167"/>
      <c r="AH15" s="167"/>
      <c r="AI15" s="167"/>
      <c r="AJ15" s="167"/>
      <c r="AK15" s="168"/>
    </row>
    <row r="16" spans="2:39" s="160" customFormat="1" x14ac:dyDescent="0.25">
      <c r="B16" s="170"/>
      <c r="C16" s="165"/>
      <c r="D16" s="169"/>
      <c r="E16" s="164"/>
      <c r="F16" s="165"/>
      <c r="G16" s="164"/>
      <c r="H16" s="165"/>
      <c r="I16" s="164"/>
      <c r="J16" s="165"/>
      <c r="K16" s="164"/>
      <c r="L16" s="165"/>
      <c r="M16" s="164"/>
      <c r="N16" s="165"/>
      <c r="O16" s="164"/>
      <c r="P16" s="165"/>
      <c r="Q16" s="164"/>
      <c r="R16" s="165"/>
      <c r="S16" s="163"/>
      <c r="T16" s="161"/>
      <c r="U16" s="163"/>
      <c r="V16" s="161"/>
      <c r="W16" s="163"/>
      <c r="X16" s="161"/>
      <c r="Y16" s="164"/>
      <c r="Z16" s="165"/>
      <c r="AA16" s="166"/>
      <c r="AB16" s="167"/>
      <c r="AC16" s="167"/>
      <c r="AD16" s="167"/>
      <c r="AE16" s="167"/>
      <c r="AF16" s="167"/>
      <c r="AG16" s="167"/>
      <c r="AH16" s="167"/>
      <c r="AI16" s="167"/>
      <c r="AJ16" s="167"/>
      <c r="AK16" s="168"/>
    </row>
    <row r="17" spans="2:37" s="160" customFormat="1" x14ac:dyDescent="0.25">
      <c r="B17" s="170"/>
      <c r="C17" s="165"/>
      <c r="D17" s="169"/>
      <c r="E17" s="164"/>
      <c r="F17" s="165"/>
      <c r="G17" s="164"/>
      <c r="H17" s="165"/>
      <c r="I17" s="164"/>
      <c r="J17" s="165"/>
      <c r="K17" s="164"/>
      <c r="L17" s="165"/>
      <c r="M17" s="164"/>
      <c r="N17" s="165"/>
      <c r="O17" s="164"/>
      <c r="P17" s="165"/>
      <c r="Q17" s="164"/>
      <c r="R17" s="165"/>
      <c r="S17" s="163"/>
      <c r="T17" s="161"/>
      <c r="U17" s="163"/>
      <c r="V17" s="161"/>
      <c r="W17" s="163"/>
      <c r="X17" s="161"/>
      <c r="Y17" s="164"/>
      <c r="Z17" s="165"/>
      <c r="AA17" s="166"/>
      <c r="AB17" s="167"/>
      <c r="AC17" s="167"/>
      <c r="AD17" s="167"/>
      <c r="AE17" s="167"/>
      <c r="AF17" s="167"/>
      <c r="AG17" s="167"/>
      <c r="AH17" s="167"/>
      <c r="AI17" s="167"/>
      <c r="AJ17" s="167"/>
      <c r="AK17" s="168"/>
    </row>
    <row r="18" spans="2:37" s="160" customFormat="1" x14ac:dyDescent="0.25">
      <c r="B18" s="170"/>
      <c r="C18" s="165"/>
      <c r="D18" s="169"/>
      <c r="E18" s="164"/>
      <c r="F18" s="165"/>
      <c r="G18" s="164"/>
      <c r="H18" s="165"/>
      <c r="I18" s="164"/>
      <c r="J18" s="165"/>
      <c r="K18" s="164"/>
      <c r="L18" s="165"/>
      <c r="M18" s="164"/>
      <c r="N18" s="165"/>
      <c r="O18" s="164"/>
      <c r="P18" s="165"/>
      <c r="Q18" s="164"/>
      <c r="R18" s="165"/>
      <c r="S18" s="163"/>
      <c r="T18" s="161"/>
      <c r="U18" s="163"/>
      <c r="V18" s="161"/>
      <c r="W18" s="163"/>
      <c r="X18" s="161"/>
      <c r="Y18" s="164"/>
      <c r="Z18" s="165"/>
      <c r="AA18" s="166"/>
      <c r="AB18" s="167"/>
      <c r="AC18" s="167"/>
      <c r="AD18" s="167"/>
      <c r="AE18" s="167"/>
      <c r="AF18" s="167"/>
      <c r="AG18" s="167"/>
      <c r="AH18" s="167"/>
      <c r="AI18" s="167"/>
      <c r="AJ18" s="167"/>
      <c r="AK18" s="168"/>
    </row>
    <row r="19" spans="2:37" s="160" customFormat="1" x14ac:dyDescent="0.25">
      <c r="B19" s="170"/>
      <c r="C19" s="165"/>
      <c r="D19" s="169"/>
      <c r="E19" s="164"/>
      <c r="F19" s="165"/>
      <c r="G19" s="164"/>
      <c r="H19" s="165"/>
      <c r="I19" s="164"/>
      <c r="J19" s="165"/>
      <c r="K19" s="164"/>
      <c r="L19" s="165"/>
      <c r="M19" s="164"/>
      <c r="N19" s="165"/>
      <c r="O19" s="164"/>
      <c r="P19" s="165"/>
      <c r="Q19" s="164"/>
      <c r="R19" s="165"/>
      <c r="S19" s="163"/>
      <c r="T19" s="161"/>
      <c r="U19" s="163"/>
      <c r="V19" s="161"/>
      <c r="W19" s="163"/>
      <c r="X19" s="161"/>
      <c r="Y19" s="164"/>
      <c r="Z19" s="165"/>
      <c r="AA19" s="166"/>
      <c r="AB19" s="167"/>
      <c r="AC19" s="167"/>
      <c r="AD19" s="167"/>
      <c r="AE19" s="167"/>
      <c r="AF19" s="167"/>
      <c r="AG19" s="167"/>
      <c r="AH19" s="167"/>
      <c r="AI19" s="167"/>
      <c r="AJ19" s="167"/>
      <c r="AK19" s="168"/>
    </row>
    <row r="20" spans="2:37" s="160" customFormat="1" x14ac:dyDescent="0.25">
      <c r="B20" s="171" t="s">
        <v>32</v>
      </c>
      <c r="C20" s="161"/>
      <c r="D20" s="162"/>
      <c r="E20" s="163"/>
      <c r="F20" s="161"/>
      <c r="G20" s="163"/>
      <c r="H20" s="161"/>
      <c r="I20" s="163"/>
      <c r="J20" s="161"/>
      <c r="K20" s="163"/>
      <c r="L20" s="161"/>
      <c r="M20" s="163"/>
      <c r="N20" s="161"/>
      <c r="O20" s="163"/>
      <c r="P20" s="161"/>
      <c r="Q20" s="163"/>
      <c r="R20" s="161"/>
      <c r="S20" s="163"/>
      <c r="T20" s="161"/>
      <c r="U20" s="163"/>
      <c r="V20" s="161"/>
      <c r="W20" s="163"/>
      <c r="X20" s="161"/>
      <c r="Y20" s="163"/>
      <c r="Z20" s="161"/>
      <c r="AA20" s="166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</row>
    <row r="21" spans="2:37" s="160" customFormat="1" x14ac:dyDescent="0.25">
      <c r="B21" s="151"/>
      <c r="C21" s="151"/>
      <c r="D21" s="152"/>
      <c r="E21" s="172"/>
      <c r="F21" s="151"/>
      <c r="G21" s="172"/>
      <c r="H21" s="151"/>
      <c r="I21" s="172"/>
      <c r="J21" s="151"/>
      <c r="K21" s="172"/>
      <c r="L21" s="151"/>
      <c r="M21" s="172"/>
      <c r="N21" s="151"/>
      <c r="O21" s="172"/>
      <c r="P21" s="151"/>
      <c r="Q21" s="172"/>
      <c r="R21" s="151"/>
      <c r="S21" s="172"/>
      <c r="T21" s="151"/>
      <c r="U21" s="172"/>
      <c r="V21" s="151"/>
      <c r="W21" s="172"/>
      <c r="X21" s="151"/>
      <c r="Y21" s="172"/>
      <c r="Z21" s="151"/>
      <c r="AA21" s="151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</row>
    <row r="22" spans="2:37" s="180" customFormat="1" ht="17.25" customHeight="1" x14ac:dyDescent="0.25">
      <c r="B22" s="174" t="s">
        <v>93</v>
      </c>
      <c r="C22" s="175"/>
      <c r="D22" s="176"/>
      <c r="E22" s="177"/>
      <c r="F22" s="178"/>
      <c r="G22" s="177"/>
      <c r="H22" s="178"/>
      <c r="I22" s="177"/>
      <c r="J22" s="178"/>
      <c r="K22" s="177"/>
      <c r="L22" s="178"/>
      <c r="M22" s="177"/>
      <c r="N22" s="179"/>
      <c r="O22" s="177"/>
      <c r="P22" s="160"/>
      <c r="Q22" s="177"/>
      <c r="R22" s="160"/>
      <c r="S22" s="177"/>
      <c r="T22" s="160"/>
      <c r="U22" s="177"/>
      <c r="V22" s="160"/>
      <c r="W22" s="177"/>
      <c r="Y22" s="177"/>
      <c r="AB22" s="181">
        <f>SUM(AB$4:AB21)</f>
        <v>2387332</v>
      </c>
      <c r="AC22" s="181">
        <f>SUM(AC$4:AC21)</f>
        <v>2245566</v>
      </c>
      <c r="AD22" s="181">
        <f>SUM(AD$4:AD21)</f>
        <v>2115553</v>
      </c>
      <c r="AE22" s="181">
        <f>SUM(AE$4:AE21)</f>
        <v>2081586</v>
      </c>
      <c r="AF22" s="181">
        <f>SUM(AF$4:AF21)</f>
        <v>2062928</v>
      </c>
      <c r="AG22" s="181">
        <f>SUM(AG$4:AG21)</f>
        <v>2019458</v>
      </c>
      <c r="AH22" s="181">
        <f>SUM(AH$4:AH21)</f>
        <v>1886114</v>
      </c>
      <c r="AI22" s="181">
        <f>SUM(AI$4:AI21)</f>
        <v>1617601</v>
      </c>
      <c r="AJ22" s="181">
        <f>SUM(AJ$4:AJ21)</f>
        <v>1523810</v>
      </c>
      <c r="AK22" s="181">
        <f>SUM(AK$4:AK21)</f>
        <v>1580477</v>
      </c>
    </row>
    <row r="23" spans="2:37" s="160" customFormat="1" ht="17.25" customHeight="1" x14ac:dyDescent="0.25">
      <c r="B23" s="182"/>
      <c r="C23" s="183"/>
      <c r="D23" s="184"/>
      <c r="E23" s="177"/>
      <c r="F23" s="178"/>
      <c r="G23" s="177"/>
      <c r="H23" s="178"/>
      <c r="I23" s="177"/>
      <c r="J23" s="178"/>
      <c r="K23" s="177"/>
      <c r="L23" s="178"/>
      <c r="M23" s="177"/>
      <c r="N23" s="179"/>
      <c r="O23" s="177"/>
      <c r="Q23" s="177"/>
      <c r="S23" s="177"/>
      <c r="U23" s="177"/>
      <c r="W23" s="177"/>
      <c r="Y23" s="177"/>
      <c r="AB23" s="185"/>
      <c r="AC23" s="185"/>
      <c r="AD23" s="185"/>
      <c r="AE23" s="185"/>
      <c r="AF23" s="185"/>
      <c r="AG23" s="185"/>
      <c r="AH23" s="185"/>
      <c r="AI23" s="185"/>
      <c r="AJ23" s="185"/>
      <c r="AK23" s="185"/>
    </row>
    <row r="24" spans="2:37" s="191" customFormat="1" x14ac:dyDescent="0.25">
      <c r="B24" s="186" t="s">
        <v>94</v>
      </c>
      <c r="C24" s="175"/>
      <c r="D24" s="176"/>
      <c r="E24" s="187"/>
      <c r="F24" s="188"/>
      <c r="G24" s="187"/>
      <c r="H24" s="188"/>
      <c r="I24" s="187"/>
      <c r="J24" s="188"/>
      <c r="K24" s="187"/>
      <c r="L24" s="188"/>
      <c r="M24" s="187"/>
      <c r="N24" s="189"/>
      <c r="O24" s="187"/>
      <c r="P24" s="190"/>
      <c r="Q24" s="187"/>
      <c r="R24" s="190"/>
      <c r="S24" s="187"/>
      <c r="T24" s="190"/>
      <c r="U24" s="187"/>
      <c r="V24" s="190"/>
      <c r="W24" s="187"/>
      <c r="Y24" s="187"/>
      <c r="AB24" s="167">
        <v>2265183</v>
      </c>
      <c r="AC24" s="167">
        <v>2123701</v>
      </c>
      <c r="AD24" s="167">
        <v>2002119</v>
      </c>
      <c r="AE24" s="167">
        <v>1968961</v>
      </c>
      <c r="AF24" s="167">
        <v>1951096</v>
      </c>
      <c r="AG24" s="167">
        <v>1918944</v>
      </c>
      <c r="AH24" s="167">
        <v>1800094</v>
      </c>
      <c r="AI24" s="167">
        <f>AI22-AI25</f>
        <v>1545132.4752</v>
      </c>
      <c r="AJ24" s="167">
        <f>AJ22-AJ25</f>
        <v>1464686.172</v>
      </c>
      <c r="AK24" s="168">
        <f>AK22-AK25</f>
        <v>1521398.7697399999</v>
      </c>
    </row>
    <row r="25" spans="2:37" s="191" customFormat="1" ht="17.25" customHeight="1" x14ac:dyDescent="0.25">
      <c r="B25" s="186" t="s">
        <v>95</v>
      </c>
      <c r="C25" s="175"/>
      <c r="D25" s="176"/>
      <c r="E25" s="187"/>
      <c r="F25" s="188"/>
      <c r="G25" s="187"/>
      <c r="H25" s="188"/>
      <c r="I25" s="187"/>
      <c r="J25" s="188"/>
      <c r="K25" s="187"/>
      <c r="L25" s="188"/>
      <c r="M25" s="187"/>
      <c r="N25" s="189"/>
      <c r="O25" s="187"/>
      <c r="P25" s="190"/>
      <c r="Q25" s="187"/>
      <c r="R25" s="190"/>
      <c r="S25" s="187"/>
      <c r="T25" s="190"/>
      <c r="U25" s="187"/>
      <c r="V25" s="190"/>
      <c r="W25" s="187"/>
      <c r="Y25" s="187"/>
      <c r="AB25" s="167">
        <v>122149</v>
      </c>
      <c r="AC25" s="167">
        <v>121865</v>
      </c>
      <c r="AD25" s="167">
        <v>113434</v>
      </c>
      <c r="AE25" s="167">
        <v>112625</v>
      </c>
      <c r="AF25" s="167">
        <v>111832</v>
      </c>
      <c r="AG25" s="167">
        <v>100514</v>
      </c>
      <c r="AH25" s="167">
        <v>86020</v>
      </c>
      <c r="AI25" s="167">
        <f>AI22*0.0448</f>
        <v>72468.524799999999</v>
      </c>
      <c r="AJ25" s="167">
        <f>AJ22*0.0388</f>
        <v>59123.828000000001</v>
      </c>
      <c r="AK25" s="168">
        <f>+AK22*0.03738</f>
        <v>59078.230259999997</v>
      </c>
    </row>
    <row r="26" spans="2:37" s="191" customFormat="1" ht="17.25" customHeight="1" x14ac:dyDescent="0.25">
      <c r="B26" s="186" t="s">
        <v>96</v>
      </c>
      <c r="C26" s="175"/>
      <c r="D26" s="176"/>
      <c r="E26" s="187"/>
      <c r="F26" s="188"/>
      <c r="G26" s="187"/>
      <c r="H26" s="188"/>
      <c r="I26" s="187"/>
      <c r="J26" s="188"/>
      <c r="K26" s="187"/>
      <c r="L26" s="188"/>
      <c r="M26" s="187"/>
      <c r="N26" s="189"/>
      <c r="O26" s="187"/>
      <c r="P26" s="190"/>
      <c r="Q26" s="187"/>
      <c r="R26" s="190"/>
      <c r="S26" s="187"/>
      <c r="T26" s="190"/>
      <c r="U26" s="187"/>
      <c r="V26" s="190"/>
      <c r="W26" s="187"/>
      <c r="Y26" s="187"/>
      <c r="AB26" s="181">
        <f>SUM(AB24:AB25)</f>
        <v>2387332</v>
      </c>
      <c r="AC26" s="181">
        <f t="shared" ref="AC26:AK26" si="0">SUM(AC24:AC25)</f>
        <v>2245566</v>
      </c>
      <c r="AD26" s="181">
        <f t="shared" si="0"/>
        <v>2115553</v>
      </c>
      <c r="AE26" s="181">
        <f t="shared" si="0"/>
        <v>2081586</v>
      </c>
      <c r="AF26" s="181">
        <f t="shared" si="0"/>
        <v>2062928</v>
      </c>
      <c r="AG26" s="181">
        <f t="shared" si="0"/>
        <v>2019458</v>
      </c>
      <c r="AH26" s="181">
        <f t="shared" si="0"/>
        <v>1886114</v>
      </c>
      <c r="AI26" s="181">
        <f t="shared" si="0"/>
        <v>1617601</v>
      </c>
      <c r="AJ26" s="181">
        <f t="shared" si="0"/>
        <v>1523810</v>
      </c>
      <c r="AK26" s="181">
        <f t="shared" si="0"/>
        <v>1580477</v>
      </c>
    </row>
    <row r="27" spans="2:37" s="180" customFormat="1" ht="17.25" customHeight="1" x14ac:dyDescent="0.25">
      <c r="B27" s="192"/>
      <c r="C27" s="175"/>
      <c r="D27" s="176"/>
      <c r="E27" s="177"/>
      <c r="F27" s="178"/>
      <c r="G27" s="177"/>
      <c r="H27" s="178"/>
      <c r="I27" s="177"/>
      <c r="J27" s="178"/>
      <c r="K27" s="177"/>
      <c r="L27" s="178"/>
      <c r="M27" s="177"/>
      <c r="N27" s="179"/>
      <c r="O27" s="177"/>
      <c r="P27" s="160"/>
      <c r="Q27" s="177"/>
      <c r="R27" s="160"/>
      <c r="S27" s="177"/>
      <c r="T27" s="160"/>
      <c r="U27" s="177"/>
      <c r="V27" s="160"/>
      <c r="W27" s="177"/>
      <c r="Y27" s="177"/>
      <c r="AB27" s="193"/>
      <c r="AC27" s="193"/>
      <c r="AD27" s="173"/>
      <c r="AE27" s="173"/>
      <c r="AF27" s="173"/>
      <c r="AG27" s="193"/>
      <c r="AH27" s="193"/>
      <c r="AI27" s="193"/>
      <c r="AJ27" s="193"/>
      <c r="AK27" s="193"/>
    </row>
    <row r="28" spans="2:37" ht="13.5" customHeight="1" thickBot="1" x14ac:dyDescent="0.3">
      <c r="B28" s="194" t="s">
        <v>97</v>
      </c>
      <c r="C28" s="194"/>
      <c r="D28" s="195" t="s">
        <v>97</v>
      </c>
      <c r="E28" s="196" t="s">
        <v>97</v>
      </c>
      <c r="F28" s="197" t="s">
        <v>97</v>
      </c>
      <c r="G28" s="196" t="s">
        <v>97</v>
      </c>
      <c r="H28" s="197" t="s">
        <v>97</v>
      </c>
      <c r="I28" s="196" t="s">
        <v>97</v>
      </c>
      <c r="J28" s="197" t="s">
        <v>97</v>
      </c>
      <c r="K28" s="196" t="s">
        <v>97</v>
      </c>
      <c r="L28" s="197" t="s">
        <v>97</v>
      </c>
      <c r="M28" s="196"/>
      <c r="N28" s="197"/>
      <c r="O28" s="196"/>
      <c r="P28" s="197"/>
      <c r="Q28" s="196"/>
      <c r="R28" s="197"/>
      <c r="S28" s="196"/>
      <c r="T28" s="197"/>
      <c r="U28" s="196"/>
      <c r="V28" s="197"/>
      <c r="W28" s="196"/>
      <c r="X28" s="197"/>
      <c r="Y28" s="196"/>
      <c r="Z28" s="197"/>
      <c r="AA28" s="197"/>
      <c r="AB28" s="198" t="s">
        <v>97</v>
      </c>
      <c r="AC28" s="198" t="s">
        <v>97</v>
      </c>
      <c r="AD28" s="198" t="s">
        <v>97</v>
      </c>
      <c r="AE28" s="198" t="s">
        <v>97</v>
      </c>
      <c r="AF28" s="198" t="s">
        <v>97</v>
      </c>
      <c r="AG28" s="198" t="s">
        <v>97</v>
      </c>
      <c r="AH28" s="198" t="s">
        <v>97</v>
      </c>
      <c r="AI28" s="198" t="s">
        <v>97</v>
      </c>
      <c r="AJ28" s="198" t="s">
        <v>97</v>
      </c>
      <c r="AK28" s="198" t="s">
        <v>97</v>
      </c>
    </row>
    <row r="29" spans="2:37" s="160" customFormat="1" ht="21.75" customHeight="1" x14ac:dyDescent="0.25">
      <c r="B29" s="150" t="s">
        <v>98</v>
      </c>
      <c r="C29" s="199"/>
      <c r="D29" s="200"/>
      <c r="E29" s="201"/>
      <c r="F29" s="199"/>
      <c r="G29" s="201"/>
      <c r="H29" s="199"/>
      <c r="I29" s="201"/>
      <c r="J29" s="199"/>
      <c r="K29" s="201"/>
      <c r="L29" s="199"/>
      <c r="M29" s="201"/>
      <c r="N29" s="199"/>
      <c r="O29" s="201"/>
      <c r="P29" s="199"/>
      <c r="Q29" s="201"/>
      <c r="R29" s="199"/>
      <c r="S29" s="201"/>
      <c r="T29" s="199"/>
      <c r="U29" s="201"/>
      <c r="V29" s="199"/>
      <c r="W29" s="201"/>
      <c r="X29" s="199"/>
      <c r="Y29" s="201"/>
      <c r="Z29" s="199"/>
      <c r="AA29" s="202"/>
      <c r="AB29" s="203"/>
      <c r="AC29" s="203"/>
      <c r="AD29" s="204"/>
      <c r="AE29" s="204"/>
      <c r="AF29" s="205"/>
      <c r="AG29" s="205"/>
      <c r="AH29" s="205"/>
      <c r="AI29" s="205"/>
      <c r="AJ29" s="205"/>
      <c r="AK29" s="205"/>
    </row>
    <row r="30" spans="2:37" s="160" customFormat="1" x14ac:dyDescent="0.25">
      <c r="B30" s="161" t="s">
        <v>99</v>
      </c>
      <c r="C30" s="161"/>
      <c r="D30" s="162"/>
      <c r="E30" s="206"/>
      <c r="F30" s="161"/>
      <c r="G30" s="206"/>
      <c r="H30" s="161"/>
      <c r="I30" s="206"/>
      <c r="J30" s="161"/>
      <c r="K30" s="206"/>
      <c r="L30" s="161"/>
      <c r="M30" s="206"/>
      <c r="N30" s="161"/>
      <c r="O30" s="206"/>
      <c r="P30" s="161"/>
      <c r="Q30" s="206"/>
      <c r="R30" s="161"/>
      <c r="S30" s="206"/>
      <c r="T30" s="161"/>
      <c r="U30" s="206"/>
      <c r="V30" s="161"/>
      <c r="W30" s="206"/>
      <c r="X30" s="161"/>
      <c r="Y30" s="206"/>
      <c r="Z30" s="161"/>
      <c r="AA30" s="166"/>
      <c r="AB30" s="167">
        <v>30017</v>
      </c>
      <c r="AC30" s="167">
        <v>24021</v>
      </c>
      <c r="AD30" s="167">
        <v>16546</v>
      </c>
      <c r="AE30" s="167">
        <v>13849</v>
      </c>
      <c r="AF30" s="167">
        <v>11776</v>
      </c>
      <c r="AG30" s="167">
        <v>12448</v>
      </c>
      <c r="AH30" s="167">
        <v>11931</v>
      </c>
      <c r="AI30" s="167">
        <v>8771</v>
      </c>
      <c r="AJ30" s="167">
        <v>8670</v>
      </c>
      <c r="AK30" s="168">
        <v>8625</v>
      </c>
    </row>
    <row r="31" spans="2:37" s="160" customFormat="1" x14ac:dyDescent="0.25">
      <c r="B31" s="165"/>
      <c r="C31" s="165"/>
      <c r="D31" s="169"/>
      <c r="E31" s="207"/>
      <c r="F31" s="165"/>
      <c r="G31" s="207"/>
      <c r="H31" s="165"/>
      <c r="I31" s="207"/>
      <c r="J31" s="165"/>
      <c r="K31" s="207"/>
      <c r="L31" s="165"/>
      <c r="M31" s="207"/>
      <c r="N31" s="165"/>
      <c r="O31" s="207"/>
      <c r="P31" s="165"/>
      <c r="Q31" s="207"/>
      <c r="R31" s="165"/>
      <c r="S31" s="206"/>
      <c r="T31" s="161"/>
      <c r="U31" s="206"/>
      <c r="V31" s="161"/>
      <c r="W31" s="206"/>
      <c r="X31" s="161"/>
      <c r="Y31" s="206"/>
      <c r="Z31" s="161"/>
      <c r="AA31" s="166"/>
      <c r="AB31" s="167"/>
      <c r="AC31" s="167"/>
      <c r="AD31" s="167"/>
      <c r="AE31" s="167"/>
      <c r="AF31" s="167"/>
      <c r="AG31" s="167"/>
      <c r="AH31" s="167"/>
      <c r="AI31" s="167"/>
      <c r="AJ31" s="167"/>
      <c r="AK31" s="168"/>
    </row>
    <row r="32" spans="2:37" s="160" customFormat="1" x14ac:dyDescent="0.25">
      <c r="B32" s="165"/>
      <c r="C32" s="165"/>
      <c r="D32" s="169"/>
      <c r="E32" s="207"/>
      <c r="F32" s="165"/>
      <c r="G32" s="207"/>
      <c r="H32" s="165"/>
      <c r="I32" s="207"/>
      <c r="J32" s="165"/>
      <c r="K32" s="207"/>
      <c r="L32" s="165"/>
      <c r="M32" s="207"/>
      <c r="N32" s="165"/>
      <c r="O32" s="207"/>
      <c r="P32" s="165"/>
      <c r="Q32" s="207"/>
      <c r="R32" s="165"/>
      <c r="S32" s="206"/>
      <c r="T32" s="161"/>
      <c r="U32" s="206"/>
      <c r="V32" s="161"/>
      <c r="W32" s="206"/>
      <c r="X32" s="161"/>
      <c r="Y32" s="206"/>
      <c r="Z32" s="161"/>
      <c r="AA32" s="166"/>
      <c r="AB32" s="167"/>
      <c r="AC32" s="167"/>
      <c r="AD32" s="167"/>
      <c r="AE32" s="167"/>
      <c r="AF32" s="167"/>
      <c r="AG32" s="167"/>
      <c r="AH32" s="167"/>
      <c r="AI32" s="167"/>
      <c r="AJ32" s="167"/>
      <c r="AK32" s="168"/>
    </row>
    <row r="33" spans="2:37" s="160" customFormat="1" x14ac:dyDescent="0.25">
      <c r="B33" s="165"/>
      <c r="C33" s="165"/>
      <c r="D33" s="169"/>
      <c r="E33" s="207"/>
      <c r="F33" s="165"/>
      <c r="G33" s="207"/>
      <c r="H33" s="165"/>
      <c r="I33" s="207"/>
      <c r="J33" s="165"/>
      <c r="K33" s="207"/>
      <c r="L33" s="165"/>
      <c r="M33" s="207"/>
      <c r="N33" s="165"/>
      <c r="O33" s="207"/>
      <c r="P33" s="165"/>
      <c r="Q33" s="207"/>
      <c r="R33" s="165"/>
      <c r="S33" s="206"/>
      <c r="T33" s="161"/>
      <c r="U33" s="206"/>
      <c r="V33" s="161"/>
      <c r="W33" s="206"/>
      <c r="X33" s="161"/>
      <c r="Y33" s="206"/>
      <c r="Z33" s="161"/>
      <c r="AA33" s="166"/>
      <c r="AB33" s="167"/>
      <c r="AC33" s="167"/>
      <c r="AD33" s="167"/>
      <c r="AE33" s="167"/>
      <c r="AF33" s="167"/>
      <c r="AG33" s="167"/>
      <c r="AH33" s="167"/>
      <c r="AI33" s="167"/>
      <c r="AJ33" s="167"/>
      <c r="AK33" s="168"/>
    </row>
    <row r="34" spans="2:37" s="160" customFormat="1" x14ac:dyDescent="0.25">
      <c r="B34" s="165"/>
      <c r="C34" s="165"/>
      <c r="D34" s="169"/>
      <c r="E34" s="207"/>
      <c r="F34" s="165"/>
      <c r="G34" s="207"/>
      <c r="H34" s="165"/>
      <c r="I34" s="207"/>
      <c r="J34" s="165"/>
      <c r="K34" s="207"/>
      <c r="L34" s="165"/>
      <c r="M34" s="207"/>
      <c r="N34" s="165"/>
      <c r="O34" s="207"/>
      <c r="P34" s="165"/>
      <c r="Q34" s="207"/>
      <c r="R34" s="165"/>
      <c r="S34" s="206"/>
      <c r="T34" s="161"/>
      <c r="U34" s="206"/>
      <c r="V34" s="161"/>
      <c r="W34" s="206"/>
      <c r="X34" s="161"/>
      <c r="Y34" s="206"/>
      <c r="Z34" s="161"/>
      <c r="AA34" s="166"/>
      <c r="AB34" s="167"/>
      <c r="AC34" s="167"/>
      <c r="AD34" s="167"/>
      <c r="AE34" s="167"/>
      <c r="AF34" s="167"/>
      <c r="AG34" s="167"/>
      <c r="AH34" s="167"/>
      <c r="AI34" s="167"/>
      <c r="AJ34" s="167"/>
      <c r="AK34" s="168"/>
    </row>
    <row r="35" spans="2:37" s="160" customFormat="1" x14ac:dyDescent="0.25">
      <c r="B35" s="170"/>
      <c r="C35" s="165"/>
      <c r="D35" s="169"/>
      <c r="E35" s="207"/>
      <c r="F35" s="165"/>
      <c r="G35" s="207"/>
      <c r="H35" s="165"/>
      <c r="I35" s="207"/>
      <c r="J35" s="165"/>
      <c r="K35" s="207"/>
      <c r="L35" s="165"/>
      <c r="M35" s="207"/>
      <c r="N35" s="165"/>
      <c r="O35" s="207"/>
      <c r="P35" s="165"/>
      <c r="Q35" s="207"/>
      <c r="R35" s="165"/>
      <c r="S35" s="206"/>
      <c r="T35" s="161"/>
      <c r="U35" s="206"/>
      <c r="V35" s="161"/>
      <c r="W35" s="206"/>
      <c r="X35" s="161"/>
      <c r="Y35" s="206"/>
      <c r="Z35" s="161"/>
      <c r="AA35" s="166"/>
      <c r="AB35" s="167"/>
      <c r="AC35" s="167"/>
      <c r="AD35" s="167"/>
      <c r="AE35" s="167"/>
      <c r="AF35" s="167"/>
      <c r="AG35" s="167"/>
      <c r="AH35" s="167"/>
      <c r="AI35" s="167"/>
      <c r="AJ35" s="167"/>
      <c r="AK35" s="168"/>
    </row>
    <row r="36" spans="2:37" s="160" customFormat="1" x14ac:dyDescent="0.25">
      <c r="B36" s="170"/>
      <c r="C36" s="165"/>
      <c r="D36" s="169"/>
      <c r="E36" s="207"/>
      <c r="F36" s="165"/>
      <c r="G36" s="207"/>
      <c r="H36" s="165"/>
      <c r="I36" s="207"/>
      <c r="J36" s="165"/>
      <c r="K36" s="207"/>
      <c r="L36" s="165"/>
      <c r="M36" s="207"/>
      <c r="N36" s="165"/>
      <c r="O36" s="207"/>
      <c r="P36" s="165"/>
      <c r="Q36" s="207"/>
      <c r="R36" s="165"/>
      <c r="S36" s="206"/>
      <c r="T36" s="161"/>
      <c r="U36" s="206"/>
      <c r="V36" s="161"/>
      <c r="W36" s="206"/>
      <c r="X36" s="161"/>
      <c r="Y36" s="206"/>
      <c r="Z36" s="161"/>
      <c r="AA36" s="166"/>
      <c r="AB36" s="167"/>
      <c r="AC36" s="167"/>
      <c r="AD36" s="167"/>
      <c r="AE36" s="167"/>
      <c r="AF36" s="167"/>
      <c r="AG36" s="167"/>
      <c r="AH36" s="167"/>
      <c r="AI36" s="167"/>
      <c r="AJ36" s="167"/>
      <c r="AK36" s="168"/>
    </row>
    <row r="37" spans="2:37" s="160" customFormat="1" x14ac:dyDescent="0.25">
      <c r="B37" s="170"/>
      <c r="C37" s="165"/>
      <c r="D37" s="169"/>
      <c r="E37" s="207"/>
      <c r="F37" s="165"/>
      <c r="G37" s="207"/>
      <c r="H37" s="165"/>
      <c r="I37" s="207"/>
      <c r="J37" s="165"/>
      <c r="K37" s="207"/>
      <c r="L37" s="165"/>
      <c r="M37" s="207"/>
      <c r="N37" s="165"/>
      <c r="O37" s="207"/>
      <c r="P37" s="165"/>
      <c r="Q37" s="207"/>
      <c r="R37" s="165"/>
      <c r="S37" s="206"/>
      <c r="T37" s="161"/>
      <c r="U37" s="206"/>
      <c r="V37" s="161"/>
      <c r="W37" s="206"/>
      <c r="X37" s="161"/>
      <c r="Y37" s="206"/>
      <c r="Z37" s="161"/>
      <c r="AA37" s="166"/>
      <c r="AB37" s="167"/>
      <c r="AC37" s="167"/>
      <c r="AD37" s="167"/>
      <c r="AE37" s="167"/>
      <c r="AF37" s="167"/>
      <c r="AG37" s="167"/>
      <c r="AH37" s="167"/>
      <c r="AI37" s="167"/>
      <c r="AJ37" s="167"/>
      <c r="AK37" s="168"/>
    </row>
    <row r="38" spans="2:37" s="160" customFormat="1" x14ac:dyDescent="0.25">
      <c r="B38" s="170"/>
      <c r="C38" s="165"/>
      <c r="D38" s="169"/>
      <c r="E38" s="207"/>
      <c r="F38" s="165"/>
      <c r="G38" s="207"/>
      <c r="H38" s="165"/>
      <c r="I38" s="207"/>
      <c r="J38" s="165"/>
      <c r="K38" s="207"/>
      <c r="L38" s="165"/>
      <c r="M38" s="207"/>
      <c r="N38" s="165"/>
      <c r="O38" s="207"/>
      <c r="P38" s="165"/>
      <c r="Q38" s="207"/>
      <c r="R38" s="165"/>
      <c r="S38" s="206"/>
      <c r="T38" s="161"/>
      <c r="U38" s="206"/>
      <c r="V38" s="161"/>
      <c r="W38" s="206"/>
      <c r="X38" s="161"/>
      <c r="Y38" s="206"/>
      <c r="Z38" s="161"/>
      <c r="AA38" s="166"/>
      <c r="AB38" s="167"/>
      <c r="AC38" s="167"/>
      <c r="AD38" s="167"/>
      <c r="AE38" s="167"/>
      <c r="AF38" s="167"/>
      <c r="AG38" s="167"/>
      <c r="AH38" s="167"/>
      <c r="AI38" s="167"/>
      <c r="AJ38" s="167"/>
      <c r="AK38" s="168"/>
    </row>
    <row r="39" spans="2:37" x14ac:dyDescent="0.25">
      <c r="B39" s="171" t="s">
        <v>32</v>
      </c>
      <c r="C39" s="208"/>
      <c r="D39" s="209"/>
      <c r="E39" s="210"/>
      <c r="F39" s="208"/>
      <c r="G39" s="210"/>
      <c r="H39" s="208"/>
      <c r="I39" s="210"/>
      <c r="J39" s="208"/>
      <c r="K39" s="210"/>
      <c r="L39" s="208"/>
      <c r="M39" s="210"/>
      <c r="N39" s="208"/>
      <c r="O39" s="210"/>
      <c r="P39" s="208"/>
      <c r="Q39" s="210"/>
      <c r="R39" s="208"/>
      <c r="S39" s="210"/>
      <c r="T39" s="208"/>
      <c r="U39" s="206"/>
      <c r="V39" s="208"/>
      <c r="W39" s="206"/>
      <c r="X39" s="208"/>
      <c r="Y39" s="206"/>
      <c r="Z39" s="208"/>
      <c r="AA39" s="211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</row>
    <row r="40" spans="2:37" x14ac:dyDescent="0.25">
      <c r="B40" s="212"/>
      <c r="E40" s="214"/>
      <c r="G40" s="214"/>
      <c r="I40" s="214"/>
      <c r="K40" s="214"/>
      <c r="M40" s="214"/>
      <c r="O40" s="214"/>
      <c r="Q40" s="214"/>
      <c r="S40" s="214"/>
      <c r="U40" s="214"/>
      <c r="W40" s="214"/>
      <c r="Y40" s="214"/>
      <c r="AB40" s="193"/>
      <c r="AC40" s="193"/>
      <c r="AD40" s="193"/>
      <c r="AE40" s="193"/>
      <c r="AF40" s="193"/>
      <c r="AG40" s="193"/>
      <c r="AH40" s="193"/>
      <c r="AI40" s="193"/>
      <c r="AJ40" s="193"/>
      <c r="AK40" s="193"/>
    </row>
    <row r="41" spans="2:37" s="216" customFormat="1" ht="30.75" customHeight="1" x14ac:dyDescent="0.25">
      <c r="B41" s="215"/>
      <c r="D41" s="217"/>
      <c r="E41" s="456" t="str">
        <f>E2&amp;" Comments"</f>
        <v>2013-14 Comments</v>
      </c>
      <c r="F41" s="457"/>
      <c r="G41" s="456" t="str">
        <f>G2&amp;" Comments"</f>
        <v>2014-15 Comments</v>
      </c>
      <c r="H41" s="457"/>
      <c r="I41" s="456" t="str">
        <f>I2&amp;" Comments"</f>
        <v>2015-16 Comments</v>
      </c>
      <c r="J41" s="457"/>
      <c r="K41" s="456" t="str">
        <f>K2&amp;" Comments"</f>
        <v>2016-17 Comments</v>
      </c>
      <c r="L41" s="457"/>
      <c r="M41" s="456" t="str">
        <f>M2&amp;" Comments"</f>
        <v>2017-18 Comments</v>
      </c>
      <c r="N41" s="457"/>
      <c r="O41" s="456" t="str">
        <f>O2&amp;" Comments"</f>
        <v>2018-19 Comments</v>
      </c>
      <c r="P41" s="457"/>
      <c r="Q41" s="456" t="str">
        <f>Q2&amp;" Comments"</f>
        <v>2019-20 Comments</v>
      </c>
      <c r="R41" s="457"/>
      <c r="S41" s="456" t="str">
        <f>S2&amp;" Comments"</f>
        <v>2020-21 Comments</v>
      </c>
      <c r="T41" s="457"/>
      <c r="U41" s="456" t="str">
        <f>U2&amp;" Comments"</f>
        <v>2021-22 Comments</v>
      </c>
      <c r="V41" s="457"/>
      <c r="W41" s="456" t="str">
        <f>W2&amp;" Comments"</f>
        <v>2022-23 Comments</v>
      </c>
      <c r="X41" s="457"/>
      <c r="Y41" s="456" t="str">
        <f>Y2&amp;" Comments"</f>
        <v>2023-24 Comments</v>
      </c>
      <c r="Z41" s="457"/>
      <c r="AA41" s="218"/>
      <c r="AB41" s="219"/>
      <c r="AC41" s="219"/>
      <c r="AD41" s="219"/>
      <c r="AE41" s="219"/>
    </row>
    <row r="42" spans="2:37" ht="154.5" customHeight="1" x14ac:dyDescent="0.25">
      <c r="B42" s="220"/>
      <c r="C42" s="220"/>
      <c r="D42" s="220"/>
      <c r="E42" s="479"/>
      <c r="F42" s="480"/>
      <c r="G42" s="479"/>
      <c r="H42" s="480"/>
      <c r="I42" s="479"/>
      <c r="J42" s="480"/>
      <c r="K42" s="479"/>
      <c r="L42" s="480"/>
      <c r="M42" s="479"/>
      <c r="N42" s="480"/>
      <c r="O42" s="479"/>
      <c r="P42" s="480"/>
      <c r="Q42" s="479"/>
      <c r="R42" s="480"/>
      <c r="S42" s="479"/>
      <c r="T42" s="480"/>
      <c r="U42" s="477"/>
      <c r="V42" s="478"/>
      <c r="W42" s="477"/>
      <c r="X42" s="478"/>
      <c r="Y42" s="458"/>
      <c r="Z42" s="459"/>
      <c r="AA42" s="221"/>
      <c r="AB42" s="220"/>
      <c r="AC42" s="220"/>
      <c r="AD42" s="220"/>
      <c r="AE42" s="220"/>
    </row>
    <row r="44" spans="2:37" x14ac:dyDescent="0.25">
      <c r="B44" s="222"/>
    </row>
  </sheetData>
  <sheetProtection formatColumns="0" insertRows="0"/>
  <mergeCells count="35">
    <mergeCell ref="O42:P42"/>
    <mergeCell ref="Q42:R42"/>
    <mergeCell ref="S42:T42"/>
    <mergeCell ref="E42:F42"/>
    <mergeCell ref="G42:H42"/>
    <mergeCell ref="I42:J42"/>
    <mergeCell ref="K42:L42"/>
    <mergeCell ref="M42:N42"/>
    <mergeCell ref="Q41:R41"/>
    <mergeCell ref="S41:T41"/>
    <mergeCell ref="U42:V42"/>
    <mergeCell ref="W42:X42"/>
    <mergeCell ref="U41:V41"/>
    <mergeCell ref="W41:X41"/>
    <mergeCell ref="G41:H41"/>
    <mergeCell ref="I41:J41"/>
    <mergeCell ref="K41:L41"/>
    <mergeCell ref="M41:N41"/>
    <mergeCell ref="O41:P41"/>
    <mergeCell ref="Y41:Z41"/>
    <mergeCell ref="Y42:Z42"/>
    <mergeCell ref="E1:X1"/>
    <mergeCell ref="AB1:AK1"/>
    <mergeCell ref="E2:F2"/>
    <mergeCell ref="G2:H2"/>
    <mergeCell ref="I2:J2"/>
    <mergeCell ref="K2:L2"/>
    <mergeCell ref="M2:N2"/>
    <mergeCell ref="O2:P2"/>
    <mergeCell ref="Q2:R2"/>
    <mergeCell ref="S2:T2"/>
    <mergeCell ref="Y2:Z2"/>
    <mergeCell ref="U2:V2"/>
    <mergeCell ref="W2:X2"/>
    <mergeCell ref="E41:F41"/>
  </mergeCells>
  <dataValidations count="6">
    <dataValidation type="list" allowBlank="1" showInputMessage="1" showErrorMessage="1" sqref="C4:C19 C29:C38" xr:uid="{A23FDE7B-11A4-453B-BC2F-8D87D5B82543}">
      <formula1>"UnresGen, UnresAuxOprt, Restrct"</formula1>
    </dataValidation>
    <dataValidation type="list" allowBlank="1" showInputMessage="1" showErrorMessage="1" sqref="Z29:AA38 N4:N19 F29:F38 P4:P19 R4:R19 T4:T19 V4:V19 J4:J19 H4:H19 N30:N34 L4:L19 H29:H38 J29:J38 L29:L38 F4:F19 M35:O38 M29:O29 P29:P38 Q35:Q38 Q29 R29:R38 S35:S38 S29 T29:T38 U29 V29:V38 W29 X29:X38 X4:X19 Z4:AA19 Y29" xr:uid="{D9ACD990-5484-4F0F-BD63-2ED6B3D38648}">
      <formula1>"SCH, QCH, SEM, SES, APP, DAY, EACH, MO, ONCE, SUM, VAR, YEAR,DSC"</formula1>
    </dataValidation>
    <dataValidation type="decimal" operator="greaterThanOrEqual" allowBlank="1" showInputMessage="1" showErrorMessage="1" errorTitle="Data Type Error" error="Value must be a number greater than or equal to 0." sqref="AB20:AK20" xr:uid="{52B9918F-661B-44C1-8237-104E8E8768C2}">
      <formula1>0</formula1>
    </dataValidation>
    <dataValidation type="list" allowBlank="1" showInputMessage="1" showErrorMessage="1" sqref="C20" xr:uid="{4B4A202A-7EEA-4151-B46C-1590F21AB60B}">
      <formula1>rev_class</formula1>
    </dataValidation>
    <dataValidation type="decimal" operator="greaterThanOrEqual" allowBlank="1" showInputMessage="1" showErrorMessage="1" errorTitle="data type error" error="value must be number greater or equal to 0" sqref="AB29:AK40 AB4:AK19 W4:W19 I4:I19 D4:E19 D29:E38 U4:U19 O4:O19 Q4:Q19 S4:S19 K4:K19 M4:M19 G4:G19 I29:I38 G29:G38 AB21:AK27 Y4:Y19" xr:uid="{64370D17-4AF4-491C-A4A3-E5371B4EBA4C}">
      <formula1>0</formula1>
    </dataValidation>
    <dataValidation type="list" allowBlank="1" showInputMessage="1" showErrorMessage="1" sqref="J20 H20 F20 L20 N20 P20 R20 T20 V20 X20 Z20:AA20" xr:uid="{387D8CAD-EF67-41FC-A75D-F5996EBCD5C7}">
      <formula1>fee_unit</formula1>
    </dataValidation>
  </dataValidations>
  <pageMargins left="0.3" right="0.3" top="0.75" bottom="0.3" header="0.3" footer="0.25"/>
  <pageSetup scale="57" orientation="landscape" r:id="rId1"/>
  <headerFooter>
    <oddHeader>&amp;C&amp;"-,Bold"&amp;22Metropolitan Community College
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D46BCA-D86B-4A87-9868-4D4ADCCB5F04}">
  <sheetPr>
    <pageSetUpPr fitToPage="1"/>
  </sheetPr>
  <dimension ref="A1:CI185"/>
  <sheetViews>
    <sheetView zoomScale="85" zoomScaleNormal="85" workbookViewId="0">
      <pane xSplit="1" ySplit="6" topLeftCell="BP7" activePane="bottomRight" state="frozen"/>
      <selection pane="topRight" activeCell="B1" sqref="B1"/>
      <selection pane="bottomLeft" activeCell="A7" sqref="A7"/>
      <selection pane="bottomRight" activeCell="BO38" sqref="BO38"/>
    </sheetView>
  </sheetViews>
  <sheetFormatPr defaultColWidth="11.42578125" defaultRowHeight="15" x14ac:dyDescent="0.25"/>
  <cols>
    <col min="1" max="1" width="63" style="326" customWidth="1"/>
    <col min="2" max="2" width="14.5703125" style="224" hidden="1" customWidth="1"/>
    <col min="3" max="11" width="14.5703125" style="397" hidden="1" customWidth="1"/>
    <col min="12" max="12" width="14.5703125" style="326" hidden="1" customWidth="1"/>
    <col min="13" max="21" width="14.5703125" style="397" hidden="1" customWidth="1"/>
    <col min="22" max="22" width="14.5703125" style="326" hidden="1" customWidth="1"/>
    <col min="23" max="31" width="14.5703125" style="397" hidden="1" customWidth="1"/>
    <col min="32" max="32" width="14.5703125" style="326" hidden="1" customWidth="1"/>
    <col min="33" max="41" width="14.5703125" style="397" hidden="1" customWidth="1"/>
    <col min="42" max="42" width="14.5703125" style="326" hidden="1" customWidth="1"/>
    <col min="43" max="51" width="14.5703125" style="397" hidden="1" customWidth="1"/>
    <col min="52" max="52" width="14.5703125" style="326" hidden="1" customWidth="1"/>
    <col min="53" max="61" width="14.5703125" style="397" hidden="1" customWidth="1"/>
    <col min="62" max="62" width="14.5703125" style="326" customWidth="1"/>
    <col min="63" max="71" width="14.5703125" style="397" customWidth="1"/>
    <col min="72" max="72" width="14.5703125" style="326" customWidth="1"/>
    <col min="73" max="79" width="14.5703125" style="397" customWidth="1"/>
    <col min="80" max="80" width="16.85546875" style="397" customWidth="1"/>
    <col min="81" max="81" width="14.5703125" style="397" customWidth="1"/>
    <col min="82" max="701" width="11.42578125" style="326"/>
    <col min="702" max="702" width="0" style="326" hidden="1" customWidth="1"/>
    <col min="703" max="16384" width="11.42578125" style="326"/>
  </cols>
  <sheetData>
    <row r="1" spans="1:87" s="227" customFormat="1" ht="15" customHeight="1" thickBot="1" x14ac:dyDescent="0.45">
      <c r="A1" s="223"/>
      <c r="B1" s="224"/>
      <c r="C1" s="225"/>
      <c r="D1" s="225"/>
      <c r="E1" s="225"/>
      <c r="F1" s="225"/>
      <c r="G1" s="225"/>
      <c r="H1" s="225"/>
      <c r="I1" s="225"/>
      <c r="J1" s="225"/>
      <c r="K1" s="225"/>
      <c r="L1" s="223"/>
      <c r="M1" s="225"/>
      <c r="N1" s="225"/>
      <c r="O1" s="225"/>
      <c r="P1" s="225"/>
      <c r="Q1" s="225"/>
      <c r="R1" s="225"/>
      <c r="S1" s="225"/>
      <c r="T1" s="225"/>
      <c r="U1" s="225"/>
      <c r="V1" s="226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5"/>
      <c r="AK1" s="225"/>
      <c r="AL1" s="225"/>
      <c r="AM1" s="225"/>
      <c r="AN1" s="225"/>
      <c r="AO1" s="225"/>
      <c r="AP1" s="225"/>
      <c r="AQ1" s="225"/>
      <c r="AR1" s="225"/>
      <c r="AS1" s="225"/>
      <c r="AT1" s="225"/>
      <c r="AU1" s="225"/>
      <c r="AV1" s="225"/>
      <c r="AW1" s="225"/>
      <c r="AX1" s="225"/>
      <c r="AY1" s="225"/>
      <c r="AZ1" s="225"/>
      <c r="BA1" s="225"/>
      <c r="BB1" s="225"/>
      <c r="BC1" s="225"/>
      <c r="BD1" s="225"/>
      <c r="BE1" s="225"/>
      <c r="BF1" s="225"/>
      <c r="BG1" s="225"/>
      <c r="BH1" s="225"/>
      <c r="BI1" s="225"/>
      <c r="BJ1" s="225"/>
      <c r="BK1" s="225"/>
      <c r="BL1" s="225"/>
      <c r="BM1" s="225"/>
      <c r="BN1" s="225"/>
      <c r="BO1" s="225"/>
      <c r="BP1" s="225"/>
      <c r="BQ1" s="225"/>
      <c r="BR1" s="225"/>
      <c r="BS1" s="225"/>
      <c r="BT1" s="225"/>
      <c r="BU1" s="225"/>
      <c r="BV1" s="225"/>
      <c r="BW1" s="225"/>
      <c r="BX1" s="225"/>
      <c r="BY1" s="225"/>
      <c r="BZ1" s="225"/>
      <c r="CA1" s="225"/>
      <c r="CB1" s="225"/>
      <c r="CC1" s="225"/>
      <c r="CD1" s="225"/>
      <c r="CE1" s="225"/>
      <c r="CF1" s="225"/>
      <c r="CG1" s="225"/>
      <c r="CH1" s="225"/>
      <c r="CI1" s="225"/>
    </row>
    <row r="2" spans="1:87" s="229" customFormat="1" ht="18.75" x14ac:dyDescent="0.3">
      <c r="A2" s="228"/>
      <c r="B2" s="499" t="s">
        <v>8</v>
      </c>
      <c r="C2" s="500"/>
      <c r="D2" s="500"/>
      <c r="E2" s="500"/>
      <c r="F2" s="500"/>
      <c r="G2" s="500"/>
      <c r="H2" s="500"/>
      <c r="I2" s="500"/>
      <c r="J2" s="500"/>
      <c r="K2" s="501"/>
      <c r="L2" s="502" t="s">
        <v>9</v>
      </c>
      <c r="M2" s="503"/>
      <c r="N2" s="503"/>
      <c r="O2" s="503"/>
      <c r="P2" s="503"/>
      <c r="Q2" s="503"/>
      <c r="R2" s="503"/>
      <c r="S2" s="503"/>
      <c r="T2" s="503"/>
      <c r="U2" s="504"/>
      <c r="V2" s="481" t="s">
        <v>10</v>
      </c>
      <c r="W2" s="482"/>
      <c r="X2" s="482"/>
      <c r="Y2" s="482"/>
      <c r="Z2" s="482"/>
      <c r="AA2" s="482"/>
      <c r="AB2" s="482"/>
      <c r="AC2" s="482"/>
      <c r="AD2" s="482"/>
      <c r="AE2" s="483"/>
      <c r="AF2" s="505" t="s">
        <v>11</v>
      </c>
      <c r="AG2" s="506"/>
      <c r="AH2" s="506"/>
      <c r="AI2" s="506"/>
      <c r="AJ2" s="506"/>
      <c r="AK2" s="506"/>
      <c r="AL2" s="506"/>
      <c r="AM2" s="506"/>
      <c r="AN2" s="506"/>
      <c r="AO2" s="507"/>
      <c r="AP2" s="508" t="s">
        <v>12</v>
      </c>
      <c r="AQ2" s="509"/>
      <c r="AR2" s="509"/>
      <c r="AS2" s="509"/>
      <c r="AT2" s="509"/>
      <c r="AU2" s="509"/>
      <c r="AV2" s="509"/>
      <c r="AW2" s="509"/>
      <c r="AX2" s="509"/>
      <c r="AY2" s="510"/>
      <c r="AZ2" s="511" t="s">
        <v>13</v>
      </c>
      <c r="BA2" s="512"/>
      <c r="BB2" s="512"/>
      <c r="BC2" s="512"/>
      <c r="BD2" s="512"/>
      <c r="BE2" s="512"/>
      <c r="BF2" s="512"/>
      <c r="BG2" s="512"/>
      <c r="BH2" s="512"/>
      <c r="BI2" s="513"/>
      <c r="BJ2" s="494" t="s">
        <v>14</v>
      </c>
      <c r="BK2" s="495"/>
      <c r="BL2" s="495"/>
      <c r="BM2" s="495"/>
      <c r="BN2" s="495"/>
      <c r="BO2" s="495"/>
      <c r="BP2" s="495"/>
      <c r="BQ2" s="495"/>
      <c r="BR2" s="495"/>
      <c r="BS2" s="496"/>
      <c r="BT2" s="481" t="s">
        <v>15</v>
      </c>
      <c r="BU2" s="482"/>
      <c r="BV2" s="482"/>
      <c r="BW2" s="482"/>
      <c r="BX2" s="482"/>
      <c r="BY2" s="482"/>
      <c r="BZ2" s="482"/>
      <c r="CA2" s="482"/>
      <c r="CB2" s="482"/>
      <c r="CC2" s="483"/>
    </row>
    <row r="3" spans="1:87" s="227" customFormat="1" x14ac:dyDescent="0.25">
      <c r="A3" s="230"/>
      <c r="B3" s="231"/>
      <c r="C3" s="232"/>
      <c r="D3" s="232"/>
      <c r="E3" s="232"/>
      <c r="F3" s="232"/>
      <c r="G3" s="232"/>
      <c r="H3" s="232"/>
      <c r="I3" s="232"/>
      <c r="J3" s="232"/>
      <c r="K3" s="233"/>
      <c r="L3" s="234"/>
      <c r="M3" s="235"/>
      <c r="N3" s="235"/>
      <c r="O3" s="235"/>
      <c r="P3" s="235"/>
      <c r="Q3" s="235"/>
      <c r="R3" s="235"/>
      <c r="S3" s="235"/>
      <c r="T3" s="235"/>
      <c r="U3" s="236"/>
      <c r="V3" s="237"/>
      <c r="W3" s="238"/>
      <c r="X3" s="238"/>
      <c r="Y3" s="238"/>
      <c r="Z3" s="238"/>
      <c r="AA3" s="238"/>
      <c r="AB3" s="238"/>
      <c r="AC3" s="238"/>
      <c r="AD3" s="238"/>
      <c r="AE3" s="239"/>
      <c r="AF3" s="240"/>
      <c r="AG3" s="241"/>
      <c r="AH3" s="241"/>
      <c r="AI3" s="241"/>
      <c r="AJ3" s="241"/>
      <c r="AK3" s="241"/>
      <c r="AL3" s="241"/>
      <c r="AM3" s="241"/>
      <c r="AN3" s="241"/>
      <c r="AO3" s="242"/>
      <c r="AP3" s="243"/>
      <c r="AQ3" s="244"/>
      <c r="AR3" s="244"/>
      <c r="AS3" s="244"/>
      <c r="AT3" s="244"/>
      <c r="AU3" s="244"/>
      <c r="AV3" s="244"/>
      <c r="AW3" s="244"/>
      <c r="AX3" s="244"/>
      <c r="AY3" s="245"/>
      <c r="AZ3" s="246"/>
      <c r="BA3" s="247"/>
      <c r="BB3" s="247"/>
      <c r="BC3" s="247"/>
      <c r="BD3" s="247"/>
      <c r="BE3" s="247"/>
      <c r="BF3" s="247"/>
      <c r="BG3" s="247"/>
      <c r="BH3" s="247"/>
      <c r="BI3" s="248"/>
      <c r="BJ3" s="249"/>
      <c r="BK3" s="250"/>
      <c r="BL3" s="250"/>
      <c r="BM3" s="250"/>
      <c r="BN3" s="250"/>
      <c r="BO3" s="250"/>
      <c r="BP3" s="250"/>
      <c r="BQ3" s="250"/>
      <c r="BR3" s="250"/>
      <c r="BS3" s="251"/>
      <c r="BT3" s="237"/>
      <c r="BU3" s="238"/>
      <c r="BV3" s="238"/>
      <c r="BW3" s="238"/>
      <c r="BX3" s="238"/>
      <c r="BY3" s="238"/>
      <c r="BZ3" s="238"/>
      <c r="CA3" s="238"/>
      <c r="CB3" s="238"/>
      <c r="CC3" s="400"/>
    </row>
    <row r="4" spans="1:87" s="227" customFormat="1" x14ac:dyDescent="0.25">
      <c r="A4" s="230"/>
      <c r="B4" s="231"/>
      <c r="C4" s="232"/>
      <c r="D4" s="232"/>
      <c r="E4" s="232"/>
      <c r="F4" s="232"/>
      <c r="G4" s="232"/>
      <c r="H4" s="232"/>
      <c r="I4" s="232"/>
      <c r="J4" s="232"/>
      <c r="K4" s="233"/>
      <c r="L4" s="234"/>
      <c r="M4" s="235"/>
      <c r="N4" s="235"/>
      <c r="O4" s="235"/>
      <c r="P4" s="235"/>
      <c r="Q4" s="235"/>
      <c r="R4" s="235"/>
      <c r="S4" s="235"/>
      <c r="T4" s="235"/>
      <c r="U4" s="236"/>
      <c r="V4" s="237"/>
      <c r="W4" s="238"/>
      <c r="X4" s="238"/>
      <c r="Y4" s="238"/>
      <c r="Z4" s="238"/>
      <c r="AA4" s="238"/>
      <c r="AB4" s="238"/>
      <c r="AC4" s="238"/>
      <c r="AD4" s="238"/>
      <c r="AE4" s="239"/>
      <c r="AF4" s="240"/>
      <c r="AG4" s="241"/>
      <c r="AH4" s="241"/>
      <c r="AI4" s="241"/>
      <c r="AJ4" s="241"/>
      <c r="AK4" s="241"/>
      <c r="AL4" s="241"/>
      <c r="AM4" s="241"/>
      <c r="AN4" s="241"/>
      <c r="AO4" s="242"/>
      <c r="AP4" s="243"/>
      <c r="AQ4" s="244"/>
      <c r="AR4" s="244"/>
      <c r="AS4" s="244"/>
      <c r="AT4" s="244"/>
      <c r="AU4" s="244"/>
      <c r="AV4" s="244"/>
      <c r="AW4" s="244"/>
      <c r="AX4" s="244"/>
      <c r="AY4" s="245"/>
      <c r="AZ4" s="246"/>
      <c r="BA4" s="247"/>
      <c r="BB4" s="247"/>
      <c r="BC4" s="247"/>
      <c r="BD4" s="247"/>
      <c r="BE4" s="247"/>
      <c r="BF4" s="247"/>
      <c r="BG4" s="247"/>
      <c r="BH4" s="247"/>
      <c r="BI4" s="252"/>
      <c r="BJ4" s="249"/>
      <c r="BK4" s="250"/>
      <c r="BL4" s="250"/>
      <c r="BM4" s="250"/>
      <c r="BN4" s="250"/>
      <c r="BO4" s="250"/>
      <c r="BP4" s="250"/>
      <c r="BQ4" s="250"/>
      <c r="BR4" s="250"/>
      <c r="BS4" s="253"/>
      <c r="BT4" s="237"/>
      <c r="BU4" s="238"/>
      <c r="BV4" s="238"/>
      <c r="BW4" s="238"/>
      <c r="BX4" s="238"/>
      <c r="BY4" s="238"/>
      <c r="BZ4" s="238"/>
      <c r="CA4" s="238"/>
      <c r="CB4" s="238"/>
      <c r="CC4" s="239"/>
    </row>
    <row r="5" spans="1:87" s="227" customFormat="1" x14ac:dyDescent="0.25">
      <c r="A5" s="230"/>
      <c r="B5" s="254"/>
      <c r="C5" s="255"/>
      <c r="D5" s="255"/>
      <c r="E5" s="514" t="s">
        <v>101</v>
      </c>
      <c r="F5" s="514"/>
      <c r="G5" s="514"/>
      <c r="H5" s="514"/>
      <c r="I5" s="514"/>
      <c r="J5" s="256"/>
      <c r="K5" s="257"/>
      <c r="L5" s="258"/>
      <c r="M5" s="259"/>
      <c r="N5" s="259"/>
      <c r="O5" s="515" t="s">
        <v>101</v>
      </c>
      <c r="P5" s="515"/>
      <c r="Q5" s="515"/>
      <c r="R5" s="515"/>
      <c r="S5" s="515"/>
      <c r="T5" s="260"/>
      <c r="U5" s="261"/>
      <c r="V5" s="262"/>
      <c r="W5" s="263"/>
      <c r="X5" s="263"/>
      <c r="Y5" s="484" t="s">
        <v>101</v>
      </c>
      <c r="Z5" s="484"/>
      <c r="AA5" s="484"/>
      <c r="AB5" s="484"/>
      <c r="AC5" s="484"/>
      <c r="AD5" s="264"/>
      <c r="AE5" s="265"/>
      <c r="AF5" s="266"/>
      <c r="AG5" s="267"/>
      <c r="AH5" s="267"/>
      <c r="AI5" s="516" t="s">
        <v>101</v>
      </c>
      <c r="AJ5" s="516"/>
      <c r="AK5" s="516"/>
      <c r="AL5" s="516"/>
      <c r="AM5" s="516"/>
      <c r="AN5" s="268"/>
      <c r="AO5" s="269"/>
      <c r="AP5" s="270"/>
      <c r="AQ5" s="271"/>
      <c r="AR5" s="271"/>
      <c r="AS5" s="517" t="s">
        <v>101</v>
      </c>
      <c r="AT5" s="517"/>
      <c r="AU5" s="517"/>
      <c r="AV5" s="517"/>
      <c r="AW5" s="517"/>
      <c r="AX5" s="272"/>
      <c r="AY5" s="273"/>
      <c r="AZ5" s="274"/>
      <c r="BA5" s="275"/>
      <c r="BB5" s="275"/>
      <c r="BC5" s="497" t="s">
        <v>101</v>
      </c>
      <c r="BD5" s="497"/>
      <c r="BE5" s="497"/>
      <c r="BF5" s="497"/>
      <c r="BG5" s="497"/>
      <c r="BH5" s="276"/>
      <c r="BI5" s="277"/>
      <c r="BJ5" s="278"/>
      <c r="BK5" s="279"/>
      <c r="BL5" s="279"/>
      <c r="BM5" s="498" t="s">
        <v>101</v>
      </c>
      <c r="BN5" s="498"/>
      <c r="BO5" s="498"/>
      <c r="BP5" s="498"/>
      <c r="BQ5" s="498"/>
      <c r="BR5" s="280"/>
      <c r="BS5" s="281"/>
      <c r="BT5" s="262"/>
      <c r="BU5" s="263"/>
      <c r="BV5" s="263"/>
      <c r="BW5" s="484" t="s">
        <v>101</v>
      </c>
      <c r="BX5" s="484"/>
      <c r="BY5" s="484"/>
      <c r="BZ5" s="484"/>
      <c r="CA5" s="484"/>
      <c r="CB5" s="264"/>
      <c r="CC5" s="265"/>
    </row>
    <row r="6" spans="1:87" s="325" customFormat="1" ht="51" customHeight="1" x14ac:dyDescent="0.25">
      <c r="A6" s="282" t="s">
        <v>102</v>
      </c>
      <c r="B6" s="283" t="s">
        <v>103</v>
      </c>
      <c r="C6" s="284" t="s">
        <v>104</v>
      </c>
      <c r="D6" s="285" t="s">
        <v>105</v>
      </c>
      <c r="E6" s="286" t="s">
        <v>106</v>
      </c>
      <c r="F6" s="284" t="s">
        <v>107</v>
      </c>
      <c r="G6" s="284" t="s">
        <v>108</v>
      </c>
      <c r="H6" s="284" t="s">
        <v>109</v>
      </c>
      <c r="I6" s="284" t="s">
        <v>99</v>
      </c>
      <c r="J6" s="287" t="s">
        <v>110</v>
      </c>
      <c r="K6" s="288" t="s">
        <v>111</v>
      </c>
      <c r="L6" s="289" t="s">
        <v>103</v>
      </c>
      <c r="M6" s="290" t="s">
        <v>104</v>
      </c>
      <c r="N6" s="291" t="s">
        <v>105</v>
      </c>
      <c r="O6" s="292" t="s">
        <v>106</v>
      </c>
      <c r="P6" s="290" t="s">
        <v>107</v>
      </c>
      <c r="Q6" s="290" t="s">
        <v>108</v>
      </c>
      <c r="R6" s="290" t="s">
        <v>109</v>
      </c>
      <c r="S6" s="290" t="s">
        <v>99</v>
      </c>
      <c r="T6" s="293" t="s">
        <v>110</v>
      </c>
      <c r="U6" s="294" t="s">
        <v>111</v>
      </c>
      <c r="V6" s="295" t="s">
        <v>103</v>
      </c>
      <c r="W6" s="296" t="s">
        <v>104</v>
      </c>
      <c r="X6" s="297" t="s">
        <v>105</v>
      </c>
      <c r="Y6" s="298" t="s">
        <v>106</v>
      </c>
      <c r="Z6" s="296" t="s">
        <v>107</v>
      </c>
      <c r="AA6" s="296" t="s">
        <v>108</v>
      </c>
      <c r="AB6" s="296" t="s">
        <v>109</v>
      </c>
      <c r="AC6" s="296" t="s">
        <v>99</v>
      </c>
      <c r="AD6" s="299" t="s">
        <v>110</v>
      </c>
      <c r="AE6" s="300" t="s">
        <v>111</v>
      </c>
      <c r="AF6" s="301" t="s">
        <v>103</v>
      </c>
      <c r="AG6" s="302" t="s">
        <v>104</v>
      </c>
      <c r="AH6" s="303" t="s">
        <v>105</v>
      </c>
      <c r="AI6" s="304" t="s">
        <v>106</v>
      </c>
      <c r="AJ6" s="302" t="s">
        <v>107</v>
      </c>
      <c r="AK6" s="302" t="s">
        <v>108</v>
      </c>
      <c r="AL6" s="302" t="s">
        <v>109</v>
      </c>
      <c r="AM6" s="302" t="s">
        <v>99</v>
      </c>
      <c r="AN6" s="305" t="s">
        <v>110</v>
      </c>
      <c r="AO6" s="306" t="s">
        <v>111</v>
      </c>
      <c r="AP6" s="307" t="s">
        <v>103</v>
      </c>
      <c r="AQ6" s="308" t="s">
        <v>104</v>
      </c>
      <c r="AR6" s="309" t="s">
        <v>105</v>
      </c>
      <c r="AS6" s="310" t="s">
        <v>106</v>
      </c>
      <c r="AT6" s="308" t="s">
        <v>107</v>
      </c>
      <c r="AU6" s="308" t="s">
        <v>108</v>
      </c>
      <c r="AV6" s="308" t="s">
        <v>109</v>
      </c>
      <c r="AW6" s="308" t="s">
        <v>99</v>
      </c>
      <c r="AX6" s="311" t="s">
        <v>110</v>
      </c>
      <c r="AY6" s="312" t="s">
        <v>111</v>
      </c>
      <c r="AZ6" s="313" t="s">
        <v>103</v>
      </c>
      <c r="BA6" s="314" t="s">
        <v>104</v>
      </c>
      <c r="BB6" s="315" t="s">
        <v>105</v>
      </c>
      <c r="BC6" s="316" t="s">
        <v>106</v>
      </c>
      <c r="BD6" s="314" t="s">
        <v>107</v>
      </c>
      <c r="BE6" s="314" t="s">
        <v>108</v>
      </c>
      <c r="BF6" s="314" t="s">
        <v>109</v>
      </c>
      <c r="BG6" s="314" t="s">
        <v>99</v>
      </c>
      <c r="BH6" s="317" t="s">
        <v>110</v>
      </c>
      <c r="BI6" s="318" t="s">
        <v>111</v>
      </c>
      <c r="BJ6" s="319" t="s">
        <v>103</v>
      </c>
      <c r="BK6" s="320" t="s">
        <v>104</v>
      </c>
      <c r="BL6" s="321" t="s">
        <v>105</v>
      </c>
      <c r="BM6" s="322" t="s">
        <v>106</v>
      </c>
      <c r="BN6" s="320" t="s">
        <v>107</v>
      </c>
      <c r="BO6" s="320" t="s">
        <v>108</v>
      </c>
      <c r="BP6" s="320" t="s">
        <v>109</v>
      </c>
      <c r="BQ6" s="320" t="s">
        <v>99</v>
      </c>
      <c r="BR6" s="323" t="s">
        <v>110</v>
      </c>
      <c r="BS6" s="324" t="s">
        <v>111</v>
      </c>
      <c r="BT6" s="295" t="s">
        <v>103</v>
      </c>
      <c r="BU6" s="296" t="s">
        <v>104</v>
      </c>
      <c r="BV6" s="297" t="s">
        <v>105</v>
      </c>
      <c r="BW6" s="298" t="s">
        <v>106</v>
      </c>
      <c r="BX6" s="296" t="s">
        <v>107</v>
      </c>
      <c r="BY6" s="296" t="s">
        <v>108</v>
      </c>
      <c r="BZ6" s="296" t="s">
        <v>109</v>
      </c>
      <c r="CA6" s="296" t="s">
        <v>99</v>
      </c>
      <c r="CB6" s="299" t="s">
        <v>110</v>
      </c>
      <c r="CC6" s="401" t="s">
        <v>111</v>
      </c>
    </row>
    <row r="7" spans="1:87" ht="15.95" customHeight="1" x14ac:dyDescent="0.25">
      <c r="B7" s="327"/>
      <c r="C7" s="328"/>
      <c r="D7" s="329"/>
      <c r="E7" s="330"/>
      <c r="F7" s="330"/>
      <c r="G7" s="330"/>
      <c r="H7" s="330"/>
      <c r="I7" s="330"/>
      <c r="J7" s="330"/>
      <c r="K7" s="331"/>
      <c r="L7" s="332"/>
      <c r="M7" s="333"/>
      <c r="N7" s="329"/>
      <c r="O7" s="330"/>
      <c r="P7" s="330"/>
      <c r="Q7" s="330"/>
      <c r="R7" s="330"/>
      <c r="S7" s="330"/>
      <c r="T7" s="330"/>
      <c r="U7" s="331"/>
      <c r="V7" s="327"/>
      <c r="W7" s="328"/>
      <c r="X7" s="329"/>
      <c r="Y7" s="330"/>
      <c r="Z7" s="330"/>
      <c r="AA7" s="330"/>
      <c r="AB7" s="330"/>
      <c r="AC7" s="330"/>
      <c r="AD7" s="330"/>
      <c r="AE7" s="331"/>
      <c r="AF7" s="327"/>
      <c r="AG7" s="328"/>
      <c r="AH7" s="329"/>
      <c r="AI7" s="330"/>
      <c r="AJ7" s="330"/>
      <c r="AK7" s="330"/>
      <c r="AL7" s="330"/>
      <c r="AM7" s="330"/>
      <c r="AN7" s="330"/>
      <c r="AO7" s="331"/>
      <c r="AP7" s="327"/>
      <c r="AQ7" s="328"/>
      <c r="AR7" s="329"/>
      <c r="AS7" s="330"/>
      <c r="AT7" s="330"/>
      <c r="AU7" s="330"/>
      <c r="AV7" s="330"/>
      <c r="AW7" s="330"/>
      <c r="AX7" s="330"/>
      <c r="AY7" s="331"/>
      <c r="AZ7" s="334"/>
      <c r="BA7" s="328"/>
      <c r="BB7" s="329"/>
      <c r="BC7" s="330"/>
      <c r="BD7" s="330"/>
      <c r="BE7" s="330"/>
      <c r="BF7" s="330"/>
      <c r="BG7" s="330"/>
      <c r="BH7" s="330"/>
      <c r="BI7" s="331"/>
      <c r="BJ7" s="334"/>
      <c r="BK7" s="328"/>
      <c r="BL7" s="329"/>
      <c r="BM7" s="330"/>
      <c r="BN7" s="330"/>
      <c r="BO7" s="330"/>
      <c r="BP7" s="330"/>
      <c r="BQ7" s="330"/>
      <c r="BR7" s="330"/>
      <c r="BS7" s="331"/>
      <c r="BT7" s="334"/>
      <c r="BU7" s="328"/>
      <c r="BV7" s="329"/>
      <c r="BW7" s="330"/>
      <c r="BX7" s="330"/>
      <c r="BY7" s="330"/>
      <c r="BZ7" s="330"/>
      <c r="CA7" s="330"/>
      <c r="CB7" s="330"/>
      <c r="CC7" s="331"/>
    </row>
    <row r="8" spans="1:87" s="338" customFormat="1" ht="15.95" customHeight="1" x14ac:dyDescent="0.3">
      <c r="A8" s="335" t="s">
        <v>112</v>
      </c>
      <c r="B8" s="327"/>
      <c r="C8" s="328"/>
      <c r="D8" s="328"/>
      <c r="E8" s="330"/>
      <c r="F8" s="330"/>
      <c r="G8" s="330"/>
      <c r="H8" s="330"/>
      <c r="I8" s="330"/>
      <c r="J8" s="330"/>
      <c r="K8" s="331"/>
      <c r="L8" s="336"/>
      <c r="M8" s="337"/>
      <c r="N8" s="328"/>
      <c r="O8" s="330"/>
      <c r="P8" s="330"/>
      <c r="Q8" s="330"/>
      <c r="R8" s="330"/>
      <c r="S8" s="330"/>
      <c r="T8" s="330"/>
      <c r="U8" s="331"/>
      <c r="V8" s="327"/>
      <c r="W8" s="328"/>
      <c r="X8" s="328"/>
      <c r="Y8" s="330"/>
      <c r="Z8" s="330"/>
      <c r="AA8" s="330"/>
      <c r="AB8" s="330"/>
      <c r="AC8" s="330"/>
      <c r="AD8" s="330"/>
      <c r="AE8" s="331"/>
      <c r="AF8" s="327"/>
      <c r="AG8" s="328"/>
      <c r="AH8" s="328"/>
      <c r="AI8" s="330"/>
      <c r="AJ8" s="330"/>
      <c r="AK8" s="330"/>
      <c r="AL8" s="330"/>
      <c r="AM8" s="330"/>
      <c r="AN8" s="330"/>
      <c r="AO8" s="331"/>
      <c r="AP8" s="327"/>
      <c r="AQ8" s="328"/>
      <c r="AR8" s="328"/>
      <c r="AS8" s="330"/>
      <c r="AT8" s="330"/>
      <c r="AU8" s="330"/>
      <c r="AV8" s="330"/>
      <c r="AW8" s="330"/>
      <c r="AX8" s="330"/>
      <c r="AY8" s="331"/>
      <c r="AZ8" s="334"/>
      <c r="BA8" s="328"/>
      <c r="BB8" s="328"/>
      <c r="BC8" s="330"/>
      <c r="BD8" s="330"/>
      <c r="BE8" s="330"/>
      <c r="BF8" s="330"/>
      <c r="BG8" s="330"/>
      <c r="BH8" s="330"/>
      <c r="BI8" s="331"/>
      <c r="BJ8" s="334"/>
      <c r="BK8" s="328"/>
      <c r="BL8" s="328"/>
      <c r="BM8" s="330"/>
      <c r="BN8" s="330"/>
      <c r="BO8" s="330"/>
      <c r="BP8" s="330"/>
      <c r="BQ8" s="330"/>
      <c r="BR8" s="330"/>
      <c r="BS8" s="331"/>
      <c r="BT8" s="334"/>
      <c r="BU8" s="328"/>
      <c r="BV8" s="328"/>
      <c r="BW8" s="330"/>
      <c r="BX8" s="330"/>
      <c r="BY8" s="330"/>
      <c r="BZ8" s="330"/>
      <c r="CA8" s="330"/>
      <c r="CB8" s="330"/>
      <c r="CC8" s="331"/>
    </row>
    <row r="9" spans="1:87" s="340" customFormat="1" ht="15.95" customHeight="1" x14ac:dyDescent="0.2">
      <c r="A9" s="339"/>
      <c r="B9" s="327"/>
      <c r="C9" s="328"/>
      <c r="D9" s="328"/>
      <c r="E9" s="330"/>
      <c r="F9" s="330"/>
      <c r="G9" s="330"/>
      <c r="H9" s="330"/>
      <c r="I9" s="330"/>
      <c r="J9" s="330"/>
      <c r="K9" s="331"/>
      <c r="L9" s="327"/>
      <c r="M9" s="328"/>
      <c r="N9" s="328"/>
      <c r="O9" s="330"/>
      <c r="P9" s="330"/>
      <c r="Q9" s="330"/>
      <c r="R9" s="330"/>
      <c r="S9" s="330"/>
      <c r="T9" s="330"/>
      <c r="U9" s="331"/>
      <c r="V9" s="327"/>
      <c r="W9" s="328"/>
      <c r="X9" s="328"/>
      <c r="Y9" s="330"/>
      <c r="Z9" s="330"/>
      <c r="AA9" s="330"/>
      <c r="AB9" s="330"/>
      <c r="AC9" s="330"/>
      <c r="AD9" s="330"/>
      <c r="AE9" s="331"/>
      <c r="AF9" s="327"/>
      <c r="AG9" s="328"/>
      <c r="AH9" s="328"/>
      <c r="AI9" s="330"/>
      <c r="AJ9" s="330"/>
      <c r="AK9" s="330"/>
      <c r="AL9" s="330"/>
      <c r="AM9" s="330"/>
      <c r="AN9" s="330"/>
      <c r="AO9" s="331"/>
      <c r="AP9" s="327"/>
      <c r="AQ9" s="328"/>
      <c r="AR9" s="328"/>
      <c r="AS9" s="330"/>
      <c r="AT9" s="330"/>
      <c r="AU9" s="330"/>
      <c r="AV9" s="330"/>
      <c r="AW9" s="330"/>
      <c r="AX9" s="330"/>
      <c r="AY9" s="331"/>
      <c r="AZ9" s="334"/>
      <c r="BA9" s="328"/>
      <c r="BB9" s="328"/>
      <c r="BC9" s="330"/>
      <c r="BD9" s="330"/>
      <c r="BE9" s="330"/>
      <c r="BF9" s="330"/>
      <c r="BG9" s="330"/>
      <c r="BH9" s="330"/>
      <c r="BI9" s="331"/>
      <c r="BJ9" s="334"/>
      <c r="BK9" s="328"/>
      <c r="BL9" s="328"/>
      <c r="BM9" s="330"/>
      <c r="BN9" s="330"/>
      <c r="BO9" s="330"/>
      <c r="BP9" s="330"/>
      <c r="BQ9" s="330"/>
      <c r="BR9" s="330"/>
      <c r="BS9" s="331"/>
      <c r="BT9" s="334"/>
      <c r="BU9" s="328"/>
      <c r="BV9" s="328"/>
      <c r="BW9" s="330"/>
      <c r="BX9" s="330"/>
      <c r="BY9" s="330"/>
      <c r="BZ9" s="330"/>
      <c r="CA9" s="330"/>
      <c r="CB9" s="330"/>
      <c r="CC9" s="331"/>
    </row>
    <row r="10" spans="1:87" s="340" customFormat="1" ht="15.95" customHeight="1" x14ac:dyDescent="0.2">
      <c r="A10" s="341" t="s">
        <v>113</v>
      </c>
      <c r="B10" s="327"/>
      <c r="C10" s="328"/>
      <c r="D10" s="328"/>
      <c r="E10" s="330"/>
      <c r="F10" s="330"/>
      <c r="G10" s="330"/>
      <c r="H10" s="330"/>
      <c r="I10" s="330"/>
      <c r="J10" s="330"/>
      <c r="K10" s="331"/>
      <c r="L10" s="327"/>
      <c r="M10" s="328"/>
      <c r="N10" s="328"/>
      <c r="O10" s="330"/>
      <c r="P10" s="330"/>
      <c r="Q10" s="330"/>
      <c r="R10" s="330"/>
      <c r="S10" s="330"/>
      <c r="T10" s="330"/>
      <c r="U10" s="331"/>
      <c r="V10" s="327"/>
      <c r="W10" s="328"/>
      <c r="X10" s="328"/>
      <c r="Y10" s="330"/>
      <c r="Z10" s="330"/>
      <c r="AA10" s="330"/>
      <c r="AB10" s="330"/>
      <c r="AC10" s="330"/>
      <c r="AD10" s="330"/>
      <c r="AE10" s="331"/>
      <c r="AF10" s="327"/>
      <c r="AG10" s="328"/>
      <c r="AH10" s="328"/>
      <c r="AI10" s="330"/>
      <c r="AJ10" s="330"/>
      <c r="AK10" s="330"/>
      <c r="AL10" s="330"/>
      <c r="AM10" s="330"/>
      <c r="AN10" s="330"/>
      <c r="AO10" s="331"/>
      <c r="AP10" s="327"/>
      <c r="AQ10" s="328"/>
      <c r="AR10" s="328"/>
      <c r="AS10" s="330"/>
      <c r="AT10" s="330"/>
      <c r="AU10" s="330"/>
      <c r="AV10" s="330"/>
      <c r="AW10" s="330"/>
      <c r="AX10" s="330"/>
      <c r="AY10" s="331"/>
      <c r="AZ10" s="334"/>
      <c r="BA10" s="328"/>
      <c r="BB10" s="328"/>
      <c r="BC10" s="330"/>
      <c r="BD10" s="330"/>
      <c r="BE10" s="330"/>
      <c r="BF10" s="330"/>
      <c r="BG10" s="330"/>
      <c r="BH10" s="330"/>
      <c r="BI10" s="331"/>
      <c r="BJ10" s="334"/>
      <c r="BK10" s="328"/>
      <c r="BL10" s="328"/>
      <c r="BM10" s="330"/>
      <c r="BN10" s="330"/>
      <c r="BO10" s="330"/>
      <c r="BP10" s="330"/>
      <c r="BQ10" s="330"/>
      <c r="BR10" s="330"/>
      <c r="BS10" s="331"/>
      <c r="BT10" s="334"/>
      <c r="BU10" s="328"/>
      <c r="BV10" s="328"/>
      <c r="BW10" s="330"/>
      <c r="BX10" s="330"/>
      <c r="BY10" s="330"/>
      <c r="BZ10" s="330"/>
      <c r="CA10" s="330"/>
      <c r="CB10" s="330"/>
      <c r="CC10" s="331"/>
    </row>
    <row r="11" spans="1:87" s="340" customFormat="1" ht="15.95" customHeight="1" x14ac:dyDescent="0.2">
      <c r="A11" s="342" t="s">
        <v>114</v>
      </c>
      <c r="B11" s="327"/>
      <c r="C11" s="328">
        <f t="shared" ref="C11:C12" si="0">SUM(E11:I11)</f>
        <v>0</v>
      </c>
      <c r="D11" s="328">
        <f t="shared" ref="D11:D20" si="1">IFERROR(C11/B11,0)</f>
        <v>0</v>
      </c>
      <c r="E11" s="330"/>
      <c r="F11" s="330"/>
      <c r="G11" s="330"/>
      <c r="H11" s="330"/>
      <c r="I11" s="330"/>
      <c r="J11" s="330"/>
      <c r="K11" s="331">
        <f t="shared" ref="K11:K27" si="2">IF(J11=0,0,(IF(E11&lt;=J11,E11,J11)))</f>
        <v>0</v>
      </c>
      <c r="L11" s="327">
        <v>33</v>
      </c>
      <c r="M11" s="328">
        <f t="shared" ref="M11:M20" si="3">SUM(O11:S11)</f>
        <v>45008</v>
      </c>
      <c r="N11" s="328">
        <f t="shared" ref="N11:N20" si="4">IFERROR(M11/L11,0)</f>
        <v>1363.878787878788</v>
      </c>
      <c r="O11" s="330"/>
      <c r="P11" s="330"/>
      <c r="Q11" s="330">
        <v>45008</v>
      </c>
      <c r="R11" s="330"/>
      <c r="S11" s="330"/>
      <c r="T11" s="330">
        <v>45008</v>
      </c>
      <c r="U11" s="331">
        <f t="shared" ref="U11:U27" si="5">IF(T11=0,0,(IF(O11&lt;=T11,O11,T11)))</f>
        <v>0</v>
      </c>
      <c r="V11" s="343">
        <v>65</v>
      </c>
      <c r="W11" s="328">
        <f t="shared" ref="W11:W20" si="6">SUM(Y11:AC11)</f>
        <v>101077</v>
      </c>
      <c r="X11" s="328">
        <f t="shared" ref="X11:X20" si="7">IFERROR(W11/V11,0)</f>
        <v>1555.0307692307692</v>
      </c>
      <c r="Y11" s="330"/>
      <c r="Z11" s="330"/>
      <c r="AA11" s="330">
        <v>101077</v>
      </c>
      <c r="AB11" s="330"/>
      <c r="AC11" s="330"/>
      <c r="AD11" s="330">
        <v>101077</v>
      </c>
      <c r="AE11" s="331">
        <f t="shared" ref="AE11:AE27" si="8">IF(AD11=0,0,(IF(Y11&lt;=AD11,Y11,AD11)))</f>
        <v>0</v>
      </c>
      <c r="AF11" s="343">
        <v>123</v>
      </c>
      <c r="AG11" s="328">
        <f t="shared" ref="AG11:AG20" si="9">SUM(AI11:AM11)</f>
        <v>445012</v>
      </c>
      <c r="AH11" s="328">
        <f t="shared" ref="AH11:AH20" si="10">IFERROR(AG11/AF11,0)</f>
        <v>3617.9837398373984</v>
      </c>
      <c r="AI11" s="330"/>
      <c r="AJ11" s="330"/>
      <c r="AK11" s="330">
        <v>445012</v>
      </c>
      <c r="AL11" s="330"/>
      <c r="AM11" s="330"/>
      <c r="AN11" s="330">
        <v>445012</v>
      </c>
      <c r="AO11" s="331">
        <f t="shared" ref="AO11:AO27" si="11">IF(AN11=0,0,(IF(AI11&lt;=AN11,AI11,AN11)))</f>
        <v>0</v>
      </c>
      <c r="AP11" s="343">
        <v>118</v>
      </c>
      <c r="AQ11" s="328">
        <f t="shared" ref="AQ11:AQ20" si="12">SUM(AS11:AW11)</f>
        <v>555091</v>
      </c>
      <c r="AR11" s="328">
        <f t="shared" ref="AR11:AR20" si="13">IFERROR(AQ11/AP11,0)</f>
        <v>4704.1610169491523</v>
      </c>
      <c r="AS11" s="330"/>
      <c r="AT11" s="330"/>
      <c r="AU11" s="330">
        <v>555091</v>
      </c>
      <c r="AV11" s="330"/>
      <c r="AW11" s="330"/>
      <c r="AX11" s="330">
        <v>555091</v>
      </c>
      <c r="AY11" s="331">
        <f t="shared" ref="AY11:AY27" si="14">IF(AX11=0,0,(IF(AS11&lt;=AX11,AS11,AX11)))</f>
        <v>0</v>
      </c>
      <c r="AZ11" s="334">
        <v>217</v>
      </c>
      <c r="BA11" s="328">
        <f t="shared" ref="BA11:BA20" si="15">SUM(BC11:BG11)</f>
        <v>527032</v>
      </c>
      <c r="BB11" s="328">
        <f t="shared" ref="BB11:BB20" si="16">IFERROR(BA11/AZ11,0)</f>
        <v>2428.7188940092165</v>
      </c>
      <c r="BC11" s="330"/>
      <c r="BD11" s="330"/>
      <c r="BE11" s="330">
        <v>527032</v>
      </c>
      <c r="BF11" s="330"/>
      <c r="BG11" s="330"/>
      <c r="BH11" s="330">
        <v>527032</v>
      </c>
      <c r="BI11" s="331">
        <f t="shared" ref="BI11:BI27" si="17">IF(BH11=0,0,(IF(BC11&lt;=BH11,BC11,BH11)))</f>
        <v>0</v>
      </c>
      <c r="BJ11" s="334">
        <v>96</v>
      </c>
      <c r="BK11" s="328">
        <f t="shared" ref="BK11:BK43" si="18">SUM(BM11:BQ11)</f>
        <v>410751</v>
      </c>
      <c r="BL11" s="328">
        <f t="shared" ref="BL11:BL43" si="19">IFERROR(BK11/BJ11,0)</f>
        <v>4278.65625</v>
      </c>
      <c r="BM11" s="330"/>
      <c r="BN11" s="330"/>
      <c r="BO11" s="330">
        <v>410751</v>
      </c>
      <c r="BP11" s="330"/>
      <c r="BQ11" s="330"/>
      <c r="BR11" s="330">
        <v>410751</v>
      </c>
      <c r="BS11" s="331">
        <f t="shared" ref="BS11:BS43" si="20">IF(BR11=0,0,(IF(BM11&lt;=BR11,BM11,BR11)))</f>
        <v>0</v>
      </c>
      <c r="BT11" s="344">
        <v>118</v>
      </c>
      <c r="BU11" s="328">
        <f t="shared" ref="BU11" si="21">SUM(BW11:CA11)</f>
        <v>498002</v>
      </c>
      <c r="BV11" s="328">
        <f t="shared" ref="BV11" si="22">IFERROR(BU11/BT11,0)</f>
        <v>4220.3559322033898</v>
      </c>
      <c r="BW11" s="345"/>
      <c r="BX11" s="345"/>
      <c r="BY11" s="345">
        <v>498002</v>
      </c>
      <c r="BZ11" s="345"/>
      <c r="CA11" s="345"/>
      <c r="CB11" s="345">
        <v>498002</v>
      </c>
      <c r="CC11" s="402">
        <f t="shared" ref="CC11:CC43" si="23">IF(CB11=0,0,(IF(BW11&lt;=CB11,BW11,CB11)))</f>
        <v>0</v>
      </c>
    </row>
    <row r="12" spans="1:87" s="340" customFormat="1" ht="15.95" customHeight="1" x14ac:dyDescent="0.2">
      <c r="A12" s="342" t="s">
        <v>115</v>
      </c>
      <c r="B12" s="327"/>
      <c r="C12" s="328">
        <f t="shared" si="0"/>
        <v>0</v>
      </c>
      <c r="D12" s="328">
        <f t="shared" si="1"/>
        <v>0</v>
      </c>
      <c r="E12" s="330"/>
      <c r="F12" s="330"/>
      <c r="G12" s="330"/>
      <c r="H12" s="330"/>
      <c r="I12" s="330"/>
      <c r="J12" s="330"/>
      <c r="K12" s="331">
        <f t="shared" si="2"/>
        <v>0</v>
      </c>
      <c r="L12" s="327"/>
      <c r="M12" s="328">
        <f t="shared" si="3"/>
        <v>-247645</v>
      </c>
      <c r="N12" s="328">
        <f t="shared" si="4"/>
        <v>0</v>
      </c>
      <c r="O12" s="330">
        <v>-247645</v>
      </c>
      <c r="P12" s="330"/>
      <c r="Q12" s="330"/>
      <c r="R12" s="330"/>
      <c r="S12" s="330"/>
      <c r="T12" s="330">
        <v>-247645</v>
      </c>
      <c r="U12" s="331">
        <f t="shared" si="5"/>
        <v>-247645</v>
      </c>
      <c r="V12" s="343"/>
      <c r="W12" s="328">
        <f t="shared" si="6"/>
        <v>0</v>
      </c>
      <c r="X12" s="328">
        <f t="shared" si="7"/>
        <v>0</v>
      </c>
      <c r="Y12" s="330"/>
      <c r="Z12" s="330"/>
      <c r="AA12" s="330"/>
      <c r="AB12" s="330"/>
      <c r="AC12" s="330"/>
      <c r="AD12" s="330"/>
      <c r="AE12" s="331">
        <f t="shared" si="8"/>
        <v>0</v>
      </c>
      <c r="AF12" s="343"/>
      <c r="AG12" s="328">
        <f t="shared" si="9"/>
        <v>3905</v>
      </c>
      <c r="AH12" s="328">
        <f t="shared" si="10"/>
        <v>0</v>
      </c>
      <c r="AI12" s="330">
        <v>3905</v>
      </c>
      <c r="AJ12" s="330"/>
      <c r="AK12" s="330"/>
      <c r="AL12" s="330"/>
      <c r="AM12" s="330"/>
      <c r="AN12" s="330"/>
      <c r="AO12" s="331">
        <f t="shared" si="11"/>
        <v>0</v>
      </c>
      <c r="AP12" s="343"/>
      <c r="AQ12" s="328">
        <f t="shared" si="12"/>
        <v>0</v>
      </c>
      <c r="AR12" s="328">
        <f t="shared" si="13"/>
        <v>0</v>
      </c>
      <c r="AS12" s="330"/>
      <c r="AT12" s="330"/>
      <c r="AU12" s="330"/>
      <c r="AV12" s="330"/>
      <c r="AW12" s="330"/>
      <c r="AX12" s="330"/>
      <c r="AY12" s="331">
        <f t="shared" si="14"/>
        <v>0</v>
      </c>
      <c r="AZ12" s="334"/>
      <c r="BA12" s="328">
        <f t="shared" si="15"/>
        <v>0</v>
      </c>
      <c r="BB12" s="328">
        <f t="shared" si="16"/>
        <v>0</v>
      </c>
      <c r="BC12" s="330"/>
      <c r="BD12" s="330"/>
      <c r="BE12" s="330"/>
      <c r="BF12" s="330"/>
      <c r="BG12" s="330"/>
      <c r="BH12" s="330"/>
      <c r="BI12" s="331">
        <f t="shared" si="17"/>
        <v>0</v>
      </c>
      <c r="BJ12" s="334"/>
      <c r="BK12" s="328">
        <f t="shared" si="18"/>
        <v>0</v>
      </c>
      <c r="BL12" s="328">
        <f t="shared" si="19"/>
        <v>0</v>
      </c>
      <c r="BM12" s="330"/>
      <c r="BN12" s="330"/>
      <c r="BO12" s="330"/>
      <c r="BP12" s="330"/>
      <c r="BQ12" s="330"/>
      <c r="BR12" s="330"/>
      <c r="BS12" s="331">
        <f t="shared" si="20"/>
        <v>0</v>
      </c>
      <c r="BT12" s="344"/>
      <c r="BU12" s="328">
        <f t="shared" ref="BU12:BU43" si="24">SUM(BW12:CA12)</f>
        <v>0</v>
      </c>
      <c r="BV12" s="328">
        <f t="shared" ref="BV12:BV43" si="25">IFERROR(BU12/BT12,0)</f>
        <v>0</v>
      </c>
      <c r="BW12" s="345"/>
      <c r="BX12" s="345"/>
      <c r="BY12" s="345"/>
      <c r="BZ12" s="345"/>
      <c r="CA12" s="345"/>
      <c r="CB12" s="345"/>
      <c r="CC12" s="402">
        <f t="shared" si="23"/>
        <v>0</v>
      </c>
    </row>
    <row r="13" spans="1:87" s="340" customFormat="1" ht="15.95" customHeight="1" x14ac:dyDescent="0.2">
      <c r="A13" s="342" t="s">
        <v>116</v>
      </c>
      <c r="B13" s="327">
        <v>3</v>
      </c>
      <c r="C13" s="328">
        <f t="shared" ref="C13:C20" si="26">SUM(E13:I13)</f>
        <v>1750</v>
      </c>
      <c r="D13" s="328">
        <f t="shared" si="1"/>
        <v>583.33333333333337</v>
      </c>
      <c r="E13" s="330"/>
      <c r="F13" s="330"/>
      <c r="G13" s="330"/>
      <c r="H13" s="330">
        <v>1750</v>
      </c>
      <c r="I13" s="330"/>
      <c r="J13" s="330">
        <v>1750</v>
      </c>
      <c r="K13" s="331">
        <f t="shared" si="2"/>
        <v>0</v>
      </c>
      <c r="L13" s="327">
        <v>25</v>
      </c>
      <c r="M13" s="328">
        <f t="shared" si="3"/>
        <v>16100</v>
      </c>
      <c r="N13" s="328">
        <f t="shared" si="4"/>
        <v>644</v>
      </c>
      <c r="O13" s="330"/>
      <c r="P13" s="330"/>
      <c r="Q13" s="330"/>
      <c r="R13" s="330">
        <v>16100</v>
      </c>
      <c r="S13" s="330"/>
      <c r="T13" s="330">
        <v>16100</v>
      </c>
      <c r="U13" s="331">
        <f t="shared" si="5"/>
        <v>0</v>
      </c>
      <c r="V13" s="343">
        <v>21</v>
      </c>
      <c r="W13" s="328">
        <f t="shared" si="6"/>
        <v>14267</v>
      </c>
      <c r="X13" s="328">
        <f t="shared" si="7"/>
        <v>679.38095238095241</v>
      </c>
      <c r="Y13" s="330"/>
      <c r="Z13" s="330"/>
      <c r="AA13" s="330"/>
      <c r="AB13" s="330">
        <v>14267</v>
      </c>
      <c r="AC13" s="330"/>
      <c r="AD13" s="330">
        <v>14267</v>
      </c>
      <c r="AE13" s="331">
        <f t="shared" si="8"/>
        <v>0</v>
      </c>
      <c r="AF13" s="343">
        <v>13</v>
      </c>
      <c r="AG13" s="328">
        <f t="shared" si="9"/>
        <v>10709</v>
      </c>
      <c r="AH13" s="328">
        <f t="shared" si="10"/>
        <v>823.76923076923072</v>
      </c>
      <c r="AI13" s="330"/>
      <c r="AJ13" s="330"/>
      <c r="AK13" s="330"/>
      <c r="AL13" s="330">
        <v>10709</v>
      </c>
      <c r="AM13" s="330"/>
      <c r="AN13" s="330">
        <v>10709</v>
      </c>
      <c r="AO13" s="331">
        <f t="shared" si="11"/>
        <v>0</v>
      </c>
      <c r="AP13" s="343">
        <v>17</v>
      </c>
      <c r="AQ13" s="328">
        <f t="shared" si="12"/>
        <v>20281</v>
      </c>
      <c r="AR13" s="328">
        <f t="shared" si="13"/>
        <v>1193</v>
      </c>
      <c r="AS13" s="330"/>
      <c r="AT13" s="330"/>
      <c r="AU13" s="330"/>
      <c r="AV13" s="330">
        <v>20281</v>
      </c>
      <c r="AW13" s="330"/>
      <c r="AX13" s="330">
        <v>18781</v>
      </c>
      <c r="AY13" s="331">
        <f t="shared" si="14"/>
        <v>0</v>
      </c>
      <c r="AZ13" s="334">
        <v>1</v>
      </c>
      <c r="BA13" s="328">
        <f t="shared" si="15"/>
        <v>500</v>
      </c>
      <c r="BB13" s="328">
        <f t="shared" si="16"/>
        <v>500</v>
      </c>
      <c r="BC13" s="330"/>
      <c r="BD13" s="330"/>
      <c r="BE13" s="330"/>
      <c r="BF13" s="330">
        <v>500</v>
      </c>
      <c r="BG13" s="330"/>
      <c r="BH13" s="330">
        <v>500</v>
      </c>
      <c r="BI13" s="331">
        <f t="shared" si="17"/>
        <v>0</v>
      </c>
      <c r="BJ13" s="334"/>
      <c r="BK13" s="328">
        <f t="shared" si="18"/>
        <v>0</v>
      </c>
      <c r="BL13" s="328">
        <f t="shared" si="19"/>
        <v>0</v>
      </c>
      <c r="BM13" s="330"/>
      <c r="BN13" s="330"/>
      <c r="BO13" s="330"/>
      <c r="BP13" s="330"/>
      <c r="BQ13" s="330"/>
      <c r="BR13" s="330"/>
      <c r="BS13" s="331">
        <f t="shared" si="20"/>
        <v>0</v>
      </c>
      <c r="BT13" s="344"/>
      <c r="BU13" s="328">
        <f t="shared" si="24"/>
        <v>0</v>
      </c>
      <c r="BV13" s="328">
        <f t="shared" si="25"/>
        <v>0</v>
      </c>
      <c r="BW13" s="345"/>
      <c r="BX13" s="345"/>
      <c r="BY13" s="345"/>
      <c r="BZ13" s="345"/>
      <c r="CA13" s="345"/>
      <c r="CB13" s="345"/>
      <c r="CC13" s="402">
        <f t="shared" si="23"/>
        <v>0</v>
      </c>
    </row>
    <row r="14" spans="1:87" s="340" customFormat="1" ht="15.95" customHeight="1" x14ac:dyDescent="0.2">
      <c r="A14" s="342" t="s">
        <v>117</v>
      </c>
      <c r="B14" s="327">
        <v>349</v>
      </c>
      <c r="C14" s="328">
        <f t="shared" si="26"/>
        <v>36469</v>
      </c>
      <c r="D14" s="328">
        <f t="shared" si="1"/>
        <v>104.49570200573066</v>
      </c>
      <c r="E14" s="330"/>
      <c r="F14" s="330"/>
      <c r="G14" s="330">
        <v>36469</v>
      </c>
      <c r="H14" s="330"/>
      <c r="I14" s="330"/>
      <c r="J14" s="330">
        <v>36469</v>
      </c>
      <c r="K14" s="331">
        <f t="shared" si="2"/>
        <v>0</v>
      </c>
      <c r="L14" s="327">
        <v>310</v>
      </c>
      <c r="M14" s="328">
        <f t="shared" si="3"/>
        <v>33437</v>
      </c>
      <c r="N14" s="328">
        <f t="shared" si="4"/>
        <v>107.86129032258064</v>
      </c>
      <c r="O14" s="330"/>
      <c r="P14" s="330"/>
      <c r="Q14" s="330">
        <v>33437</v>
      </c>
      <c r="R14" s="330"/>
      <c r="S14" s="330"/>
      <c r="T14" s="330">
        <v>33437</v>
      </c>
      <c r="U14" s="331">
        <f t="shared" si="5"/>
        <v>0</v>
      </c>
      <c r="V14" s="343">
        <v>275</v>
      </c>
      <c r="W14" s="328">
        <f t="shared" si="6"/>
        <v>27979</v>
      </c>
      <c r="X14" s="328">
        <f t="shared" si="7"/>
        <v>101.74181818181818</v>
      </c>
      <c r="Y14" s="330"/>
      <c r="Z14" s="330"/>
      <c r="AA14" s="330">
        <v>27979</v>
      </c>
      <c r="AB14" s="330"/>
      <c r="AC14" s="330"/>
      <c r="AD14" s="330">
        <v>27979</v>
      </c>
      <c r="AE14" s="331">
        <f t="shared" si="8"/>
        <v>0</v>
      </c>
      <c r="AF14" s="343">
        <v>217</v>
      </c>
      <c r="AG14" s="328">
        <f t="shared" si="9"/>
        <v>22279</v>
      </c>
      <c r="AH14" s="328">
        <f t="shared" si="10"/>
        <v>102.66820276497695</v>
      </c>
      <c r="AI14" s="330"/>
      <c r="AJ14" s="330"/>
      <c r="AK14" s="330">
        <v>22279</v>
      </c>
      <c r="AL14" s="330"/>
      <c r="AM14" s="330"/>
      <c r="AN14" s="330">
        <v>22279</v>
      </c>
      <c r="AO14" s="331">
        <f t="shared" si="11"/>
        <v>0</v>
      </c>
      <c r="AP14" s="343">
        <v>182</v>
      </c>
      <c r="AQ14" s="328">
        <f t="shared" si="12"/>
        <v>32468</v>
      </c>
      <c r="AR14" s="328">
        <f t="shared" si="13"/>
        <v>178.39560439560441</v>
      </c>
      <c r="AS14" s="330"/>
      <c r="AT14" s="330"/>
      <c r="AU14" s="330">
        <v>32468</v>
      </c>
      <c r="AV14" s="330"/>
      <c r="AW14" s="330"/>
      <c r="AX14" s="330">
        <v>32468</v>
      </c>
      <c r="AY14" s="331">
        <f t="shared" si="14"/>
        <v>0</v>
      </c>
      <c r="AZ14" s="334">
        <v>265</v>
      </c>
      <c r="BA14" s="328">
        <f t="shared" si="15"/>
        <v>36652</v>
      </c>
      <c r="BB14" s="328">
        <f t="shared" si="16"/>
        <v>138.30943396226414</v>
      </c>
      <c r="BC14" s="330"/>
      <c r="BD14" s="330"/>
      <c r="BE14" s="330">
        <v>36652</v>
      </c>
      <c r="BF14" s="330"/>
      <c r="BG14" s="330"/>
      <c r="BH14" s="330">
        <v>36652</v>
      </c>
      <c r="BI14" s="331">
        <f t="shared" si="17"/>
        <v>0</v>
      </c>
      <c r="BJ14" s="334">
        <v>389</v>
      </c>
      <c r="BK14" s="328">
        <f t="shared" si="18"/>
        <v>39534</v>
      </c>
      <c r="BL14" s="328">
        <f t="shared" si="19"/>
        <v>101.62982005141389</v>
      </c>
      <c r="BM14" s="330"/>
      <c r="BN14" s="330"/>
      <c r="BO14" s="330">
        <v>39534</v>
      </c>
      <c r="BP14" s="330"/>
      <c r="BQ14" s="330"/>
      <c r="BR14" s="330">
        <v>39534</v>
      </c>
      <c r="BS14" s="331">
        <f t="shared" si="20"/>
        <v>0</v>
      </c>
      <c r="BT14" s="344"/>
      <c r="BU14" s="328">
        <f t="shared" si="24"/>
        <v>0</v>
      </c>
      <c r="BV14" s="328">
        <f t="shared" si="25"/>
        <v>0</v>
      </c>
      <c r="BW14" s="345"/>
      <c r="BX14" s="345"/>
      <c r="BY14" s="345"/>
      <c r="BZ14" s="345"/>
      <c r="CA14" s="345"/>
      <c r="CB14" s="345"/>
      <c r="CC14" s="402">
        <f t="shared" si="23"/>
        <v>0</v>
      </c>
    </row>
    <row r="15" spans="1:87" s="340" customFormat="1" ht="15.95" customHeight="1" x14ac:dyDescent="0.2">
      <c r="A15" s="342" t="s">
        <v>118</v>
      </c>
      <c r="B15" s="327">
        <v>1376</v>
      </c>
      <c r="C15" s="328">
        <f t="shared" si="26"/>
        <v>756680</v>
      </c>
      <c r="D15" s="328">
        <f t="shared" si="1"/>
        <v>549.91279069767438</v>
      </c>
      <c r="E15" s="330">
        <v>756680</v>
      </c>
      <c r="F15" s="330"/>
      <c r="G15" s="330"/>
      <c r="H15" s="330"/>
      <c r="I15" s="330"/>
      <c r="J15" s="330">
        <v>756680</v>
      </c>
      <c r="K15" s="331">
        <f t="shared" si="2"/>
        <v>756680</v>
      </c>
      <c r="L15" s="327">
        <v>1073</v>
      </c>
      <c r="M15" s="328">
        <f t="shared" si="3"/>
        <v>645414</v>
      </c>
      <c r="N15" s="328">
        <f t="shared" si="4"/>
        <v>601.50419384902148</v>
      </c>
      <c r="O15" s="330">
        <v>645414</v>
      </c>
      <c r="P15" s="330"/>
      <c r="Q15" s="330"/>
      <c r="R15" s="330"/>
      <c r="S15" s="330"/>
      <c r="T15" s="330">
        <v>645414</v>
      </c>
      <c r="U15" s="331">
        <f t="shared" si="5"/>
        <v>645414</v>
      </c>
      <c r="V15" s="343">
        <v>1058</v>
      </c>
      <c r="W15" s="328">
        <f t="shared" si="6"/>
        <v>737766</v>
      </c>
      <c r="X15" s="328">
        <f t="shared" si="7"/>
        <v>697.32136105860116</v>
      </c>
      <c r="Y15" s="330">
        <v>737766</v>
      </c>
      <c r="Z15" s="330"/>
      <c r="AA15" s="330"/>
      <c r="AB15" s="330"/>
      <c r="AC15" s="330"/>
      <c r="AD15" s="330">
        <v>737766</v>
      </c>
      <c r="AE15" s="331">
        <f t="shared" si="8"/>
        <v>737766</v>
      </c>
      <c r="AF15" s="343">
        <v>221</v>
      </c>
      <c r="AG15" s="328">
        <f t="shared" si="9"/>
        <v>173233</v>
      </c>
      <c r="AH15" s="328">
        <f t="shared" si="10"/>
        <v>783.85972850678729</v>
      </c>
      <c r="AI15" s="330">
        <v>173233</v>
      </c>
      <c r="AJ15" s="330"/>
      <c r="AK15" s="330"/>
      <c r="AL15" s="330"/>
      <c r="AM15" s="330"/>
      <c r="AN15" s="330">
        <v>173233</v>
      </c>
      <c r="AO15" s="331">
        <f t="shared" si="11"/>
        <v>173233</v>
      </c>
      <c r="AP15" s="343">
        <v>143</v>
      </c>
      <c r="AQ15" s="328">
        <f t="shared" si="12"/>
        <v>114770</v>
      </c>
      <c r="AR15" s="328">
        <f t="shared" si="13"/>
        <v>802.58741258741259</v>
      </c>
      <c r="AS15" s="330">
        <v>114770</v>
      </c>
      <c r="AT15" s="330"/>
      <c r="AU15" s="330"/>
      <c r="AV15" s="330"/>
      <c r="AW15" s="330"/>
      <c r="AX15" s="330">
        <v>114770</v>
      </c>
      <c r="AY15" s="331">
        <f t="shared" si="14"/>
        <v>114770</v>
      </c>
      <c r="AZ15" s="334">
        <v>260</v>
      </c>
      <c r="BA15" s="328">
        <f t="shared" si="15"/>
        <v>126240</v>
      </c>
      <c r="BB15" s="328">
        <f t="shared" si="16"/>
        <v>485.53846153846155</v>
      </c>
      <c r="BC15" s="330">
        <v>126240</v>
      </c>
      <c r="BD15" s="330"/>
      <c r="BE15" s="330"/>
      <c r="BF15" s="330"/>
      <c r="BG15" s="330"/>
      <c r="BH15" s="330">
        <v>126240</v>
      </c>
      <c r="BI15" s="331">
        <f t="shared" si="17"/>
        <v>126240</v>
      </c>
      <c r="BJ15" s="334">
        <v>503</v>
      </c>
      <c r="BK15" s="328">
        <f t="shared" si="18"/>
        <v>721014</v>
      </c>
      <c r="BL15" s="328">
        <f t="shared" si="19"/>
        <v>1433.427435387674</v>
      </c>
      <c r="BM15" s="330">
        <v>721014</v>
      </c>
      <c r="BN15" s="330"/>
      <c r="BO15" s="330"/>
      <c r="BP15" s="330"/>
      <c r="BQ15" s="330"/>
      <c r="BR15" s="330">
        <v>721014</v>
      </c>
      <c r="BS15" s="331">
        <f t="shared" si="20"/>
        <v>721014</v>
      </c>
      <c r="BT15" s="344">
        <v>581</v>
      </c>
      <c r="BU15" s="328">
        <f t="shared" si="24"/>
        <v>1129125</v>
      </c>
      <c r="BV15" s="328">
        <f t="shared" si="25"/>
        <v>1943.4165232358002</v>
      </c>
      <c r="BW15" s="345">
        <v>1129125</v>
      </c>
      <c r="BX15" s="345"/>
      <c r="BY15" s="345"/>
      <c r="BZ15" s="345"/>
      <c r="CA15" s="345"/>
      <c r="CB15" s="345">
        <v>1129125</v>
      </c>
      <c r="CC15" s="402">
        <f t="shared" si="23"/>
        <v>1129125</v>
      </c>
    </row>
    <row r="16" spans="1:87" s="340" customFormat="1" ht="15.95" customHeight="1" x14ac:dyDescent="0.2">
      <c r="A16" s="342" t="s">
        <v>119</v>
      </c>
      <c r="B16" s="327">
        <v>53</v>
      </c>
      <c r="C16" s="328">
        <f t="shared" si="26"/>
        <v>32136</v>
      </c>
      <c r="D16" s="328">
        <f t="shared" si="1"/>
        <v>606.33962264150944</v>
      </c>
      <c r="E16" s="330"/>
      <c r="F16" s="330"/>
      <c r="G16" s="330"/>
      <c r="H16" s="330">
        <v>32136</v>
      </c>
      <c r="I16" s="330"/>
      <c r="J16" s="330">
        <v>32136</v>
      </c>
      <c r="K16" s="331">
        <f t="shared" si="2"/>
        <v>0</v>
      </c>
      <c r="L16" s="327">
        <v>0</v>
      </c>
      <c r="M16" s="328">
        <f t="shared" si="3"/>
        <v>0</v>
      </c>
      <c r="N16" s="328">
        <f t="shared" si="4"/>
        <v>0</v>
      </c>
      <c r="O16" s="330"/>
      <c r="P16" s="330"/>
      <c r="Q16" s="330"/>
      <c r="R16" s="330"/>
      <c r="S16" s="330"/>
      <c r="T16" s="330"/>
      <c r="U16" s="331">
        <f t="shared" si="5"/>
        <v>0</v>
      </c>
      <c r="V16" s="343"/>
      <c r="W16" s="328">
        <f t="shared" si="6"/>
        <v>0</v>
      </c>
      <c r="X16" s="328">
        <f t="shared" si="7"/>
        <v>0</v>
      </c>
      <c r="Y16" s="330"/>
      <c r="Z16" s="330"/>
      <c r="AA16" s="330"/>
      <c r="AB16" s="330"/>
      <c r="AC16" s="330"/>
      <c r="AD16" s="330"/>
      <c r="AE16" s="331">
        <f t="shared" si="8"/>
        <v>0</v>
      </c>
      <c r="AF16" s="343"/>
      <c r="AG16" s="328">
        <f t="shared" si="9"/>
        <v>0</v>
      </c>
      <c r="AH16" s="328">
        <f t="shared" si="10"/>
        <v>0</v>
      </c>
      <c r="AI16" s="330"/>
      <c r="AJ16" s="330"/>
      <c r="AK16" s="330"/>
      <c r="AL16" s="330"/>
      <c r="AM16" s="330"/>
      <c r="AN16" s="330"/>
      <c r="AO16" s="331">
        <f t="shared" si="11"/>
        <v>0</v>
      </c>
      <c r="AP16" s="343"/>
      <c r="AQ16" s="328">
        <f t="shared" si="12"/>
        <v>0</v>
      </c>
      <c r="AR16" s="328">
        <f t="shared" si="13"/>
        <v>0</v>
      </c>
      <c r="AS16" s="330"/>
      <c r="AT16" s="330"/>
      <c r="AU16" s="330"/>
      <c r="AV16" s="330"/>
      <c r="AW16" s="330"/>
      <c r="AX16" s="330"/>
      <c r="AY16" s="331">
        <f t="shared" si="14"/>
        <v>0</v>
      </c>
      <c r="AZ16" s="334"/>
      <c r="BA16" s="328">
        <f t="shared" si="15"/>
        <v>0</v>
      </c>
      <c r="BB16" s="328">
        <f t="shared" si="16"/>
        <v>0</v>
      </c>
      <c r="BC16" s="330"/>
      <c r="BD16" s="330"/>
      <c r="BE16" s="330"/>
      <c r="BF16" s="330"/>
      <c r="BG16" s="330"/>
      <c r="BH16" s="330"/>
      <c r="BI16" s="331">
        <f t="shared" si="17"/>
        <v>0</v>
      </c>
      <c r="BJ16" s="334"/>
      <c r="BK16" s="328">
        <f t="shared" si="18"/>
        <v>0</v>
      </c>
      <c r="BL16" s="328">
        <f t="shared" si="19"/>
        <v>0</v>
      </c>
      <c r="BM16" s="330"/>
      <c r="BN16" s="330"/>
      <c r="BO16" s="330"/>
      <c r="BP16" s="330"/>
      <c r="BQ16" s="330"/>
      <c r="BR16" s="330"/>
      <c r="BS16" s="331">
        <f t="shared" si="20"/>
        <v>0</v>
      </c>
      <c r="BT16" s="344"/>
      <c r="BU16" s="328">
        <f t="shared" si="24"/>
        <v>0</v>
      </c>
      <c r="BV16" s="328">
        <f t="shared" si="25"/>
        <v>0</v>
      </c>
      <c r="BW16" s="345"/>
      <c r="BX16" s="345"/>
      <c r="BY16" s="345"/>
      <c r="BZ16" s="345"/>
      <c r="CA16" s="345"/>
      <c r="CB16" s="345"/>
      <c r="CC16" s="402">
        <f t="shared" si="23"/>
        <v>0</v>
      </c>
    </row>
    <row r="17" spans="1:81" s="340" customFormat="1" ht="15.95" customHeight="1" x14ac:dyDescent="0.2">
      <c r="A17" s="342" t="s">
        <v>120</v>
      </c>
      <c r="B17" s="327">
        <v>8</v>
      </c>
      <c r="C17" s="328">
        <f t="shared" si="26"/>
        <v>5661</v>
      </c>
      <c r="D17" s="328">
        <f t="shared" si="1"/>
        <v>707.625</v>
      </c>
      <c r="E17" s="330"/>
      <c r="F17" s="330"/>
      <c r="G17" s="330"/>
      <c r="H17" s="330">
        <v>5661</v>
      </c>
      <c r="I17" s="330"/>
      <c r="J17" s="330">
        <v>5661</v>
      </c>
      <c r="K17" s="331">
        <f t="shared" si="2"/>
        <v>0</v>
      </c>
      <c r="L17" s="327">
        <v>0</v>
      </c>
      <c r="M17" s="328">
        <f t="shared" si="3"/>
        <v>0</v>
      </c>
      <c r="N17" s="328">
        <f t="shared" si="4"/>
        <v>0</v>
      </c>
      <c r="O17" s="330"/>
      <c r="P17" s="330"/>
      <c r="Q17" s="330"/>
      <c r="R17" s="330"/>
      <c r="S17" s="330"/>
      <c r="T17" s="330"/>
      <c r="U17" s="331">
        <f t="shared" si="5"/>
        <v>0</v>
      </c>
      <c r="V17" s="343"/>
      <c r="W17" s="328">
        <f t="shared" si="6"/>
        <v>0</v>
      </c>
      <c r="X17" s="328">
        <f t="shared" si="7"/>
        <v>0</v>
      </c>
      <c r="Y17" s="330"/>
      <c r="Z17" s="330"/>
      <c r="AA17" s="330"/>
      <c r="AB17" s="330"/>
      <c r="AC17" s="330"/>
      <c r="AD17" s="330"/>
      <c r="AE17" s="331">
        <f t="shared" si="8"/>
        <v>0</v>
      </c>
      <c r="AF17" s="343"/>
      <c r="AG17" s="328">
        <f t="shared" si="9"/>
        <v>0</v>
      </c>
      <c r="AH17" s="328">
        <f t="shared" si="10"/>
        <v>0</v>
      </c>
      <c r="AI17" s="330"/>
      <c r="AJ17" s="330"/>
      <c r="AK17" s="330"/>
      <c r="AL17" s="330"/>
      <c r="AM17" s="330"/>
      <c r="AN17" s="330"/>
      <c r="AO17" s="331">
        <f t="shared" si="11"/>
        <v>0</v>
      </c>
      <c r="AP17" s="343"/>
      <c r="AQ17" s="328">
        <f t="shared" si="12"/>
        <v>0</v>
      </c>
      <c r="AR17" s="328">
        <f t="shared" si="13"/>
        <v>0</v>
      </c>
      <c r="AS17" s="330"/>
      <c r="AT17" s="330"/>
      <c r="AU17" s="330"/>
      <c r="AV17" s="330"/>
      <c r="AW17" s="330"/>
      <c r="AX17" s="330"/>
      <c r="AY17" s="331">
        <f t="shared" si="14"/>
        <v>0</v>
      </c>
      <c r="AZ17" s="334"/>
      <c r="BA17" s="328">
        <f t="shared" si="15"/>
        <v>0</v>
      </c>
      <c r="BB17" s="328">
        <f t="shared" si="16"/>
        <v>0</v>
      </c>
      <c r="BC17" s="330"/>
      <c r="BD17" s="330"/>
      <c r="BE17" s="330"/>
      <c r="BF17" s="330"/>
      <c r="BG17" s="330"/>
      <c r="BH17" s="330"/>
      <c r="BI17" s="331">
        <f t="shared" si="17"/>
        <v>0</v>
      </c>
      <c r="BJ17" s="334"/>
      <c r="BK17" s="328">
        <f t="shared" si="18"/>
        <v>0</v>
      </c>
      <c r="BL17" s="328">
        <f t="shared" si="19"/>
        <v>0</v>
      </c>
      <c r="BM17" s="330"/>
      <c r="BN17" s="330"/>
      <c r="BO17" s="330"/>
      <c r="BP17" s="330"/>
      <c r="BQ17" s="330"/>
      <c r="BR17" s="330"/>
      <c r="BS17" s="331">
        <f t="shared" si="20"/>
        <v>0</v>
      </c>
      <c r="BT17" s="344"/>
      <c r="BU17" s="328">
        <f t="shared" si="24"/>
        <v>0</v>
      </c>
      <c r="BV17" s="328">
        <f t="shared" si="25"/>
        <v>0</v>
      </c>
      <c r="BW17" s="345"/>
      <c r="BX17" s="345"/>
      <c r="BY17" s="345"/>
      <c r="BZ17" s="345"/>
      <c r="CA17" s="345"/>
      <c r="CB17" s="345"/>
      <c r="CC17" s="402">
        <f t="shared" si="23"/>
        <v>0</v>
      </c>
    </row>
    <row r="18" spans="1:81" s="340" customFormat="1" ht="15.95" customHeight="1" x14ac:dyDescent="0.2">
      <c r="A18" s="342" t="s">
        <v>121</v>
      </c>
      <c r="B18" s="327">
        <v>97</v>
      </c>
      <c r="C18" s="328">
        <f t="shared" si="26"/>
        <v>84044</v>
      </c>
      <c r="D18" s="328">
        <f t="shared" si="1"/>
        <v>866.43298969072168</v>
      </c>
      <c r="E18" s="330">
        <v>84044</v>
      </c>
      <c r="F18" s="330"/>
      <c r="G18" s="330"/>
      <c r="H18" s="330"/>
      <c r="I18" s="330"/>
      <c r="J18" s="330">
        <v>83980</v>
      </c>
      <c r="K18" s="331">
        <f t="shared" si="2"/>
        <v>83980</v>
      </c>
      <c r="L18" s="327">
        <v>67</v>
      </c>
      <c r="M18" s="328">
        <f t="shared" si="3"/>
        <v>51099</v>
      </c>
      <c r="N18" s="328">
        <f t="shared" si="4"/>
        <v>762.67164179104475</v>
      </c>
      <c r="O18" s="330">
        <v>51099</v>
      </c>
      <c r="P18" s="330"/>
      <c r="Q18" s="330"/>
      <c r="R18" s="330"/>
      <c r="S18" s="330"/>
      <c r="T18" s="330">
        <v>44162</v>
      </c>
      <c r="U18" s="331">
        <f t="shared" si="5"/>
        <v>44162</v>
      </c>
      <c r="V18" s="343">
        <v>43</v>
      </c>
      <c r="W18" s="328">
        <f t="shared" si="6"/>
        <v>19453</v>
      </c>
      <c r="X18" s="328">
        <f t="shared" si="7"/>
        <v>452.39534883720933</v>
      </c>
      <c r="Y18" s="330">
        <v>19453</v>
      </c>
      <c r="Z18" s="330"/>
      <c r="AA18" s="330"/>
      <c r="AB18" s="330"/>
      <c r="AC18" s="330"/>
      <c r="AD18" s="330">
        <v>18139</v>
      </c>
      <c r="AE18" s="331">
        <f t="shared" si="8"/>
        <v>18139</v>
      </c>
      <c r="AF18" s="343">
        <v>37</v>
      </c>
      <c r="AG18" s="328">
        <f t="shared" si="9"/>
        <v>20698</v>
      </c>
      <c r="AH18" s="328">
        <f t="shared" si="10"/>
        <v>559.40540540540542</v>
      </c>
      <c r="AI18" s="330">
        <v>20698</v>
      </c>
      <c r="AJ18" s="330"/>
      <c r="AK18" s="330"/>
      <c r="AL18" s="330"/>
      <c r="AM18" s="330"/>
      <c r="AN18" s="330">
        <v>20092</v>
      </c>
      <c r="AO18" s="331">
        <f t="shared" si="11"/>
        <v>20092</v>
      </c>
      <c r="AP18" s="343">
        <v>65</v>
      </c>
      <c r="AQ18" s="328">
        <f t="shared" si="12"/>
        <v>41017</v>
      </c>
      <c r="AR18" s="328">
        <f t="shared" si="13"/>
        <v>631.03076923076924</v>
      </c>
      <c r="AS18" s="330">
        <v>41017</v>
      </c>
      <c r="AT18" s="330"/>
      <c r="AU18" s="330"/>
      <c r="AV18" s="330"/>
      <c r="AW18" s="330"/>
      <c r="AX18" s="330">
        <f>30653+5236</f>
        <v>35889</v>
      </c>
      <c r="AY18" s="331">
        <f t="shared" si="14"/>
        <v>35889</v>
      </c>
      <c r="AZ18" s="334">
        <v>41</v>
      </c>
      <c r="BA18" s="328">
        <f t="shared" si="15"/>
        <v>19862</v>
      </c>
      <c r="BB18" s="328">
        <f t="shared" si="16"/>
        <v>484.4390243902439</v>
      </c>
      <c r="BC18" s="330">
        <v>19862</v>
      </c>
      <c r="BD18" s="330"/>
      <c r="BE18" s="330"/>
      <c r="BF18" s="330"/>
      <c r="BG18" s="330"/>
      <c r="BH18" s="330">
        <v>17626</v>
      </c>
      <c r="BI18" s="331">
        <f t="shared" si="17"/>
        <v>17626</v>
      </c>
      <c r="BJ18" s="334">
        <v>19</v>
      </c>
      <c r="BK18" s="328">
        <f t="shared" si="18"/>
        <v>22439</v>
      </c>
      <c r="BL18" s="328">
        <f t="shared" si="19"/>
        <v>1181</v>
      </c>
      <c r="BM18" s="330">
        <v>22439</v>
      </c>
      <c r="BN18" s="330"/>
      <c r="BO18" s="330"/>
      <c r="BP18" s="330"/>
      <c r="BQ18" s="330"/>
      <c r="BR18" s="330">
        <v>15940</v>
      </c>
      <c r="BS18" s="331">
        <f t="shared" si="20"/>
        <v>15940</v>
      </c>
      <c r="BT18" s="344">
        <v>20</v>
      </c>
      <c r="BU18" s="328">
        <f t="shared" si="24"/>
        <v>16526</v>
      </c>
      <c r="BV18" s="328">
        <f t="shared" si="25"/>
        <v>826.3</v>
      </c>
      <c r="BW18" s="345">
        <v>16526</v>
      </c>
      <c r="BX18" s="345"/>
      <c r="BY18" s="345"/>
      <c r="BZ18" s="345"/>
      <c r="CA18" s="345"/>
      <c r="CB18" s="345">
        <v>11740</v>
      </c>
      <c r="CC18" s="402">
        <f t="shared" si="23"/>
        <v>11740</v>
      </c>
    </row>
    <row r="19" spans="1:81" s="340" customFormat="1" ht="15.95" customHeight="1" x14ac:dyDescent="0.2">
      <c r="A19" s="342" t="s">
        <v>122</v>
      </c>
      <c r="B19" s="327">
        <v>2082</v>
      </c>
      <c r="C19" s="328">
        <f t="shared" si="26"/>
        <v>4202311</v>
      </c>
      <c r="D19" s="328">
        <f t="shared" si="1"/>
        <v>2018.4010566762729</v>
      </c>
      <c r="E19" s="330"/>
      <c r="F19" s="330"/>
      <c r="G19" s="330"/>
      <c r="H19" s="330">
        <v>4202311</v>
      </c>
      <c r="I19" s="330"/>
      <c r="J19" s="330">
        <v>3886170</v>
      </c>
      <c r="K19" s="331">
        <f t="shared" si="2"/>
        <v>0</v>
      </c>
      <c r="L19" s="327">
        <v>2139</v>
      </c>
      <c r="M19" s="328">
        <f t="shared" si="3"/>
        <v>3925195</v>
      </c>
      <c r="N19" s="328">
        <f t="shared" si="4"/>
        <v>1835.0607760635812</v>
      </c>
      <c r="O19" s="330"/>
      <c r="P19" s="330"/>
      <c r="Q19" s="330"/>
      <c r="R19" s="330">
        <v>3925195</v>
      </c>
      <c r="S19" s="330"/>
      <c r="T19" s="330">
        <v>3654016</v>
      </c>
      <c r="U19" s="331">
        <f t="shared" si="5"/>
        <v>0</v>
      </c>
      <c r="V19" s="343">
        <v>2073</v>
      </c>
      <c r="W19" s="328">
        <f t="shared" si="6"/>
        <v>3834085</v>
      </c>
      <c r="X19" s="328">
        <f t="shared" si="7"/>
        <v>1849.5344910757356</v>
      </c>
      <c r="Y19" s="330"/>
      <c r="Z19" s="330"/>
      <c r="AA19" s="330"/>
      <c r="AB19" s="330">
        <f>3328960+505125</f>
        <v>3834085</v>
      </c>
      <c r="AC19" s="330"/>
      <c r="AD19" s="330">
        <v>3496144</v>
      </c>
      <c r="AE19" s="331">
        <f t="shared" si="8"/>
        <v>0</v>
      </c>
      <c r="AF19" s="343">
        <v>1903</v>
      </c>
      <c r="AG19" s="328">
        <f t="shared" si="9"/>
        <v>3586477</v>
      </c>
      <c r="AH19" s="328">
        <f t="shared" si="10"/>
        <v>1884.6437204414083</v>
      </c>
      <c r="AI19" s="330"/>
      <c r="AJ19" s="330"/>
      <c r="AK19" s="330"/>
      <c r="AL19" s="330">
        <f>3636831-533291+482937</f>
        <v>3586477</v>
      </c>
      <c r="AM19" s="330"/>
      <c r="AN19" s="330">
        <v>3149009</v>
      </c>
      <c r="AO19" s="331">
        <f t="shared" si="11"/>
        <v>0</v>
      </c>
      <c r="AP19" s="343">
        <v>2081</v>
      </c>
      <c r="AQ19" s="328">
        <f t="shared" si="12"/>
        <v>2902980</v>
      </c>
      <c r="AR19" s="328">
        <f t="shared" si="13"/>
        <v>1394.9927919269583</v>
      </c>
      <c r="AS19" s="330"/>
      <c r="AT19" s="330"/>
      <c r="AU19" s="330"/>
      <c r="AV19" s="330">
        <f>2543533+359447</f>
        <v>2902980</v>
      </c>
      <c r="AW19" s="330"/>
      <c r="AX19" s="330">
        <v>2766541</v>
      </c>
      <c r="AY19" s="331">
        <f t="shared" si="14"/>
        <v>0</v>
      </c>
      <c r="AZ19" s="334">
        <v>1584</v>
      </c>
      <c r="BA19" s="328">
        <f t="shared" si="15"/>
        <v>2216583</v>
      </c>
      <c r="BB19" s="328">
        <f t="shared" si="16"/>
        <v>1399.3579545454545</v>
      </c>
      <c r="BC19" s="330"/>
      <c r="BD19" s="330"/>
      <c r="BE19" s="330"/>
      <c r="BF19" s="330">
        <f>1992043+224540</f>
        <v>2216583</v>
      </c>
      <c r="BG19" s="330"/>
      <c r="BH19" s="330">
        <v>2014091</v>
      </c>
      <c r="BI19" s="331">
        <f t="shared" si="17"/>
        <v>0</v>
      </c>
      <c r="BJ19" s="334">
        <v>1467</v>
      </c>
      <c r="BK19" s="328">
        <f t="shared" si="18"/>
        <v>1894105</v>
      </c>
      <c r="BL19" s="328">
        <f t="shared" si="19"/>
        <v>1291.1417859577368</v>
      </c>
      <c r="BM19" s="330"/>
      <c r="BN19" s="330"/>
      <c r="BO19" s="330"/>
      <c r="BP19" s="330">
        <v>1894105</v>
      </c>
      <c r="BQ19" s="330"/>
      <c r="BR19" s="330">
        <v>1761801</v>
      </c>
      <c r="BS19" s="331">
        <f t="shared" si="20"/>
        <v>0</v>
      </c>
      <c r="BT19" s="344">
        <v>1582</v>
      </c>
      <c r="BU19" s="328">
        <f t="shared" si="24"/>
        <v>2501250</v>
      </c>
      <c r="BV19" s="328">
        <f t="shared" si="25"/>
        <v>1581.0682680151706</v>
      </c>
      <c r="BW19" s="345"/>
      <c r="BX19" s="345"/>
      <c r="BY19" s="345"/>
      <c r="BZ19" s="345">
        <v>2501250</v>
      </c>
      <c r="CA19" s="345"/>
      <c r="CB19" s="345">
        <v>2326537</v>
      </c>
      <c r="CC19" s="402">
        <f t="shared" si="23"/>
        <v>0</v>
      </c>
    </row>
    <row r="20" spans="1:81" s="340" customFormat="1" ht="15.95" customHeight="1" x14ac:dyDescent="0.2">
      <c r="A20" s="342" t="s">
        <v>123</v>
      </c>
      <c r="B20" s="327">
        <v>5480</v>
      </c>
      <c r="C20" s="328">
        <f t="shared" si="26"/>
        <v>15660129</v>
      </c>
      <c r="D20" s="328">
        <f t="shared" si="1"/>
        <v>2857.6877737226278</v>
      </c>
      <c r="E20" s="330"/>
      <c r="F20" s="330"/>
      <c r="G20" s="330"/>
      <c r="H20" s="330">
        <v>15660129</v>
      </c>
      <c r="I20" s="330"/>
      <c r="J20" s="330">
        <v>14892443</v>
      </c>
      <c r="K20" s="331">
        <f t="shared" si="2"/>
        <v>0</v>
      </c>
      <c r="L20" s="327">
        <v>5322</v>
      </c>
      <c r="M20" s="328">
        <f t="shared" si="3"/>
        <v>15341304</v>
      </c>
      <c r="N20" s="328">
        <f t="shared" si="4"/>
        <v>2882.6200676437429</v>
      </c>
      <c r="O20" s="330"/>
      <c r="P20" s="330"/>
      <c r="Q20" s="330"/>
      <c r="R20" s="330">
        <v>15341304</v>
      </c>
      <c r="S20" s="330"/>
      <c r="T20" s="330">
        <v>14561369</v>
      </c>
      <c r="U20" s="331">
        <f t="shared" si="5"/>
        <v>0</v>
      </c>
      <c r="V20" s="343">
        <v>5394</v>
      </c>
      <c r="W20" s="328">
        <f t="shared" si="6"/>
        <v>16657242</v>
      </c>
      <c r="X20" s="328">
        <f t="shared" si="7"/>
        <v>3088.1056729699667</v>
      </c>
      <c r="Y20" s="330"/>
      <c r="Z20" s="330"/>
      <c r="AA20" s="330"/>
      <c r="AB20" s="330">
        <f>16494422+162820</f>
        <v>16657242</v>
      </c>
      <c r="AC20" s="330"/>
      <c r="AD20" s="330">
        <v>15885767</v>
      </c>
      <c r="AE20" s="331">
        <f t="shared" si="8"/>
        <v>0</v>
      </c>
      <c r="AF20" s="343">
        <v>5093</v>
      </c>
      <c r="AG20" s="328">
        <f t="shared" si="9"/>
        <v>16178497</v>
      </c>
      <c r="AH20" s="328">
        <f t="shared" si="10"/>
        <v>3176.6143726683686</v>
      </c>
      <c r="AI20" s="330"/>
      <c r="AJ20" s="330"/>
      <c r="AK20" s="330"/>
      <c r="AL20" s="330">
        <f>15988638+189859</f>
        <v>16178497</v>
      </c>
      <c r="AM20" s="330"/>
      <c r="AN20" s="330">
        <v>15255722</v>
      </c>
      <c r="AO20" s="331">
        <f t="shared" si="11"/>
        <v>0</v>
      </c>
      <c r="AP20" s="343">
        <v>4952</v>
      </c>
      <c r="AQ20" s="328">
        <f t="shared" si="12"/>
        <v>14821422</v>
      </c>
      <c r="AR20" s="328">
        <f t="shared" si="13"/>
        <v>2993.0173667205167</v>
      </c>
      <c r="AS20" s="330"/>
      <c r="AT20" s="330"/>
      <c r="AU20" s="330"/>
      <c r="AV20" s="330">
        <f>14673587+147835</f>
        <v>14821422</v>
      </c>
      <c r="AW20" s="330"/>
      <c r="AX20" s="330">
        <v>14258355</v>
      </c>
      <c r="AY20" s="331">
        <f t="shared" si="14"/>
        <v>0</v>
      </c>
      <c r="AZ20" s="334">
        <v>3873</v>
      </c>
      <c r="BA20" s="328">
        <f t="shared" si="15"/>
        <v>11603830</v>
      </c>
      <c r="BB20" s="328">
        <f t="shared" si="16"/>
        <v>2996.0831396849985</v>
      </c>
      <c r="BC20" s="330"/>
      <c r="BD20" s="330"/>
      <c r="BE20" s="330"/>
      <c r="BF20" s="330">
        <f>11488315+115515</f>
        <v>11603830</v>
      </c>
      <c r="BG20" s="330"/>
      <c r="BH20" s="330">
        <v>10851730</v>
      </c>
      <c r="BI20" s="331">
        <f t="shared" si="17"/>
        <v>0</v>
      </c>
      <c r="BJ20" s="334">
        <v>3873</v>
      </c>
      <c r="BK20" s="328">
        <f t="shared" si="18"/>
        <v>11392615</v>
      </c>
      <c r="BL20" s="328">
        <f t="shared" si="19"/>
        <v>2941.547895688097</v>
      </c>
      <c r="BM20" s="330"/>
      <c r="BN20" s="330"/>
      <c r="BO20" s="330"/>
      <c r="BP20" s="330">
        <v>11392615</v>
      </c>
      <c r="BQ20" s="330"/>
      <c r="BR20" s="330">
        <v>10627448</v>
      </c>
      <c r="BS20" s="331">
        <f t="shared" si="20"/>
        <v>0</v>
      </c>
      <c r="BT20" s="344">
        <v>4077</v>
      </c>
      <c r="BU20" s="328">
        <f t="shared" si="24"/>
        <v>13006121</v>
      </c>
      <c r="BV20" s="328">
        <f t="shared" si="25"/>
        <v>3190.120431689968</v>
      </c>
      <c r="BW20" s="345"/>
      <c r="BX20" s="345"/>
      <c r="BY20" s="345"/>
      <c r="BZ20" s="345">
        <v>13006121</v>
      </c>
      <c r="CA20" s="345"/>
      <c r="CB20" s="345">
        <v>12132585</v>
      </c>
      <c r="CC20" s="402">
        <f t="shared" si="23"/>
        <v>0</v>
      </c>
    </row>
    <row r="21" spans="1:81" s="340" customFormat="1" ht="15.95" customHeight="1" x14ac:dyDescent="0.2">
      <c r="A21" s="342" t="s">
        <v>124</v>
      </c>
      <c r="B21" s="327">
        <v>1930</v>
      </c>
      <c r="C21" s="328">
        <f>SUM(E21:I21)</f>
        <v>686078</v>
      </c>
      <c r="D21" s="328">
        <f>IFERROR(C21/B21,0)</f>
        <v>355.48082901554403</v>
      </c>
      <c r="E21" s="330"/>
      <c r="F21" s="330"/>
      <c r="G21" s="330"/>
      <c r="H21" s="330">
        <v>686078</v>
      </c>
      <c r="I21" s="330"/>
      <c r="J21" s="330">
        <v>611292</v>
      </c>
      <c r="K21" s="331">
        <f t="shared" si="2"/>
        <v>0</v>
      </c>
      <c r="L21" s="327">
        <v>1192</v>
      </c>
      <c r="M21" s="328">
        <f>SUM(O21:S21)</f>
        <v>630463</v>
      </c>
      <c r="N21" s="328">
        <f>IFERROR(M21/L21,0)</f>
        <v>528.91191275167785</v>
      </c>
      <c r="O21" s="330"/>
      <c r="P21" s="330"/>
      <c r="Q21" s="330"/>
      <c r="R21" s="330">
        <v>630463</v>
      </c>
      <c r="S21" s="330"/>
      <c r="T21" s="330">
        <v>587422</v>
      </c>
      <c r="U21" s="331">
        <f t="shared" si="5"/>
        <v>0</v>
      </c>
      <c r="V21" s="343">
        <v>1312</v>
      </c>
      <c r="W21" s="328">
        <f>SUM(Y21:AC21)</f>
        <v>580765</v>
      </c>
      <c r="X21" s="328">
        <f>IFERROR(W21/V21,0)</f>
        <v>442.65625</v>
      </c>
      <c r="Y21" s="330"/>
      <c r="Z21" s="330"/>
      <c r="AA21" s="330"/>
      <c r="AB21" s="330">
        <f>572229+8536</f>
        <v>580765</v>
      </c>
      <c r="AC21" s="330"/>
      <c r="AD21" s="330">
        <v>555266</v>
      </c>
      <c r="AE21" s="331">
        <f t="shared" si="8"/>
        <v>0</v>
      </c>
      <c r="AF21" s="343">
        <v>1418</v>
      </c>
      <c r="AG21" s="328">
        <f>SUM(AI21:AM21)</f>
        <v>663036</v>
      </c>
      <c r="AH21" s="328">
        <f>IFERROR(AG21/AF21,0)</f>
        <v>467.58533145275032</v>
      </c>
      <c r="AI21" s="330"/>
      <c r="AJ21" s="330"/>
      <c r="AK21" s="330"/>
      <c r="AL21" s="330">
        <f>654649+8387</f>
        <v>663036</v>
      </c>
      <c r="AM21" s="330"/>
      <c r="AN21" s="330">
        <v>633676</v>
      </c>
      <c r="AO21" s="331">
        <f t="shared" si="11"/>
        <v>0</v>
      </c>
      <c r="AP21" s="343">
        <v>1620</v>
      </c>
      <c r="AQ21" s="328">
        <f>SUM(AS21:AW21)</f>
        <v>748254</v>
      </c>
      <c r="AR21" s="328">
        <f>IFERROR(AQ21/AP21,0)</f>
        <v>461.88518518518521</v>
      </c>
      <c r="AS21" s="330"/>
      <c r="AT21" s="330"/>
      <c r="AU21" s="330"/>
      <c r="AV21" s="330">
        <f>729526+18728</f>
        <v>748254</v>
      </c>
      <c r="AW21" s="330"/>
      <c r="AX21" s="330">
        <v>712426</v>
      </c>
      <c r="AY21" s="331">
        <f t="shared" si="14"/>
        <v>0</v>
      </c>
      <c r="AZ21" s="334">
        <f>2422+775</f>
        <v>3197</v>
      </c>
      <c r="BA21" s="328">
        <f>SUM(BC21:BG21)</f>
        <v>1274212</v>
      </c>
      <c r="BB21" s="328">
        <f>IFERROR(BA21/AZ21,0)</f>
        <v>398.56490459806071</v>
      </c>
      <c r="BC21" s="330"/>
      <c r="BD21" s="330"/>
      <c r="BE21" s="330"/>
      <c r="BF21" s="330">
        <f>677918+237050+359244</f>
        <v>1274212</v>
      </c>
      <c r="BG21" s="330"/>
      <c r="BH21" s="330">
        <f>853350+301244</f>
        <v>1154594</v>
      </c>
      <c r="BI21" s="331">
        <f t="shared" si="17"/>
        <v>0</v>
      </c>
      <c r="BJ21" s="334">
        <f>1689+126</f>
        <v>1815</v>
      </c>
      <c r="BK21" s="328">
        <f t="shared" si="18"/>
        <v>740619</v>
      </c>
      <c r="BL21" s="328">
        <f t="shared" si="19"/>
        <v>408.05454545454546</v>
      </c>
      <c r="BM21" s="330"/>
      <c r="BN21" s="330"/>
      <c r="BO21" s="330"/>
      <c r="BP21" s="330">
        <v>740619</v>
      </c>
      <c r="BQ21" s="330"/>
      <c r="BR21" s="330">
        <v>721128</v>
      </c>
      <c r="BS21" s="331">
        <f t="shared" si="20"/>
        <v>0</v>
      </c>
      <c r="BT21" s="344">
        <v>1019</v>
      </c>
      <c r="BU21" s="328">
        <f t="shared" si="24"/>
        <v>814660</v>
      </c>
      <c r="BV21" s="328">
        <f t="shared" si="25"/>
        <v>799.47006869479878</v>
      </c>
      <c r="BW21" s="345"/>
      <c r="BX21" s="345"/>
      <c r="BY21" s="345"/>
      <c r="BZ21" s="345">
        <v>814660</v>
      </c>
      <c r="CA21" s="345"/>
      <c r="CB21" s="345">
        <v>793220</v>
      </c>
      <c r="CC21" s="402">
        <f t="shared" si="23"/>
        <v>0</v>
      </c>
    </row>
    <row r="22" spans="1:81" s="340" customFormat="1" ht="15.95" customHeight="1" x14ac:dyDescent="0.2">
      <c r="A22" s="342" t="s">
        <v>125</v>
      </c>
      <c r="B22" s="327">
        <v>207</v>
      </c>
      <c r="C22" s="328">
        <f t="shared" ref="C22:C43" si="27">SUM(E22:I22)</f>
        <v>155511</v>
      </c>
      <c r="D22" s="328">
        <f t="shared" ref="D22:D43" si="28">IFERROR(C22/B22,0)</f>
        <v>751.26086956521738</v>
      </c>
      <c r="E22" s="330"/>
      <c r="F22" s="330"/>
      <c r="G22" s="330"/>
      <c r="H22" s="330"/>
      <c r="I22" s="330">
        <v>155511</v>
      </c>
      <c r="J22" s="330">
        <v>148924</v>
      </c>
      <c r="K22" s="331">
        <f t="shared" si="2"/>
        <v>0</v>
      </c>
      <c r="L22" s="327">
        <v>252</v>
      </c>
      <c r="M22" s="328">
        <f t="shared" ref="M22:M43" si="29">SUM(O22:S22)</f>
        <v>187136</v>
      </c>
      <c r="N22" s="328">
        <f t="shared" ref="N22:N43" si="30">IFERROR(M22/L22,0)</f>
        <v>742.60317460317458</v>
      </c>
      <c r="O22" s="330"/>
      <c r="P22" s="330"/>
      <c r="Q22" s="330"/>
      <c r="R22" s="330"/>
      <c r="S22" s="330">
        <v>187136</v>
      </c>
      <c r="T22" s="330">
        <v>180637</v>
      </c>
      <c r="U22" s="331">
        <f t="shared" si="5"/>
        <v>0</v>
      </c>
      <c r="V22" s="343">
        <v>245</v>
      </c>
      <c r="W22" s="328">
        <f t="shared" ref="W22:W43" si="31">SUM(Y22:AC22)</f>
        <v>186844.15</v>
      </c>
      <c r="X22" s="328">
        <f t="shared" ref="X22:X43" si="32">IFERROR(W22/V22,0)</f>
        <v>762.62918367346936</v>
      </c>
      <c r="Y22" s="330"/>
      <c r="Z22" s="330"/>
      <c r="AA22" s="330"/>
      <c r="AB22" s="330"/>
      <c r="AC22" s="330">
        <v>186844.15</v>
      </c>
      <c r="AD22" s="330">
        <v>180026</v>
      </c>
      <c r="AE22" s="331">
        <f t="shared" si="8"/>
        <v>0</v>
      </c>
      <c r="AF22" s="343">
        <v>528</v>
      </c>
      <c r="AG22" s="328">
        <f t="shared" ref="AG22:AG43" si="33">SUM(AI22:AM22)</f>
        <v>451734</v>
      </c>
      <c r="AH22" s="328">
        <f t="shared" ref="AH22:AH43" si="34">IFERROR(AG22/AF22,0)</f>
        <v>855.55681818181813</v>
      </c>
      <c r="AI22" s="330"/>
      <c r="AJ22" s="330"/>
      <c r="AK22" s="330"/>
      <c r="AL22" s="330"/>
      <c r="AM22" s="330">
        <v>451734</v>
      </c>
      <c r="AN22" s="330">
        <v>439217</v>
      </c>
      <c r="AO22" s="331">
        <f t="shared" si="11"/>
        <v>0</v>
      </c>
      <c r="AP22" s="343">
        <v>397</v>
      </c>
      <c r="AQ22" s="328">
        <f t="shared" ref="AQ22:AQ43" si="35">SUM(AS22:AW22)</f>
        <v>332282</v>
      </c>
      <c r="AR22" s="328">
        <f t="shared" ref="AR22:AR43" si="36">IFERROR(AQ22/AP22,0)</f>
        <v>836.98236775818634</v>
      </c>
      <c r="AS22" s="330"/>
      <c r="AT22" s="330"/>
      <c r="AU22" s="330"/>
      <c r="AV22" s="330"/>
      <c r="AW22" s="330">
        <v>332282</v>
      </c>
      <c r="AX22" s="330">
        <v>320851</v>
      </c>
      <c r="AY22" s="331">
        <f t="shared" si="14"/>
        <v>0</v>
      </c>
      <c r="AZ22" s="334">
        <v>321</v>
      </c>
      <c r="BA22" s="328">
        <f t="shared" ref="BA22:BA43" si="37">SUM(BC22:BG22)</f>
        <v>273370</v>
      </c>
      <c r="BB22" s="328">
        <f t="shared" ref="BB22:BB43" si="38">IFERROR(BA22/AZ22,0)</f>
        <v>851.61993769470405</v>
      </c>
      <c r="BC22" s="330"/>
      <c r="BD22" s="330"/>
      <c r="BE22" s="330"/>
      <c r="BF22" s="330"/>
      <c r="BG22" s="330">
        <v>273370</v>
      </c>
      <c r="BH22" s="330">
        <v>256630</v>
      </c>
      <c r="BI22" s="331">
        <f t="shared" si="17"/>
        <v>0</v>
      </c>
      <c r="BJ22" s="334">
        <v>383</v>
      </c>
      <c r="BK22" s="328">
        <f t="shared" si="18"/>
        <v>365517</v>
      </c>
      <c r="BL22" s="328">
        <f t="shared" si="19"/>
        <v>954.35248041775458</v>
      </c>
      <c r="BM22" s="330"/>
      <c r="BN22" s="330"/>
      <c r="BO22" s="330"/>
      <c r="BP22" s="330"/>
      <c r="BQ22" s="330">
        <v>365517</v>
      </c>
      <c r="BR22" s="330">
        <v>341833</v>
      </c>
      <c r="BS22" s="331">
        <f t="shared" si="20"/>
        <v>0</v>
      </c>
      <c r="BT22" s="344">
        <v>425</v>
      </c>
      <c r="BU22" s="328">
        <f t="shared" si="24"/>
        <v>450175</v>
      </c>
      <c r="BV22" s="328">
        <f t="shared" si="25"/>
        <v>1059.2352941176471</v>
      </c>
      <c r="BW22" s="345"/>
      <c r="BX22" s="345"/>
      <c r="BY22" s="345"/>
      <c r="BZ22" s="345"/>
      <c r="CA22" s="345">
        <v>450175</v>
      </c>
      <c r="CB22" s="345">
        <v>421277</v>
      </c>
      <c r="CC22" s="402">
        <f t="shared" si="23"/>
        <v>0</v>
      </c>
    </row>
    <row r="23" spans="1:81" s="340" customFormat="1" ht="15.95" customHeight="1" x14ac:dyDescent="0.2">
      <c r="A23" s="342" t="s">
        <v>126</v>
      </c>
      <c r="B23" s="327">
        <v>0</v>
      </c>
      <c r="C23" s="328">
        <f t="shared" si="27"/>
        <v>0</v>
      </c>
      <c r="D23" s="328">
        <f t="shared" si="28"/>
        <v>0</v>
      </c>
      <c r="E23" s="330"/>
      <c r="F23" s="330"/>
      <c r="G23" s="330"/>
      <c r="H23" s="330"/>
      <c r="I23" s="330">
        <v>0</v>
      </c>
      <c r="J23" s="330">
        <v>0</v>
      </c>
      <c r="K23" s="331">
        <f t="shared" si="2"/>
        <v>0</v>
      </c>
      <c r="L23" s="327">
        <v>132</v>
      </c>
      <c r="M23" s="328">
        <f t="shared" si="29"/>
        <v>40754</v>
      </c>
      <c r="N23" s="328">
        <f t="shared" si="30"/>
        <v>308.74242424242425</v>
      </c>
      <c r="O23" s="330"/>
      <c r="P23" s="330"/>
      <c r="Q23" s="330"/>
      <c r="R23" s="330"/>
      <c r="S23" s="330">
        <v>40754</v>
      </c>
      <c r="T23" s="330">
        <v>38831</v>
      </c>
      <c r="U23" s="331">
        <f t="shared" si="5"/>
        <v>0</v>
      </c>
      <c r="V23" s="343">
        <v>248</v>
      </c>
      <c r="W23" s="328">
        <f t="shared" si="31"/>
        <v>63159</v>
      </c>
      <c r="X23" s="328">
        <f t="shared" si="32"/>
        <v>254.67338709677421</v>
      </c>
      <c r="Y23" s="330"/>
      <c r="Z23" s="330"/>
      <c r="AA23" s="330"/>
      <c r="AB23" s="330"/>
      <c r="AC23" s="330">
        <v>63159</v>
      </c>
      <c r="AD23" s="330">
        <v>62848</v>
      </c>
      <c r="AE23" s="331">
        <f t="shared" si="8"/>
        <v>0</v>
      </c>
      <c r="AF23" s="343">
        <v>355</v>
      </c>
      <c r="AG23" s="328">
        <f t="shared" si="33"/>
        <v>82098</v>
      </c>
      <c r="AH23" s="328">
        <f t="shared" si="34"/>
        <v>231.26197183098591</v>
      </c>
      <c r="AI23" s="330"/>
      <c r="AJ23" s="330"/>
      <c r="AK23" s="330"/>
      <c r="AL23" s="330"/>
      <c r="AM23" s="330">
        <v>82098</v>
      </c>
      <c r="AN23" s="330">
        <v>82098</v>
      </c>
      <c r="AO23" s="331">
        <f t="shared" si="11"/>
        <v>0</v>
      </c>
      <c r="AP23" s="343">
        <v>567</v>
      </c>
      <c r="AQ23" s="328">
        <f t="shared" si="35"/>
        <v>104065</v>
      </c>
      <c r="AR23" s="328">
        <f t="shared" si="36"/>
        <v>183.53615520282187</v>
      </c>
      <c r="AS23" s="330"/>
      <c r="AT23" s="330"/>
      <c r="AU23" s="330"/>
      <c r="AV23" s="330"/>
      <c r="AW23" s="330">
        <v>104065</v>
      </c>
      <c r="AX23" s="330">
        <v>96554</v>
      </c>
      <c r="AY23" s="331">
        <f t="shared" si="14"/>
        <v>0</v>
      </c>
      <c r="AZ23" s="334">
        <v>586</v>
      </c>
      <c r="BA23" s="328">
        <f t="shared" si="37"/>
        <v>118324</v>
      </c>
      <c r="BB23" s="328">
        <f t="shared" si="38"/>
        <v>201.91808873720137</v>
      </c>
      <c r="BC23" s="330"/>
      <c r="BD23" s="330"/>
      <c r="BE23" s="330"/>
      <c r="BF23" s="330"/>
      <c r="BG23" s="330">
        <v>118324</v>
      </c>
      <c r="BH23" s="330">
        <v>83591</v>
      </c>
      <c r="BI23" s="331">
        <f t="shared" si="17"/>
        <v>0</v>
      </c>
      <c r="BJ23" s="334">
        <f>711+4</f>
        <v>715</v>
      </c>
      <c r="BK23" s="328">
        <f t="shared" si="18"/>
        <v>173779</v>
      </c>
      <c r="BL23" s="328">
        <f t="shared" si="19"/>
        <v>243.04755244755245</v>
      </c>
      <c r="BM23" s="330"/>
      <c r="BN23" s="330"/>
      <c r="BO23" s="330"/>
      <c r="BP23" s="330"/>
      <c r="BQ23" s="330">
        <v>173779</v>
      </c>
      <c r="BR23" s="330">
        <v>170477</v>
      </c>
      <c r="BS23" s="331">
        <f t="shared" si="20"/>
        <v>0</v>
      </c>
      <c r="BT23" s="344">
        <v>693</v>
      </c>
      <c r="BU23" s="328">
        <f t="shared" si="24"/>
        <v>418844</v>
      </c>
      <c r="BV23" s="328">
        <f t="shared" si="25"/>
        <v>604.39249639249635</v>
      </c>
      <c r="BW23" s="345"/>
      <c r="BX23" s="345"/>
      <c r="BY23" s="345"/>
      <c r="BZ23" s="345"/>
      <c r="CA23" s="345">
        <v>418844</v>
      </c>
      <c r="CB23" s="345">
        <v>410885</v>
      </c>
      <c r="CC23" s="402">
        <f t="shared" si="23"/>
        <v>0</v>
      </c>
    </row>
    <row r="24" spans="1:81" s="340" customFormat="1" ht="15.95" customHeight="1" x14ac:dyDescent="0.2">
      <c r="A24" s="342" t="s">
        <v>127</v>
      </c>
      <c r="B24" s="327">
        <v>1396</v>
      </c>
      <c r="C24" s="328">
        <f t="shared" si="27"/>
        <v>933193</v>
      </c>
      <c r="D24" s="328">
        <f t="shared" si="28"/>
        <v>668.47636103151865</v>
      </c>
      <c r="E24" s="330"/>
      <c r="F24" s="330"/>
      <c r="G24" s="330">
        <v>933193</v>
      </c>
      <c r="H24" s="330"/>
      <c r="I24" s="330"/>
      <c r="J24" s="330">
        <v>933193</v>
      </c>
      <c r="K24" s="331">
        <f t="shared" si="2"/>
        <v>0</v>
      </c>
      <c r="L24" s="327">
        <v>1098</v>
      </c>
      <c r="M24" s="328">
        <f t="shared" si="29"/>
        <v>791019</v>
      </c>
      <c r="N24" s="328">
        <f t="shared" si="30"/>
        <v>720.41803278688519</v>
      </c>
      <c r="O24" s="330"/>
      <c r="P24" s="330"/>
      <c r="Q24" s="330">
        <v>791019</v>
      </c>
      <c r="R24" s="330"/>
      <c r="S24" s="330"/>
      <c r="T24" s="330">
        <v>791019</v>
      </c>
      <c r="U24" s="331">
        <f t="shared" si="5"/>
        <v>0</v>
      </c>
      <c r="V24" s="343">
        <v>1080</v>
      </c>
      <c r="W24" s="328">
        <f t="shared" si="31"/>
        <v>674236</v>
      </c>
      <c r="X24" s="328">
        <f t="shared" si="32"/>
        <v>624.29259259259254</v>
      </c>
      <c r="Y24" s="330"/>
      <c r="Z24" s="330"/>
      <c r="AA24" s="330">
        <v>674236</v>
      </c>
      <c r="AB24" s="330"/>
      <c r="AC24" s="330"/>
      <c r="AD24" s="330">
        <v>674236</v>
      </c>
      <c r="AE24" s="331">
        <f t="shared" si="8"/>
        <v>0</v>
      </c>
      <c r="AF24" s="343">
        <v>1394</v>
      </c>
      <c r="AG24" s="328">
        <f t="shared" si="33"/>
        <v>966636</v>
      </c>
      <c r="AH24" s="328">
        <f t="shared" si="34"/>
        <v>693.42611190817786</v>
      </c>
      <c r="AI24" s="330"/>
      <c r="AJ24" s="330"/>
      <c r="AK24" s="330">
        <v>966636</v>
      </c>
      <c r="AL24" s="330"/>
      <c r="AM24" s="330"/>
      <c r="AN24" s="330">
        <v>966636</v>
      </c>
      <c r="AO24" s="331">
        <f t="shared" si="11"/>
        <v>0</v>
      </c>
      <c r="AP24" s="343">
        <v>1247</v>
      </c>
      <c r="AQ24" s="328">
        <f t="shared" si="35"/>
        <v>873572</v>
      </c>
      <c r="AR24" s="328">
        <f t="shared" si="36"/>
        <v>700.53889334402561</v>
      </c>
      <c r="AS24" s="330"/>
      <c r="AT24" s="330"/>
      <c r="AU24" s="330">
        <v>873572</v>
      </c>
      <c r="AV24" s="330"/>
      <c r="AW24" s="330"/>
      <c r="AX24" s="330">
        <v>873572</v>
      </c>
      <c r="AY24" s="331">
        <f t="shared" si="14"/>
        <v>0</v>
      </c>
      <c r="AZ24" s="334">
        <v>1359</v>
      </c>
      <c r="BA24" s="328">
        <f t="shared" si="37"/>
        <v>938496</v>
      </c>
      <c r="BB24" s="328">
        <f t="shared" si="38"/>
        <v>690.57836644591612</v>
      </c>
      <c r="BC24" s="330"/>
      <c r="BD24" s="330"/>
      <c r="BE24" s="330">
        <v>938496</v>
      </c>
      <c r="BF24" s="330"/>
      <c r="BG24" s="330"/>
      <c r="BH24" s="330">
        <v>938496</v>
      </c>
      <c r="BI24" s="331">
        <f t="shared" si="17"/>
        <v>0</v>
      </c>
      <c r="BJ24" s="334">
        <v>1152</v>
      </c>
      <c r="BK24" s="328">
        <f t="shared" si="18"/>
        <v>821813</v>
      </c>
      <c r="BL24" s="328">
        <f t="shared" si="19"/>
        <v>713.37934027777783</v>
      </c>
      <c r="BM24" s="330"/>
      <c r="BN24" s="330"/>
      <c r="BO24" s="330">
        <v>821813</v>
      </c>
      <c r="BP24" s="330"/>
      <c r="BQ24" s="330"/>
      <c r="BR24" s="330">
        <v>802613</v>
      </c>
      <c r="BS24" s="331">
        <f t="shared" si="20"/>
        <v>0</v>
      </c>
      <c r="BT24" s="344">
        <v>1253</v>
      </c>
      <c r="BU24" s="328">
        <f t="shared" si="24"/>
        <v>852504</v>
      </c>
      <c r="BV24" s="328">
        <f t="shared" si="25"/>
        <v>680.37031125299279</v>
      </c>
      <c r="BW24" s="345"/>
      <c r="BX24" s="345"/>
      <c r="BY24" s="345">
        <v>852504</v>
      </c>
      <c r="BZ24" s="345"/>
      <c r="CA24" s="345"/>
      <c r="CB24" s="345">
        <v>852504</v>
      </c>
      <c r="CC24" s="402">
        <f t="shared" si="23"/>
        <v>0</v>
      </c>
    </row>
    <row r="25" spans="1:81" s="340" customFormat="1" ht="15.95" customHeight="1" x14ac:dyDescent="0.2">
      <c r="A25" s="342" t="s">
        <v>128</v>
      </c>
      <c r="B25" s="327">
        <v>280</v>
      </c>
      <c r="C25" s="328">
        <f t="shared" si="27"/>
        <v>274412</v>
      </c>
      <c r="D25" s="328">
        <f t="shared" si="28"/>
        <v>980.04285714285709</v>
      </c>
      <c r="E25" s="330">
        <v>274412</v>
      </c>
      <c r="F25" s="330"/>
      <c r="G25" s="330"/>
      <c r="H25" s="330"/>
      <c r="I25" s="330"/>
      <c r="J25" s="330">
        <v>241132</v>
      </c>
      <c r="K25" s="331">
        <f t="shared" si="2"/>
        <v>241132</v>
      </c>
      <c r="L25" s="327">
        <v>253</v>
      </c>
      <c r="M25" s="328">
        <f t="shared" si="29"/>
        <v>224130</v>
      </c>
      <c r="N25" s="328">
        <f t="shared" si="30"/>
        <v>885.88932806324112</v>
      </c>
      <c r="O25" s="330">
        <v>224130</v>
      </c>
      <c r="P25" s="330"/>
      <c r="Q25" s="330"/>
      <c r="R25" s="330"/>
      <c r="S25" s="330"/>
      <c r="T25" s="330">
        <v>210875</v>
      </c>
      <c r="U25" s="331">
        <f t="shared" si="5"/>
        <v>210875</v>
      </c>
      <c r="V25" s="343">
        <v>162</v>
      </c>
      <c r="W25" s="328">
        <f t="shared" si="31"/>
        <v>222430</v>
      </c>
      <c r="X25" s="328">
        <f t="shared" si="32"/>
        <v>1373.0246913580247</v>
      </c>
      <c r="Y25" s="330">
        <v>222430</v>
      </c>
      <c r="Z25" s="330"/>
      <c r="AA25" s="330"/>
      <c r="AB25" s="330"/>
      <c r="AC25" s="330"/>
      <c r="AD25" s="330">
        <v>159402</v>
      </c>
      <c r="AE25" s="331">
        <f t="shared" si="8"/>
        <v>159402</v>
      </c>
      <c r="AF25" s="343">
        <v>116</v>
      </c>
      <c r="AG25" s="328">
        <f t="shared" si="33"/>
        <v>154110</v>
      </c>
      <c r="AH25" s="328">
        <f t="shared" si="34"/>
        <v>1328.5344827586207</v>
      </c>
      <c r="AI25" s="330">
        <f>153705+405</f>
        <v>154110</v>
      </c>
      <c r="AJ25" s="330"/>
      <c r="AK25" s="330"/>
      <c r="AL25" s="330"/>
      <c r="AM25" s="330"/>
      <c r="AN25" s="330">
        <v>99304</v>
      </c>
      <c r="AO25" s="331">
        <f t="shared" si="11"/>
        <v>99304</v>
      </c>
      <c r="AP25" s="343">
        <v>81</v>
      </c>
      <c r="AQ25" s="328">
        <f t="shared" si="35"/>
        <v>61020</v>
      </c>
      <c r="AR25" s="328">
        <f t="shared" si="36"/>
        <v>753.33333333333337</v>
      </c>
      <c r="AS25" s="330">
        <v>61020</v>
      </c>
      <c r="AT25" s="330"/>
      <c r="AU25" s="330"/>
      <c r="AV25" s="330"/>
      <c r="AW25" s="330"/>
      <c r="AX25" s="330">
        <v>53569</v>
      </c>
      <c r="AY25" s="331">
        <f t="shared" si="14"/>
        <v>53569</v>
      </c>
      <c r="AZ25" s="334">
        <v>80</v>
      </c>
      <c r="BA25" s="328">
        <f t="shared" si="37"/>
        <v>63937</v>
      </c>
      <c r="BB25" s="328">
        <f t="shared" si="38"/>
        <v>799.21249999999998</v>
      </c>
      <c r="BC25" s="330">
        <v>63937</v>
      </c>
      <c r="BD25" s="330"/>
      <c r="BE25" s="330"/>
      <c r="BF25" s="330"/>
      <c r="BG25" s="330"/>
      <c r="BH25" s="330">
        <v>52510</v>
      </c>
      <c r="BI25" s="331">
        <f t="shared" si="17"/>
        <v>52510</v>
      </c>
      <c r="BJ25" s="334">
        <v>75</v>
      </c>
      <c r="BK25" s="328">
        <f t="shared" si="18"/>
        <v>33595</v>
      </c>
      <c r="BL25" s="328">
        <f t="shared" si="19"/>
        <v>447.93333333333334</v>
      </c>
      <c r="BM25" s="330">
        <v>33595</v>
      </c>
      <c r="BN25" s="330"/>
      <c r="BO25" s="330"/>
      <c r="BP25" s="330"/>
      <c r="BQ25" s="330"/>
      <c r="BR25" s="330">
        <v>32956</v>
      </c>
      <c r="BS25" s="331">
        <f t="shared" si="20"/>
        <v>32956</v>
      </c>
      <c r="BT25" s="344">
        <v>46</v>
      </c>
      <c r="BU25" s="328">
        <f t="shared" si="24"/>
        <v>45622</v>
      </c>
      <c r="BV25" s="328">
        <f t="shared" si="25"/>
        <v>991.78260869565213</v>
      </c>
      <c r="BW25" s="345">
        <v>45622</v>
      </c>
      <c r="BX25" s="345"/>
      <c r="BY25" s="345"/>
      <c r="BZ25" s="345"/>
      <c r="CA25" s="345"/>
      <c r="CB25" s="345">
        <v>44755</v>
      </c>
      <c r="CC25" s="402">
        <f t="shared" si="23"/>
        <v>44755</v>
      </c>
    </row>
    <row r="26" spans="1:81" s="340" customFormat="1" ht="15.95" customHeight="1" x14ac:dyDescent="0.2">
      <c r="A26" s="342" t="s">
        <v>129</v>
      </c>
      <c r="B26" s="327">
        <v>869</v>
      </c>
      <c r="C26" s="328">
        <f t="shared" si="27"/>
        <v>189438</v>
      </c>
      <c r="D26" s="328">
        <f t="shared" si="28"/>
        <v>217.99539700805525</v>
      </c>
      <c r="E26" s="330"/>
      <c r="F26" s="330"/>
      <c r="G26" s="330">
        <v>189438</v>
      </c>
      <c r="H26" s="330"/>
      <c r="I26" s="330"/>
      <c r="J26" s="330">
        <v>189438</v>
      </c>
      <c r="K26" s="331">
        <f t="shared" si="2"/>
        <v>0</v>
      </c>
      <c r="L26" s="327">
        <v>941</v>
      </c>
      <c r="M26" s="328">
        <f t="shared" si="29"/>
        <v>159294</v>
      </c>
      <c r="N26" s="328">
        <f t="shared" si="30"/>
        <v>169.28161530286928</v>
      </c>
      <c r="O26" s="330"/>
      <c r="P26" s="330"/>
      <c r="Q26" s="330">
        <v>159294</v>
      </c>
      <c r="R26" s="330"/>
      <c r="S26" s="330"/>
      <c r="T26" s="330">
        <v>159294</v>
      </c>
      <c r="U26" s="331">
        <f t="shared" si="5"/>
        <v>0</v>
      </c>
      <c r="V26" s="343">
        <v>1493</v>
      </c>
      <c r="W26" s="328">
        <f t="shared" si="31"/>
        <v>242306</v>
      </c>
      <c r="X26" s="328">
        <f t="shared" si="32"/>
        <v>162.29470864032149</v>
      </c>
      <c r="Y26" s="330"/>
      <c r="Z26" s="330"/>
      <c r="AA26" s="330">
        <v>242306</v>
      </c>
      <c r="AB26" s="330"/>
      <c r="AC26" s="330"/>
      <c r="AD26" s="330">
        <v>242306</v>
      </c>
      <c r="AE26" s="331">
        <f t="shared" si="8"/>
        <v>0</v>
      </c>
      <c r="AF26" s="343">
        <v>1295</v>
      </c>
      <c r="AG26" s="328">
        <f t="shared" si="33"/>
        <v>170915</v>
      </c>
      <c r="AH26" s="328">
        <f t="shared" si="34"/>
        <v>131.98069498069498</v>
      </c>
      <c r="AI26" s="330"/>
      <c r="AJ26" s="330"/>
      <c r="AK26" s="330">
        <v>170915</v>
      </c>
      <c r="AL26" s="330"/>
      <c r="AM26" s="330"/>
      <c r="AN26" s="330">
        <v>170915</v>
      </c>
      <c r="AO26" s="331">
        <f t="shared" si="11"/>
        <v>0</v>
      </c>
      <c r="AP26" s="343">
        <v>1113</v>
      </c>
      <c r="AQ26" s="328">
        <f t="shared" si="35"/>
        <v>238356</v>
      </c>
      <c r="AR26" s="328">
        <f t="shared" si="36"/>
        <v>214.15633423180594</v>
      </c>
      <c r="AS26" s="330"/>
      <c r="AT26" s="330"/>
      <c r="AU26" s="330">
        <v>238356</v>
      </c>
      <c r="AV26" s="330"/>
      <c r="AW26" s="330"/>
      <c r="AX26" s="330">
        <v>238356</v>
      </c>
      <c r="AY26" s="331">
        <f t="shared" si="14"/>
        <v>0</v>
      </c>
      <c r="AZ26" s="334">
        <v>959</v>
      </c>
      <c r="BA26" s="328">
        <f t="shared" si="37"/>
        <v>150017</v>
      </c>
      <c r="BB26" s="328">
        <f t="shared" si="38"/>
        <v>156.43065693430657</v>
      </c>
      <c r="BC26" s="330"/>
      <c r="BD26" s="330"/>
      <c r="BE26" s="330">
        <v>150017</v>
      </c>
      <c r="BF26" s="330"/>
      <c r="BG26" s="330"/>
      <c r="BH26" s="330">
        <v>150017</v>
      </c>
      <c r="BI26" s="331">
        <f t="shared" si="17"/>
        <v>0</v>
      </c>
      <c r="BJ26" s="334">
        <v>1635</v>
      </c>
      <c r="BK26" s="328">
        <f t="shared" si="18"/>
        <v>142170</v>
      </c>
      <c r="BL26" s="328">
        <f t="shared" si="19"/>
        <v>86.954128440366972</v>
      </c>
      <c r="BM26" s="330"/>
      <c r="BN26" s="330"/>
      <c r="BO26" s="330">
        <v>142170</v>
      </c>
      <c r="BP26" s="330"/>
      <c r="BQ26" s="330"/>
      <c r="BR26" s="330">
        <v>142170</v>
      </c>
      <c r="BS26" s="331">
        <f t="shared" si="20"/>
        <v>0</v>
      </c>
      <c r="BT26" s="344">
        <v>82</v>
      </c>
      <c r="BU26" s="328">
        <f t="shared" si="24"/>
        <v>190596</v>
      </c>
      <c r="BV26" s="328">
        <f t="shared" si="25"/>
        <v>2324.3414634146343</v>
      </c>
      <c r="BW26" s="345"/>
      <c r="BX26" s="345"/>
      <c r="BY26" s="345">
        <v>190596</v>
      </c>
      <c r="BZ26" s="345"/>
      <c r="CA26" s="345"/>
      <c r="CB26" s="345">
        <v>190596</v>
      </c>
      <c r="CC26" s="402">
        <f t="shared" si="23"/>
        <v>0</v>
      </c>
    </row>
    <row r="27" spans="1:81" s="340" customFormat="1" ht="15.95" customHeight="1" x14ac:dyDescent="0.2">
      <c r="A27" s="342" t="s">
        <v>130</v>
      </c>
      <c r="B27" s="327">
        <v>14</v>
      </c>
      <c r="C27" s="328">
        <f t="shared" si="27"/>
        <v>7058</v>
      </c>
      <c r="D27" s="328">
        <f t="shared" si="28"/>
        <v>504.14285714285717</v>
      </c>
      <c r="E27" s="330"/>
      <c r="F27" s="330"/>
      <c r="G27" s="330">
        <v>7058</v>
      </c>
      <c r="H27" s="330"/>
      <c r="I27" s="330"/>
      <c r="J27" s="330">
        <v>6623</v>
      </c>
      <c r="K27" s="331">
        <f t="shared" si="2"/>
        <v>0</v>
      </c>
      <c r="L27" s="327">
        <v>0</v>
      </c>
      <c r="M27" s="328">
        <f t="shared" si="29"/>
        <v>0</v>
      </c>
      <c r="N27" s="328">
        <f t="shared" si="30"/>
        <v>0</v>
      </c>
      <c r="O27" s="330"/>
      <c r="P27" s="330"/>
      <c r="Q27" s="330"/>
      <c r="R27" s="330"/>
      <c r="S27" s="330"/>
      <c r="T27" s="330"/>
      <c r="U27" s="331">
        <f t="shared" si="5"/>
        <v>0</v>
      </c>
      <c r="V27" s="343"/>
      <c r="W27" s="328">
        <f t="shared" si="31"/>
        <v>0</v>
      </c>
      <c r="X27" s="328">
        <f t="shared" si="32"/>
        <v>0</v>
      </c>
      <c r="Y27" s="330"/>
      <c r="Z27" s="330"/>
      <c r="AA27" s="330"/>
      <c r="AB27" s="330"/>
      <c r="AC27" s="330"/>
      <c r="AD27" s="330"/>
      <c r="AE27" s="331">
        <f t="shared" si="8"/>
        <v>0</v>
      </c>
      <c r="AF27" s="343"/>
      <c r="AG27" s="328">
        <f t="shared" si="33"/>
        <v>0</v>
      </c>
      <c r="AH27" s="328">
        <f t="shared" si="34"/>
        <v>0</v>
      </c>
      <c r="AI27" s="330"/>
      <c r="AJ27" s="330"/>
      <c r="AK27" s="330"/>
      <c r="AL27" s="330"/>
      <c r="AM27" s="330"/>
      <c r="AN27" s="330"/>
      <c r="AO27" s="331">
        <f t="shared" si="11"/>
        <v>0</v>
      </c>
      <c r="AP27" s="343"/>
      <c r="AQ27" s="328">
        <f t="shared" si="35"/>
        <v>0</v>
      </c>
      <c r="AR27" s="328">
        <f t="shared" si="36"/>
        <v>0</v>
      </c>
      <c r="AS27" s="330"/>
      <c r="AT27" s="330"/>
      <c r="AU27" s="330"/>
      <c r="AV27" s="330"/>
      <c r="AW27" s="330"/>
      <c r="AX27" s="330"/>
      <c r="AY27" s="331">
        <f t="shared" si="14"/>
        <v>0</v>
      </c>
      <c r="AZ27" s="334"/>
      <c r="BA27" s="328">
        <f t="shared" si="37"/>
        <v>0</v>
      </c>
      <c r="BB27" s="328">
        <f t="shared" si="38"/>
        <v>0</v>
      </c>
      <c r="BC27" s="330"/>
      <c r="BD27" s="330"/>
      <c r="BE27" s="330"/>
      <c r="BF27" s="330"/>
      <c r="BG27" s="330"/>
      <c r="BH27" s="330"/>
      <c r="BI27" s="331">
        <f t="shared" si="17"/>
        <v>0</v>
      </c>
      <c r="BJ27" s="334"/>
      <c r="BK27" s="328">
        <f t="shared" si="18"/>
        <v>0</v>
      </c>
      <c r="BL27" s="328">
        <f t="shared" si="19"/>
        <v>0</v>
      </c>
      <c r="BM27" s="330"/>
      <c r="BN27" s="330"/>
      <c r="BO27" s="330"/>
      <c r="BP27" s="330"/>
      <c r="BQ27" s="330"/>
      <c r="BR27" s="330"/>
      <c r="BS27" s="331">
        <f t="shared" si="20"/>
        <v>0</v>
      </c>
      <c r="BT27" s="344"/>
      <c r="BU27" s="328">
        <f t="shared" si="24"/>
        <v>0</v>
      </c>
      <c r="BV27" s="328">
        <f t="shared" si="25"/>
        <v>0</v>
      </c>
      <c r="BW27" s="345"/>
      <c r="BX27" s="345"/>
      <c r="BY27" s="345"/>
      <c r="BZ27" s="345"/>
      <c r="CA27" s="345"/>
      <c r="CB27" s="345"/>
      <c r="CC27" s="402">
        <f t="shared" si="23"/>
        <v>0</v>
      </c>
    </row>
    <row r="28" spans="1:81" s="340" customFormat="1" ht="15.95" customHeight="1" x14ac:dyDescent="0.2">
      <c r="A28" s="342" t="s">
        <v>131</v>
      </c>
      <c r="B28" s="327">
        <v>12</v>
      </c>
      <c r="C28" s="328">
        <f t="shared" si="27"/>
        <v>4173</v>
      </c>
      <c r="D28" s="328">
        <f t="shared" si="28"/>
        <v>347.75</v>
      </c>
      <c r="E28" s="330">
        <v>4173</v>
      </c>
      <c r="F28" s="330"/>
      <c r="G28" s="330"/>
      <c r="H28" s="330"/>
      <c r="I28" s="330"/>
      <c r="J28" s="330">
        <v>4173</v>
      </c>
      <c r="K28" s="331">
        <f>IF(J28=0,0,(IF(E28&lt;=J28,E28,J28)))</f>
        <v>4173</v>
      </c>
      <c r="L28" s="327">
        <v>9</v>
      </c>
      <c r="M28" s="328">
        <f t="shared" si="29"/>
        <v>4087</v>
      </c>
      <c r="N28" s="328">
        <f t="shared" si="30"/>
        <v>454.11111111111109</v>
      </c>
      <c r="O28" s="330">
        <v>4087</v>
      </c>
      <c r="P28" s="330"/>
      <c r="Q28" s="330"/>
      <c r="R28" s="330"/>
      <c r="S28" s="330"/>
      <c r="T28" s="330">
        <v>4087</v>
      </c>
      <c r="U28" s="331">
        <f>IF(T28=0,0,(IF(O28&lt;=T28,O28,T28)))</f>
        <v>4087</v>
      </c>
      <c r="V28" s="343">
        <v>2</v>
      </c>
      <c r="W28" s="328">
        <f t="shared" si="31"/>
        <v>504</v>
      </c>
      <c r="X28" s="328">
        <f t="shared" si="32"/>
        <v>252</v>
      </c>
      <c r="Y28" s="330">
        <v>504</v>
      </c>
      <c r="Z28" s="330"/>
      <c r="AA28" s="330"/>
      <c r="AB28" s="330"/>
      <c r="AC28" s="330"/>
      <c r="AD28" s="330">
        <v>504</v>
      </c>
      <c r="AE28" s="331">
        <f>IF(AD28=0,0,(IF(Y28&lt;=AD28,Y28,AD28)))</f>
        <v>504</v>
      </c>
      <c r="AF28" s="343">
        <v>10</v>
      </c>
      <c r="AG28" s="328">
        <f t="shared" si="33"/>
        <v>5362</v>
      </c>
      <c r="AH28" s="328">
        <f t="shared" si="34"/>
        <v>536.20000000000005</v>
      </c>
      <c r="AI28" s="330">
        <v>5362</v>
      </c>
      <c r="AJ28" s="330"/>
      <c r="AK28" s="330"/>
      <c r="AL28" s="330"/>
      <c r="AM28" s="330"/>
      <c r="AN28" s="330">
        <v>5362</v>
      </c>
      <c r="AO28" s="331">
        <f>IF(AN28=0,0,(IF(AI28&lt;=AN28,AI28,AN28)))</f>
        <v>5362</v>
      </c>
      <c r="AP28" s="343">
        <v>1</v>
      </c>
      <c r="AQ28" s="328">
        <f t="shared" si="35"/>
        <v>-14</v>
      </c>
      <c r="AR28" s="328">
        <f t="shared" si="36"/>
        <v>-14</v>
      </c>
      <c r="AS28" s="330">
        <v>-14</v>
      </c>
      <c r="AT28" s="330"/>
      <c r="AU28" s="330"/>
      <c r="AV28" s="330"/>
      <c r="AW28" s="330"/>
      <c r="AX28" s="330">
        <v>0</v>
      </c>
      <c r="AY28" s="331">
        <f>IF(AX28=0,0,(IF(AS28&lt;=AX28,AS28,AX28)))</f>
        <v>0</v>
      </c>
      <c r="AZ28" s="334"/>
      <c r="BA28" s="328">
        <f t="shared" si="37"/>
        <v>0</v>
      </c>
      <c r="BB28" s="328">
        <f t="shared" si="38"/>
        <v>0</v>
      </c>
      <c r="BC28" s="330"/>
      <c r="BD28" s="330"/>
      <c r="BE28" s="330"/>
      <c r="BF28" s="330"/>
      <c r="BG28" s="330"/>
      <c r="BH28" s="330"/>
      <c r="BI28" s="331">
        <f>IF(BH28=0,0,(IF(BC28&lt;=BH28,BC28,BH28)))</f>
        <v>0</v>
      </c>
      <c r="BJ28" s="334"/>
      <c r="BK28" s="328">
        <f t="shared" si="18"/>
        <v>0</v>
      </c>
      <c r="BL28" s="328">
        <f t="shared" si="19"/>
        <v>0</v>
      </c>
      <c r="BM28" s="330"/>
      <c r="BN28" s="330"/>
      <c r="BO28" s="330"/>
      <c r="BP28" s="330"/>
      <c r="BQ28" s="330"/>
      <c r="BR28" s="330"/>
      <c r="BS28" s="331">
        <f t="shared" si="20"/>
        <v>0</v>
      </c>
      <c r="BT28" s="344"/>
      <c r="BU28" s="328">
        <f t="shared" si="24"/>
        <v>0</v>
      </c>
      <c r="BV28" s="328">
        <f t="shared" si="25"/>
        <v>0</v>
      </c>
      <c r="BW28" s="345"/>
      <c r="BX28" s="345"/>
      <c r="BY28" s="345"/>
      <c r="BZ28" s="345"/>
      <c r="CA28" s="345"/>
      <c r="CB28" s="345"/>
      <c r="CC28" s="402">
        <f t="shared" si="23"/>
        <v>0</v>
      </c>
    </row>
    <row r="29" spans="1:81" s="340" customFormat="1" ht="15.95" customHeight="1" x14ac:dyDescent="0.2">
      <c r="A29" s="342" t="s">
        <v>132</v>
      </c>
      <c r="B29" s="327">
        <v>67</v>
      </c>
      <c r="C29" s="328">
        <f t="shared" si="27"/>
        <v>59110</v>
      </c>
      <c r="D29" s="328">
        <f t="shared" si="28"/>
        <v>882.2388059701492</v>
      </c>
      <c r="E29" s="330"/>
      <c r="F29" s="330"/>
      <c r="G29" s="330"/>
      <c r="H29" s="330">
        <v>59110</v>
      </c>
      <c r="I29" s="330"/>
      <c r="J29" s="330">
        <v>58151</v>
      </c>
      <c r="K29" s="331">
        <f t="shared" ref="K29:K43" si="39">IF(J29=0,0,(IF(E29&lt;=J29,E29,J29)))</f>
        <v>0</v>
      </c>
      <c r="L29" s="327">
        <v>89</v>
      </c>
      <c r="M29" s="328">
        <f t="shared" si="29"/>
        <v>96589</v>
      </c>
      <c r="N29" s="328">
        <f t="shared" si="30"/>
        <v>1085.2696629213483</v>
      </c>
      <c r="O29" s="330"/>
      <c r="P29" s="330"/>
      <c r="Q29" s="330"/>
      <c r="R29" s="330">
        <v>96589</v>
      </c>
      <c r="S29" s="330"/>
      <c r="T29" s="330">
        <v>96589</v>
      </c>
      <c r="U29" s="331">
        <f t="shared" ref="U29:U43" si="40">IF(T29=0,0,(IF(O29&lt;=T29,O29,T29)))</f>
        <v>0</v>
      </c>
      <c r="V29" s="343">
        <v>52</v>
      </c>
      <c r="W29" s="328">
        <f t="shared" si="31"/>
        <v>32374</v>
      </c>
      <c r="X29" s="328">
        <f t="shared" si="32"/>
        <v>622.57692307692309</v>
      </c>
      <c r="Y29" s="330"/>
      <c r="Z29" s="330"/>
      <c r="AA29" s="330"/>
      <c r="AB29" s="330">
        <f>29114+3260</f>
        <v>32374</v>
      </c>
      <c r="AC29" s="330"/>
      <c r="AD29" s="330">
        <v>32374</v>
      </c>
      <c r="AE29" s="331">
        <f t="shared" ref="AE29:AE43" si="41">IF(AD29=0,0,(IF(Y29&lt;=AD29,Y29,AD29)))</f>
        <v>0</v>
      </c>
      <c r="AF29" s="343">
        <v>67</v>
      </c>
      <c r="AG29" s="328">
        <f t="shared" si="33"/>
        <v>33794</v>
      </c>
      <c r="AH29" s="328">
        <f t="shared" si="34"/>
        <v>504.38805970149252</v>
      </c>
      <c r="AI29" s="330"/>
      <c r="AJ29" s="330"/>
      <c r="AK29" s="330"/>
      <c r="AL29" s="330">
        <f>29481+4313</f>
        <v>33794</v>
      </c>
      <c r="AM29" s="330"/>
      <c r="AN29" s="330">
        <v>31634</v>
      </c>
      <c r="AO29" s="331">
        <f t="shared" ref="AO29:AO43" si="42">IF(AN29=0,0,(IF(AI29&lt;=AN29,AI29,AN29)))</f>
        <v>0</v>
      </c>
      <c r="AP29" s="343">
        <f>36+32</f>
        <v>68</v>
      </c>
      <c r="AQ29" s="328">
        <f t="shared" si="35"/>
        <v>33846</v>
      </c>
      <c r="AR29" s="328">
        <f t="shared" si="36"/>
        <v>497.73529411764707</v>
      </c>
      <c r="AS29" s="330"/>
      <c r="AT29" s="330"/>
      <c r="AU29" s="330"/>
      <c r="AV29" s="330">
        <f>5321+28525</f>
        <v>33846</v>
      </c>
      <c r="AW29" s="330"/>
      <c r="AX29" s="330">
        <v>33846</v>
      </c>
      <c r="AY29" s="331">
        <f t="shared" ref="AY29:AY43" si="43">IF(AX29=0,0,(IF(AS29&lt;=AX29,AS29,AX29)))</f>
        <v>0</v>
      </c>
      <c r="AZ29" s="334">
        <v>73</v>
      </c>
      <c r="BA29" s="328">
        <f t="shared" si="37"/>
        <v>74856</v>
      </c>
      <c r="BB29" s="328">
        <f t="shared" si="38"/>
        <v>1025.4246575342465</v>
      </c>
      <c r="BC29" s="330"/>
      <c r="BD29" s="330"/>
      <c r="BE29" s="330"/>
      <c r="BF29" s="330">
        <v>74856</v>
      </c>
      <c r="BG29" s="330"/>
      <c r="BH29" s="330">
        <v>74856</v>
      </c>
      <c r="BI29" s="331">
        <f t="shared" ref="BI29:BI43" si="44">IF(BH29=0,0,(IF(BC29&lt;=BH29,BC29,BH29)))</f>
        <v>0</v>
      </c>
      <c r="BJ29" s="334">
        <v>60</v>
      </c>
      <c r="BK29" s="328">
        <f t="shared" si="18"/>
        <v>57854</v>
      </c>
      <c r="BL29" s="328">
        <f t="shared" si="19"/>
        <v>964.23333333333335</v>
      </c>
      <c r="BM29" s="330"/>
      <c r="BN29" s="330"/>
      <c r="BO29" s="330"/>
      <c r="BP29" s="330">
        <v>57854</v>
      </c>
      <c r="BQ29" s="330"/>
      <c r="BR29" s="330">
        <v>57854</v>
      </c>
      <c r="BS29" s="331">
        <f t="shared" si="20"/>
        <v>0</v>
      </c>
      <c r="BT29" s="344">
        <v>27</v>
      </c>
      <c r="BU29" s="328">
        <f t="shared" si="24"/>
        <v>23500</v>
      </c>
      <c r="BV29" s="328">
        <f t="shared" si="25"/>
        <v>870.37037037037032</v>
      </c>
      <c r="BW29" s="345"/>
      <c r="BX29" s="345"/>
      <c r="BY29" s="345"/>
      <c r="BZ29" s="345">
        <v>23500</v>
      </c>
      <c r="CA29" s="345"/>
      <c r="CB29" s="345">
        <v>23500</v>
      </c>
      <c r="CC29" s="402">
        <f t="shared" si="23"/>
        <v>0</v>
      </c>
    </row>
    <row r="30" spans="1:81" s="340" customFormat="1" ht="15.95" customHeight="1" x14ac:dyDescent="0.2">
      <c r="A30" s="342" t="s">
        <v>133</v>
      </c>
      <c r="B30" s="327"/>
      <c r="C30" s="328">
        <f t="shared" si="27"/>
        <v>0</v>
      </c>
      <c r="D30" s="328">
        <f t="shared" si="28"/>
        <v>0</v>
      </c>
      <c r="E30" s="330"/>
      <c r="F30" s="330"/>
      <c r="G30" s="330"/>
      <c r="H30" s="330"/>
      <c r="I30" s="330"/>
      <c r="J30" s="330"/>
      <c r="K30" s="331">
        <f t="shared" si="39"/>
        <v>0</v>
      </c>
      <c r="L30" s="327"/>
      <c r="M30" s="328">
        <f t="shared" si="29"/>
        <v>0</v>
      </c>
      <c r="N30" s="328">
        <f t="shared" si="30"/>
        <v>0</v>
      </c>
      <c r="O30" s="330"/>
      <c r="P30" s="330"/>
      <c r="Q30" s="330"/>
      <c r="R30" s="330"/>
      <c r="S30" s="330"/>
      <c r="T30" s="330"/>
      <c r="U30" s="331">
        <f t="shared" si="40"/>
        <v>0</v>
      </c>
      <c r="V30" s="327"/>
      <c r="W30" s="328">
        <f t="shared" si="31"/>
        <v>0</v>
      </c>
      <c r="X30" s="328">
        <f t="shared" si="32"/>
        <v>0</v>
      </c>
      <c r="Y30" s="330"/>
      <c r="Z30" s="330"/>
      <c r="AA30" s="330"/>
      <c r="AB30" s="330"/>
      <c r="AC30" s="330"/>
      <c r="AD30" s="330"/>
      <c r="AE30" s="331">
        <f t="shared" si="41"/>
        <v>0</v>
      </c>
      <c r="AF30" s="327">
        <v>11</v>
      </c>
      <c r="AG30" s="328">
        <f t="shared" si="33"/>
        <v>429</v>
      </c>
      <c r="AH30" s="328">
        <f t="shared" si="34"/>
        <v>39</v>
      </c>
      <c r="AI30" s="330"/>
      <c r="AJ30" s="330"/>
      <c r="AK30" s="330"/>
      <c r="AL30" s="330">
        <v>429</v>
      </c>
      <c r="AM30" s="330"/>
      <c r="AN30" s="330">
        <v>429</v>
      </c>
      <c r="AO30" s="331">
        <f t="shared" si="42"/>
        <v>0</v>
      </c>
      <c r="AP30" s="327">
        <v>12</v>
      </c>
      <c r="AQ30" s="328">
        <f t="shared" si="35"/>
        <v>4497</v>
      </c>
      <c r="AR30" s="328">
        <f t="shared" si="36"/>
        <v>374.75</v>
      </c>
      <c r="AS30" s="330"/>
      <c r="AT30" s="330"/>
      <c r="AU30" s="330"/>
      <c r="AV30" s="330">
        <f>3497+1000</f>
        <v>4497</v>
      </c>
      <c r="AW30" s="330"/>
      <c r="AX30" s="330">
        <v>4497</v>
      </c>
      <c r="AY30" s="331">
        <f t="shared" si="43"/>
        <v>0</v>
      </c>
      <c r="AZ30" s="334"/>
      <c r="BA30" s="328">
        <f t="shared" si="37"/>
        <v>0</v>
      </c>
      <c r="BB30" s="328">
        <f t="shared" si="38"/>
        <v>0</v>
      </c>
      <c r="BC30" s="330"/>
      <c r="BD30" s="330"/>
      <c r="BE30" s="330"/>
      <c r="BF30" s="330"/>
      <c r="BG30" s="330"/>
      <c r="BH30" s="330"/>
      <c r="BI30" s="331">
        <f t="shared" si="44"/>
        <v>0</v>
      </c>
      <c r="BJ30" s="334"/>
      <c r="BK30" s="328">
        <f t="shared" si="18"/>
        <v>0</v>
      </c>
      <c r="BL30" s="328">
        <f t="shared" si="19"/>
        <v>0</v>
      </c>
      <c r="BM30" s="330"/>
      <c r="BN30" s="330"/>
      <c r="BO30" s="330"/>
      <c r="BP30" s="330"/>
      <c r="BQ30" s="330"/>
      <c r="BR30" s="330"/>
      <c r="BS30" s="331">
        <f t="shared" si="20"/>
        <v>0</v>
      </c>
      <c r="BT30" s="344"/>
      <c r="BU30" s="328">
        <f t="shared" si="24"/>
        <v>0</v>
      </c>
      <c r="BV30" s="328">
        <f t="shared" si="25"/>
        <v>0</v>
      </c>
      <c r="BW30" s="345"/>
      <c r="BX30" s="345"/>
      <c r="BY30" s="345"/>
      <c r="BZ30" s="345"/>
      <c r="CA30" s="345"/>
      <c r="CB30" s="345"/>
      <c r="CC30" s="402">
        <f t="shared" si="23"/>
        <v>0</v>
      </c>
    </row>
    <row r="31" spans="1:81" s="340" customFormat="1" ht="15.95" customHeight="1" x14ac:dyDescent="0.2">
      <c r="A31" s="342" t="s">
        <v>134</v>
      </c>
      <c r="B31" s="327"/>
      <c r="C31" s="328">
        <f t="shared" si="27"/>
        <v>0</v>
      </c>
      <c r="D31" s="328">
        <f t="shared" si="28"/>
        <v>0</v>
      </c>
      <c r="E31" s="330"/>
      <c r="F31" s="330"/>
      <c r="G31" s="330"/>
      <c r="H31" s="330"/>
      <c r="I31" s="330"/>
      <c r="J31" s="330"/>
      <c r="K31" s="331">
        <f t="shared" si="39"/>
        <v>0</v>
      </c>
      <c r="L31" s="327"/>
      <c r="M31" s="328">
        <f t="shared" si="29"/>
        <v>0</v>
      </c>
      <c r="N31" s="328">
        <f t="shared" si="30"/>
        <v>0</v>
      </c>
      <c r="O31" s="330"/>
      <c r="P31" s="330"/>
      <c r="Q31" s="330"/>
      <c r="R31" s="330"/>
      <c r="S31" s="330"/>
      <c r="T31" s="330"/>
      <c r="U31" s="331">
        <f t="shared" si="40"/>
        <v>0</v>
      </c>
      <c r="V31" s="327"/>
      <c r="W31" s="328">
        <f t="shared" si="31"/>
        <v>0</v>
      </c>
      <c r="X31" s="328">
        <f t="shared" si="32"/>
        <v>0</v>
      </c>
      <c r="Y31" s="330"/>
      <c r="Z31" s="330"/>
      <c r="AA31" s="330"/>
      <c r="AB31" s="330"/>
      <c r="AC31" s="330"/>
      <c r="AD31" s="330"/>
      <c r="AE31" s="331">
        <f t="shared" si="41"/>
        <v>0</v>
      </c>
      <c r="AF31" s="327"/>
      <c r="AG31" s="328">
        <f t="shared" si="33"/>
        <v>0</v>
      </c>
      <c r="AH31" s="328">
        <f t="shared" si="34"/>
        <v>0</v>
      </c>
      <c r="AI31" s="330"/>
      <c r="AJ31" s="330"/>
      <c r="AK31" s="330"/>
      <c r="AL31" s="330"/>
      <c r="AM31" s="330"/>
      <c r="AN31" s="330"/>
      <c r="AO31" s="331">
        <f t="shared" si="42"/>
        <v>0</v>
      </c>
      <c r="AP31" s="327">
        <v>1426</v>
      </c>
      <c r="AQ31" s="328">
        <f t="shared" si="35"/>
        <v>1227025</v>
      </c>
      <c r="AR31" s="328">
        <f t="shared" si="36"/>
        <v>860.46633941093967</v>
      </c>
      <c r="AS31" s="330"/>
      <c r="AT31" s="330"/>
      <c r="AU31" s="330"/>
      <c r="AV31" s="330">
        <v>1227025</v>
      </c>
      <c r="AW31" s="330"/>
      <c r="AX31" s="330">
        <v>1161338</v>
      </c>
      <c r="AY31" s="331">
        <f t="shared" si="43"/>
        <v>0</v>
      </c>
      <c r="AZ31" s="334">
        <v>2620</v>
      </c>
      <c r="BA31" s="328">
        <f t="shared" si="37"/>
        <v>4649798</v>
      </c>
      <c r="BB31" s="328">
        <f t="shared" si="38"/>
        <v>1774.7320610687023</v>
      </c>
      <c r="BC31" s="330"/>
      <c r="BD31" s="330"/>
      <c r="BE31" s="330"/>
      <c r="BF31" s="330">
        <f>4649738+60</f>
        <v>4649798</v>
      </c>
      <c r="BG31" s="330"/>
      <c r="BH31" s="330">
        <v>4447716</v>
      </c>
      <c r="BI31" s="331">
        <f t="shared" si="44"/>
        <v>0</v>
      </c>
      <c r="BJ31" s="334">
        <v>6348</v>
      </c>
      <c r="BK31" s="328">
        <f t="shared" si="18"/>
        <v>14588029</v>
      </c>
      <c r="BL31" s="328">
        <f t="shared" si="19"/>
        <v>2298.051197227473</v>
      </c>
      <c r="BM31" s="330"/>
      <c r="BN31" s="330"/>
      <c r="BO31" s="330"/>
      <c r="BP31" s="330">
        <v>14588029</v>
      </c>
      <c r="BQ31" s="330"/>
      <c r="BR31" s="330">
        <v>14485749</v>
      </c>
      <c r="BS31" s="331">
        <f t="shared" si="20"/>
        <v>0</v>
      </c>
      <c r="BT31" s="344"/>
      <c r="BU31" s="328">
        <f t="shared" si="24"/>
        <v>0</v>
      </c>
      <c r="BV31" s="328">
        <f t="shared" si="25"/>
        <v>0</v>
      </c>
      <c r="BW31" s="345"/>
      <c r="BX31" s="345"/>
      <c r="BY31" s="345"/>
      <c r="BZ31" s="345"/>
      <c r="CA31" s="345"/>
      <c r="CB31" s="345"/>
      <c r="CC31" s="402">
        <f t="shared" si="23"/>
        <v>0</v>
      </c>
    </row>
    <row r="32" spans="1:81" s="340" customFormat="1" ht="15.95" customHeight="1" x14ac:dyDescent="0.2">
      <c r="A32" s="342" t="s">
        <v>135</v>
      </c>
      <c r="B32" s="327"/>
      <c r="C32" s="328">
        <f t="shared" si="27"/>
        <v>0</v>
      </c>
      <c r="D32" s="328">
        <f t="shared" si="28"/>
        <v>0</v>
      </c>
      <c r="E32" s="330"/>
      <c r="F32" s="330"/>
      <c r="G32" s="330"/>
      <c r="H32" s="330"/>
      <c r="I32" s="330"/>
      <c r="J32" s="330"/>
      <c r="K32" s="331">
        <f t="shared" si="39"/>
        <v>0</v>
      </c>
      <c r="L32" s="327"/>
      <c r="M32" s="328">
        <f t="shared" si="29"/>
        <v>0</v>
      </c>
      <c r="N32" s="328">
        <f t="shared" si="30"/>
        <v>0</v>
      </c>
      <c r="O32" s="330"/>
      <c r="P32" s="330"/>
      <c r="Q32" s="330"/>
      <c r="R32" s="330"/>
      <c r="S32" s="330"/>
      <c r="T32" s="330"/>
      <c r="U32" s="331">
        <f t="shared" si="40"/>
        <v>0</v>
      </c>
      <c r="V32" s="327"/>
      <c r="W32" s="328">
        <f t="shared" si="31"/>
        <v>0</v>
      </c>
      <c r="X32" s="328">
        <f t="shared" si="32"/>
        <v>0</v>
      </c>
      <c r="Y32" s="330"/>
      <c r="Z32" s="330"/>
      <c r="AA32" s="330"/>
      <c r="AB32" s="330"/>
      <c r="AC32" s="330"/>
      <c r="AD32" s="330"/>
      <c r="AE32" s="331">
        <f t="shared" si="41"/>
        <v>0</v>
      </c>
      <c r="AF32" s="327"/>
      <c r="AG32" s="328">
        <f t="shared" si="33"/>
        <v>0</v>
      </c>
      <c r="AH32" s="328">
        <f t="shared" si="34"/>
        <v>0</v>
      </c>
      <c r="AI32" s="330"/>
      <c r="AJ32" s="330"/>
      <c r="AK32" s="330"/>
      <c r="AL32" s="330"/>
      <c r="AM32" s="330"/>
      <c r="AN32" s="330"/>
      <c r="AO32" s="331">
        <f t="shared" si="42"/>
        <v>0</v>
      </c>
      <c r="AP32" s="327">
        <v>507</v>
      </c>
      <c r="AQ32" s="328">
        <f t="shared" si="35"/>
        <v>274545</v>
      </c>
      <c r="AR32" s="328">
        <f t="shared" si="36"/>
        <v>541.50887573964496</v>
      </c>
      <c r="AS32" s="330"/>
      <c r="AT32" s="330"/>
      <c r="AU32" s="330"/>
      <c r="AV32" s="330">
        <v>274545</v>
      </c>
      <c r="AW32" s="330"/>
      <c r="AX32" s="330">
        <v>254243</v>
      </c>
      <c r="AY32" s="331">
        <f t="shared" si="43"/>
        <v>0</v>
      </c>
      <c r="AZ32" s="334">
        <f>778+818</f>
        <v>1596</v>
      </c>
      <c r="BA32" s="328">
        <f t="shared" si="37"/>
        <v>778353</v>
      </c>
      <c r="BB32" s="328">
        <f t="shared" si="38"/>
        <v>487.68984962406017</v>
      </c>
      <c r="BC32" s="330"/>
      <c r="BD32" s="330"/>
      <c r="BE32" s="330"/>
      <c r="BF32" s="330">
        <f>374156+404197</f>
        <v>778353</v>
      </c>
      <c r="BG32" s="330"/>
      <c r="BH32" s="330">
        <v>700893.32</v>
      </c>
      <c r="BI32" s="331">
        <f t="shared" si="44"/>
        <v>0</v>
      </c>
      <c r="BJ32" s="334">
        <f>351+2638</f>
        <v>2989</v>
      </c>
      <c r="BK32" s="328">
        <f t="shared" si="18"/>
        <v>3670681</v>
      </c>
      <c r="BL32" s="328">
        <f t="shared" si="19"/>
        <v>1228.0632318501171</v>
      </c>
      <c r="BM32" s="330"/>
      <c r="BN32" s="330"/>
      <c r="BO32" s="330"/>
      <c r="BP32" s="330">
        <v>3670681</v>
      </c>
      <c r="BQ32" s="330"/>
      <c r="BR32" s="330">
        <v>1509275</v>
      </c>
      <c r="BS32" s="331">
        <f t="shared" si="20"/>
        <v>0</v>
      </c>
      <c r="BT32" s="344">
        <v>1596</v>
      </c>
      <c r="BU32" s="328">
        <f t="shared" si="24"/>
        <v>1148972</v>
      </c>
      <c r="BV32" s="328">
        <f t="shared" si="25"/>
        <v>719.90726817042605</v>
      </c>
      <c r="BW32" s="345"/>
      <c r="BX32" s="345"/>
      <c r="BY32" s="345"/>
      <c r="BZ32" s="345">
        <v>1148972</v>
      </c>
      <c r="CA32" s="345"/>
      <c r="CB32" s="403">
        <v>873946</v>
      </c>
      <c r="CC32" s="402">
        <f t="shared" si="23"/>
        <v>0</v>
      </c>
    </row>
    <row r="33" spans="1:81" s="340" customFormat="1" ht="15.95" customHeight="1" x14ac:dyDescent="0.2">
      <c r="A33" s="342" t="s">
        <v>136</v>
      </c>
      <c r="B33" s="327"/>
      <c r="C33" s="328">
        <f t="shared" ref="C33:C42" si="45">SUM(E33:I33)</f>
        <v>0</v>
      </c>
      <c r="D33" s="328">
        <f t="shared" si="28"/>
        <v>0</v>
      </c>
      <c r="E33" s="330"/>
      <c r="F33" s="330"/>
      <c r="G33" s="330"/>
      <c r="H33" s="330"/>
      <c r="I33" s="330"/>
      <c r="J33" s="330"/>
      <c r="K33" s="331">
        <f t="shared" si="39"/>
        <v>0</v>
      </c>
      <c r="L33" s="327"/>
      <c r="M33" s="328">
        <f t="shared" si="29"/>
        <v>0</v>
      </c>
      <c r="N33" s="328">
        <f t="shared" si="30"/>
        <v>0</v>
      </c>
      <c r="O33" s="330"/>
      <c r="P33" s="330"/>
      <c r="Q33" s="330"/>
      <c r="R33" s="330"/>
      <c r="S33" s="330"/>
      <c r="T33" s="330"/>
      <c r="U33" s="331">
        <f t="shared" si="40"/>
        <v>0</v>
      </c>
      <c r="V33" s="327"/>
      <c r="W33" s="328">
        <f t="shared" si="31"/>
        <v>0</v>
      </c>
      <c r="X33" s="328">
        <f t="shared" si="32"/>
        <v>0</v>
      </c>
      <c r="Y33" s="330"/>
      <c r="Z33" s="330"/>
      <c r="AA33" s="330"/>
      <c r="AB33" s="330"/>
      <c r="AC33" s="330"/>
      <c r="AD33" s="330"/>
      <c r="AE33" s="331">
        <f t="shared" si="41"/>
        <v>0</v>
      </c>
      <c r="AF33" s="327"/>
      <c r="AG33" s="328">
        <f t="shared" si="33"/>
        <v>0</v>
      </c>
      <c r="AH33" s="328">
        <f t="shared" si="34"/>
        <v>0</v>
      </c>
      <c r="AI33" s="330"/>
      <c r="AJ33" s="330"/>
      <c r="AK33" s="330"/>
      <c r="AL33" s="330"/>
      <c r="AM33" s="330"/>
      <c r="AN33" s="330"/>
      <c r="AO33" s="331">
        <f t="shared" si="42"/>
        <v>0</v>
      </c>
      <c r="AP33" s="327"/>
      <c r="AQ33" s="328">
        <f t="shared" si="35"/>
        <v>0</v>
      </c>
      <c r="AR33" s="328">
        <f t="shared" si="36"/>
        <v>0</v>
      </c>
      <c r="AS33" s="330"/>
      <c r="AT33" s="330"/>
      <c r="AU33" s="330"/>
      <c r="AV33" s="330"/>
      <c r="AW33" s="330"/>
      <c r="AX33" s="330"/>
      <c r="AY33" s="331">
        <f t="shared" si="43"/>
        <v>0</v>
      </c>
      <c r="AZ33" s="334">
        <v>4005</v>
      </c>
      <c r="BA33" s="328">
        <f t="shared" si="37"/>
        <v>2892215</v>
      </c>
      <c r="BB33" s="328">
        <f t="shared" si="38"/>
        <v>722.15106117353309</v>
      </c>
      <c r="BC33" s="330"/>
      <c r="BD33" s="330"/>
      <c r="BE33" s="330">
        <v>2892215</v>
      </c>
      <c r="BF33" s="330"/>
      <c r="BG33" s="330"/>
      <c r="BH33" s="330">
        <v>2758888</v>
      </c>
      <c r="BI33" s="331">
        <f t="shared" si="44"/>
        <v>0</v>
      </c>
      <c r="BJ33" s="334">
        <v>21</v>
      </c>
      <c r="BK33" s="328">
        <f t="shared" si="18"/>
        <v>417</v>
      </c>
      <c r="BL33" s="328">
        <f t="shared" si="19"/>
        <v>19.857142857142858</v>
      </c>
      <c r="BM33" s="330"/>
      <c r="BN33" s="330"/>
      <c r="BO33" s="330">
        <v>417</v>
      </c>
      <c r="BP33" s="330"/>
      <c r="BQ33" s="330"/>
      <c r="BR33" s="330">
        <v>417</v>
      </c>
      <c r="BS33" s="331">
        <f t="shared" si="20"/>
        <v>0</v>
      </c>
      <c r="BT33" s="344">
        <v>1420</v>
      </c>
      <c r="BU33" s="328">
        <f t="shared" si="24"/>
        <v>1176726</v>
      </c>
      <c r="BV33" s="328">
        <f t="shared" si="25"/>
        <v>828.68028169014087</v>
      </c>
      <c r="BW33" s="345"/>
      <c r="BX33" s="345"/>
      <c r="BY33" s="345">
        <v>1176726</v>
      </c>
      <c r="BZ33" s="345"/>
      <c r="CA33" s="345"/>
      <c r="CB33" s="345">
        <v>1176726</v>
      </c>
      <c r="CC33" s="402">
        <f t="shared" si="23"/>
        <v>0</v>
      </c>
    </row>
    <row r="34" spans="1:81" s="340" customFormat="1" ht="15.95" customHeight="1" x14ac:dyDescent="0.2">
      <c r="A34" s="342" t="s">
        <v>138</v>
      </c>
      <c r="B34" s="327"/>
      <c r="C34" s="328">
        <f t="shared" si="45"/>
        <v>0</v>
      </c>
      <c r="D34" s="328">
        <f t="shared" si="28"/>
        <v>0</v>
      </c>
      <c r="E34" s="330"/>
      <c r="F34" s="330"/>
      <c r="G34" s="330"/>
      <c r="H34" s="330"/>
      <c r="I34" s="330"/>
      <c r="J34" s="330"/>
      <c r="K34" s="331">
        <f t="shared" si="39"/>
        <v>0</v>
      </c>
      <c r="L34" s="327"/>
      <c r="M34" s="328">
        <f t="shared" si="29"/>
        <v>0</v>
      </c>
      <c r="N34" s="328">
        <f t="shared" si="30"/>
        <v>0</v>
      </c>
      <c r="O34" s="330"/>
      <c r="P34" s="330"/>
      <c r="Q34" s="330"/>
      <c r="R34" s="330"/>
      <c r="S34" s="330"/>
      <c r="T34" s="330"/>
      <c r="U34" s="331">
        <f t="shared" si="40"/>
        <v>0</v>
      </c>
      <c r="V34" s="327"/>
      <c r="W34" s="328">
        <f t="shared" si="31"/>
        <v>0</v>
      </c>
      <c r="X34" s="328">
        <f t="shared" si="32"/>
        <v>0</v>
      </c>
      <c r="Y34" s="330"/>
      <c r="Z34" s="330"/>
      <c r="AA34" s="330"/>
      <c r="AB34" s="330"/>
      <c r="AC34" s="330"/>
      <c r="AD34" s="330"/>
      <c r="AE34" s="331">
        <f t="shared" si="41"/>
        <v>0</v>
      </c>
      <c r="AF34" s="327"/>
      <c r="AG34" s="328">
        <f t="shared" si="33"/>
        <v>0</v>
      </c>
      <c r="AH34" s="328">
        <f t="shared" si="34"/>
        <v>0</v>
      </c>
      <c r="AI34" s="330"/>
      <c r="AJ34" s="330"/>
      <c r="AK34" s="330"/>
      <c r="AL34" s="330"/>
      <c r="AM34" s="330"/>
      <c r="AN34" s="330"/>
      <c r="AO34" s="331">
        <f t="shared" si="42"/>
        <v>0</v>
      </c>
      <c r="AP34" s="327"/>
      <c r="AQ34" s="328">
        <f t="shared" si="35"/>
        <v>0</v>
      </c>
      <c r="AR34" s="328">
        <f t="shared" si="36"/>
        <v>0</v>
      </c>
      <c r="AS34" s="330"/>
      <c r="AT34" s="330"/>
      <c r="AU34" s="330"/>
      <c r="AV34" s="330"/>
      <c r="AW34" s="330"/>
      <c r="AX34" s="330"/>
      <c r="AY34" s="331">
        <f t="shared" si="43"/>
        <v>0</v>
      </c>
      <c r="AZ34" s="334">
        <v>4</v>
      </c>
      <c r="BA34" s="328">
        <f t="shared" si="37"/>
        <v>3906</v>
      </c>
      <c r="BB34" s="328">
        <f t="shared" si="38"/>
        <v>976.5</v>
      </c>
      <c r="BC34" s="330"/>
      <c r="BD34" s="330"/>
      <c r="BE34" s="330"/>
      <c r="BF34" s="330">
        <v>3906</v>
      </c>
      <c r="BG34" s="330"/>
      <c r="BH34" s="330">
        <v>3906</v>
      </c>
      <c r="BI34" s="331">
        <f t="shared" si="44"/>
        <v>0</v>
      </c>
      <c r="BJ34" s="334"/>
      <c r="BK34" s="328">
        <f t="shared" si="18"/>
        <v>0</v>
      </c>
      <c r="BL34" s="328">
        <f t="shared" si="19"/>
        <v>0</v>
      </c>
      <c r="BM34" s="330"/>
      <c r="BN34" s="330"/>
      <c r="BO34" s="330"/>
      <c r="BP34" s="330"/>
      <c r="BQ34" s="330"/>
      <c r="BR34" s="330"/>
      <c r="BS34" s="331">
        <f t="shared" si="20"/>
        <v>0</v>
      </c>
      <c r="BT34" s="344"/>
      <c r="BU34" s="328">
        <f t="shared" si="24"/>
        <v>0</v>
      </c>
      <c r="BV34" s="328">
        <f t="shared" si="25"/>
        <v>0</v>
      </c>
      <c r="BW34" s="345"/>
      <c r="BX34" s="345"/>
      <c r="BY34" s="345"/>
      <c r="BZ34" s="345"/>
      <c r="CA34" s="345"/>
      <c r="CB34" s="345"/>
      <c r="CC34" s="402">
        <f t="shared" si="23"/>
        <v>0</v>
      </c>
    </row>
    <row r="35" spans="1:81" s="340" customFormat="1" ht="15.95" customHeight="1" x14ac:dyDescent="0.2">
      <c r="A35" s="346" t="s">
        <v>189</v>
      </c>
      <c r="B35" s="327"/>
      <c r="C35" s="328">
        <f t="shared" ref="C35:C38" si="46">SUM(E35:I35)</f>
        <v>0</v>
      </c>
      <c r="D35" s="328">
        <f t="shared" si="28"/>
        <v>0</v>
      </c>
      <c r="E35" s="330"/>
      <c r="F35" s="330"/>
      <c r="G35" s="330"/>
      <c r="H35" s="330"/>
      <c r="I35" s="330"/>
      <c r="J35" s="330"/>
      <c r="K35" s="331">
        <f t="shared" si="39"/>
        <v>0</v>
      </c>
      <c r="L35" s="327"/>
      <c r="M35" s="328">
        <f t="shared" ref="M35:M38" si="47">SUM(O35:S35)</f>
        <v>0</v>
      </c>
      <c r="N35" s="328">
        <f t="shared" si="30"/>
        <v>0</v>
      </c>
      <c r="O35" s="330"/>
      <c r="P35" s="330"/>
      <c r="Q35" s="330"/>
      <c r="R35" s="330"/>
      <c r="S35" s="330"/>
      <c r="T35" s="330"/>
      <c r="U35" s="331">
        <f t="shared" si="40"/>
        <v>0</v>
      </c>
      <c r="V35" s="327"/>
      <c r="W35" s="328">
        <f t="shared" ref="W35:W38" si="48">SUM(Y35:AC35)</f>
        <v>0</v>
      </c>
      <c r="X35" s="328">
        <f t="shared" si="32"/>
        <v>0</v>
      </c>
      <c r="Y35" s="330"/>
      <c r="Z35" s="330"/>
      <c r="AA35" s="330"/>
      <c r="AB35" s="330"/>
      <c r="AC35" s="330"/>
      <c r="AD35" s="330"/>
      <c r="AE35" s="331">
        <f t="shared" si="41"/>
        <v>0</v>
      </c>
      <c r="AF35" s="327"/>
      <c r="AG35" s="328">
        <f t="shared" ref="AG35:AG38" si="49">SUM(AI35:AM35)</f>
        <v>0</v>
      </c>
      <c r="AH35" s="328">
        <f t="shared" si="34"/>
        <v>0</v>
      </c>
      <c r="AI35" s="330"/>
      <c r="AJ35" s="330"/>
      <c r="AK35" s="330"/>
      <c r="AL35" s="330"/>
      <c r="AM35" s="330"/>
      <c r="AN35" s="330"/>
      <c r="AO35" s="331">
        <f t="shared" si="42"/>
        <v>0</v>
      </c>
      <c r="AP35" s="327"/>
      <c r="AQ35" s="328">
        <f t="shared" ref="AQ35:AQ38" si="50">SUM(AS35:AW35)</f>
        <v>0</v>
      </c>
      <c r="AR35" s="328">
        <f t="shared" si="36"/>
        <v>0</v>
      </c>
      <c r="AS35" s="330"/>
      <c r="AT35" s="330"/>
      <c r="AU35" s="330"/>
      <c r="AV35" s="330"/>
      <c r="AW35" s="330"/>
      <c r="AX35" s="330"/>
      <c r="AY35" s="331">
        <f t="shared" si="43"/>
        <v>0</v>
      </c>
      <c r="AZ35" s="334"/>
      <c r="BA35" s="328">
        <f t="shared" ref="BA35:BA38" si="51">SUM(BC35:BG35)</f>
        <v>0</v>
      </c>
      <c r="BB35" s="328">
        <f t="shared" si="38"/>
        <v>0</v>
      </c>
      <c r="BC35" s="330"/>
      <c r="BD35" s="330"/>
      <c r="BE35" s="330"/>
      <c r="BF35" s="330"/>
      <c r="BG35" s="330"/>
      <c r="BH35" s="330"/>
      <c r="BI35" s="331">
        <f t="shared" si="44"/>
        <v>0</v>
      </c>
      <c r="BJ35" s="334"/>
      <c r="BK35" s="328">
        <f t="shared" si="18"/>
        <v>0</v>
      </c>
      <c r="BL35" s="328">
        <f t="shared" si="19"/>
        <v>0</v>
      </c>
      <c r="BM35" s="330"/>
      <c r="BN35" s="330"/>
      <c r="BO35" s="330"/>
      <c r="BP35" s="330"/>
      <c r="BQ35" s="330"/>
      <c r="BR35" s="330"/>
      <c r="BS35" s="331">
        <f t="shared" si="20"/>
        <v>0</v>
      </c>
      <c r="BT35" s="344">
        <v>320</v>
      </c>
      <c r="BU35" s="328">
        <f t="shared" si="24"/>
        <v>804546</v>
      </c>
      <c r="BV35" s="328">
        <f t="shared" si="25"/>
        <v>2514.2062500000002</v>
      </c>
      <c r="BW35" s="345"/>
      <c r="BX35" s="345"/>
      <c r="BY35" s="345">
        <v>804546</v>
      </c>
      <c r="BZ35" s="345"/>
      <c r="CA35" s="345"/>
      <c r="CB35" s="345">
        <v>804546</v>
      </c>
      <c r="CC35" s="402">
        <f t="shared" si="23"/>
        <v>0</v>
      </c>
    </row>
    <row r="36" spans="1:81" s="340" customFormat="1" ht="15.95" customHeight="1" x14ac:dyDescent="0.2">
      <c r="A36" s="346"/>
      <c r="B36" s="327"/>
      <c r="C36" s="328">
        <f t="shared" si="46"/>
        <v>0</v>
      </c>
      <c r="D36" s="328">
        <f t="shared" si="28"/>
        <v>0</v>
      </c>
      <c r="E36" s="330"/>
      <c r="F36" s="330"/>
      <c r="G36" s="330"/>
      <c r="H36" s="330"/>
      <c r="I36" s="330"/>
      <c r="J36" s="330"/>
      <c r="K36" s="331">
        <f t="shared" si="39"/>
        <v>0</v>
      </c>
      <c r="L36" s="327"/>
      <c r="M36" s="328">
        <f t="shared" si="47"/>
        <v>0</v>
      </c>
      <c r="N36" s="328">
        <f t="shared" si="30"/>
        <v>0</v>
      </c>
      <c r="O36" s="330"/>
      <c r="P36" s="330"/>
      <c r="Q36" s="330"/>
      <c r="R36" s="330"/>
      <c r="S36" s="330"/>
      <c r="T36" s="330"/>
      <c r="U36" s="331">
        <f t="shared" si="40"/>
        <v>0</v>
      </c>
      <c r="V36" s="327"/>
      <c r="W36" s="328">
        <f t="shared" si="48"/>
        <v>0</v>
      </c>
      <c r="X36" s="328">
        <f t="shared" si="32"/>
        <v>0</v>
      </c>
      <c r="Y36" s="330"/>
      <c r="Z36" s="330"/>
      <c r="AA36" s="330"/>
      <c r="AB36" s="330"/>
      <c r="AC36" s="330"/>
      <c r="AD36" s="330"/>
      <c r="AE36" s="331">
        <f t="shared" si="41"/>
        <v>0</v>
      </c>
      <c r="AF36" s="327"/>
      <c r="AG36" s="328">
        <f t="shared" si="49"/>
        <v>0</v>
      </c>
      <c r="AH36" s="328">
        <f t="shared" si="34"/>
        <v>0</v>
      </c>
      <c r="AI36" s="330"/>
      <c r="AJ36" s="330"/>
      <c r="AK36" s="330"/>
      <c r="AL36" s="330"/>
      <c r="AM36" s="330"/>
      <c r="AN36" s="330"/>
      <c r="AO36" s="331">
        <f t="shared" si="42"/>
        <v>0</v>
      </c>
      <c r="AP36" s="327"/>
      <c r="AQ36" s="328">
        <f t="shared" si="50"/>
        <v>0</v>
      </c>
      <c r="AR36" s="328">
        <f t="shared" si="36"/>
        <v>0</v>
      </c>
      <c r="AS36" s="330"/>
      <c r="AT36" s="330"/>
      <c r="AU36" s="330"/>
      <c r="AV36" s="330"/>
      <c r="AW36" s="330"/>
      <c r="AX36" s="330"/>
      <c r="AY36" s="331">
        <f t="shared" si="43"/>
        <v>0</v>
      </c>
      <c r="AZ36" s="334"/>
      <c r="BA36" s="328">
        <f t="shared" si="51"/>
        <v>0</v>
      </c>
      <c r="BB36" s="328">
        <f t="shared" si="38"/>
        <v>0</v>
      </c>
      <c r="BC36" s="330"/>
      <c r="BD36" s="330"/>
      <c r="BE36" s="330"/>
      <c r="BF36" s="330"/>
      <c r="BG36" s="330"/>
      <c r="BH36" s="330"/>
      <c r="BI36" s="331">
        <f t="shared" si="44"/>
        <v>0</v>
      </c>
      <c r="BJ36" s="334"/>
      <c r="BK36" s="328">
        <f t="shared" si="18"/>
        <v>0</v>
      </c>
      <c r="BL36" s="328">
        <f t="shared" si="19"/>
        <v>0</v>
      </c>
      <c r="BM36" s="330"/>
      <c r="BN36" s="330"/>
      <c r="BO36" s="330"/>
      <c r="BP36" s="330"/>
      <c r="BQ36" s="330"/>
      <c r="BR36" s="330"/>
      <c r="BS36" s="331">
        <f t="shared" si="20"/>
        <v>0</v>
      </c>
      <c r="BT36" s="344"/>
      <c r="BU36" s="328">
        <f t="shared" si="24"/>
        <v>0</v>
      </c>
      <c r="BV36" s="328">
        <f t="shared" si="25"/>
        <v>0</v>
      </c>
      <c r="BW36" s="345"/>
      <c r="BX36" s="345"/>
      <c r="BY36" s="345"/>
      <c r="BZ36" s="345"/>
      <c r="CA36" s="345"/>
      <c r="CB36" s="345"/>
      <c r="CC36" s="402">
        <f t="shared" si="23"/>
        <v>0</v>
      </c>
    </row>
    <row r="37" spans="1:81" s="340" customFormat="1" ht="15.95" customHeight="1" x14ac:dyDescent="0.2">
      <c r="A37" s="346"/>
      <c r="B37" s="327"/>
      <c r="C37" s="328">
        <f t="shared" si="46"/>
        <v>0</v>
      </c>
      <c r="D37" s="328">
        <f t="shared" si="28"/>
        <v>0</v>
      </c>
      <c r="E37" s="330"/>
      <c r="F37" s="330"/>
      <c r="G37" s="330"/>
      <c r="H37" s="330"/>
      <c r="I37" s="330"/>
      <c r="J37" s="330"/>
      <c r="K37" s="331">
        <f t="shared" si="39"/>
        <v>0</v>
      </c>
      <c r="L37" s="327"/>
      <c r="M37" s="328">
        <f t="shared" si="47"/>
        <v>0</v>
      </c>
      <c r="N37" s="328">
        <f t="shared" si="30"/>
        <v>0</v>
      </c>
      <c r="O37" s="330"/>
      <c r="P37" s="330"/>
      <c r="Q37" s="330"/>
      <c r="R37" s="330"/>
      <c r="S37" s="330"/>
      <c r="T37" s="330"/>
      <c r="U37" s="331">
        <f t="shared" si="40"/>
        <v>0</v>
      </c>
      <c r="V37" s="327"/>
      <c r="W37" s="328">
        <f t="shared" si="48"/>
        <v>0</v>
      </c>
      <c r="X37" s="328">
        <f t="shared" si="32"/>
        <v>0</v>
      </c>
      <c r="Y37" s="330"/>
      <c r="Z37" s="330"/>
      <c r="AA37" s="330"/>
      <c r="AB37" s="330"/>
      <c r="AC37" s="330"/>
      <c r="AD37" s="330"/>
      <c r="AE37" s="331">
        <f t="shared" si="41"/>
        <v>0</v>
      </c>
      <c r="AF37" s="327"/>
      <c r="AG37" s="328">
        <f t="shared" si="49"/>
        <v>0</v>
      </c>
      <c r="AH37" s="328">
        <f t="shared" si="34"/>
        <v>0</v>
      </c>
      <c r="AI37" s="330"/>
      <c r="AJ37" s="330"/>
      <c r="AK37" s="330"/>
      <c r="AL37" s="330"/>
      <c r="AM37" s="330"/>
      <c r="AN37" s="330"/>
      <c r="AO37" s="331">
        <f t="shared" si="42"/>
        <v>0</v>
      </c>
      <c r="AP37" s="327"/>
      <c r="AQ37" s="328">
        <f t="shared" si="50"/>
        <v>0</v>
      </c>
      <c r="AR37" s="328">
        <f t="shared" si="36"/>
        <v>0</v>
      </c>
      <c r="AS37" s="330"/>
      <c r="AT37" s="330"/>
      <c r="AU37" s="330"/>
      <c r="AV37" s="330"/>
      <c r="AW37" s="330"/>
      <c r="AX37" s="330"/>
      <c r="AY37" s="331">
        <f t="shared" si="43"/>
        <v>0</v>
      </c>
      <c r="AZ37" s="334"/>
      <c r="BA37" s="328">
        <f t="shared" si="51"/>
        <v>0</v>
      </c>
      <c r="BB37" s="328">
        <f t="shared" si="38"/>
        <v>0</v>
      </c>
      <c r="BC37" s="330"/>
      <c r="BD37" s="330"/>
      <c r="BE37" s="330"/>
      <c r="BF37" s="330"/>
      <c r="BG37" s="330"/>
      <c r="BH37" s="330"/>
      <c r="BI37" s="331">
        <f t="shared" si="44"/>
        <v>0</v>
      </c>
      <c r="BJ37" s="334"/>
      <c r="BK37" s="328">
        <f t="shared" si="18"/>
        <v>0</v>
      </c>
      <c r="BL37" s="328">
        <f t="shared" si="19"/>
        <v>0</v>
      </c>
      <c r="BM37" s="330"/>
      <c r="BN37" s="330"/>
      <c r="BO37" s="330"/>
      <c r="BP37" s="330"/>
      <c r="BQ37" s="330"/>
      <c r="BR37" s="330"/>
      <c r="BS37" s="331">
        <f t="shared" si="20"/>
        <v>0</v>
      </c>
      <c r="BT37" s="344"/>
      <c r="BU37" s="328">
        <f t="shared" si="24"/>
        <v>0</v>
      </c>
      <c r="BV37" s="328">
        <f t="shared" si="25"/>
        <v>0</v>
      </c>
      <c r="BW37" s="345"/>
      <c r="BX37" s="345"/>
      <c r="BY37" s="345"/>
      <c r="BZ37" s="345"/>
      <c r="CA37" s="345"/>
      <c r="CB37" s="345"/>
      <c r="CC37" s="402">
        <f t="shared" si="23"/>
        <v>0</v>
      </c>
    </row>
    <row r="38" spans="1:81" s="340" customFormat="1" ht="15.95" customHeight="1" x14ac:dyDescent="0.2">
      <c r="A38" s="346"/>
      <c r="B38" s="327"/>
      <c r="C38" s="328">
        <f t="shared" si="46"/>
        <v>0</v>
      </c>
      <c r="D38" s="328">
        <f t="shared" si="28"/>
        <v>0</v>
      </c>
      <c r="E38" s="330"/>
      <c r="F38" s="330"/>
      <c r="G38" s="330"/>
      <c r="H38" s="330"/>
      <c r="I38" s="330"/>
      <c r="J38" s="330"/>
      <c r="K38" s="331">
        <f t="shared" si="39"/>
        <v>0</v>
      </c>
      <c r="L38" s="327"/>
      <c r="M38" s="328">
        <f t="shared" si="47"/>
        <v>0</v>
      </c>
      <c r="N38" s="328">
        <f t="shared" si="30"/>
        <v>0</v>
      </c>
      <c r="O38" s="330"/>
      <c r="P38" s="330"/>
      <c r="Q38" s="330"/>
      <c r="R38" s="330"/>
      <c r="S38" s="330"/>
      <c r="T38" s="330"/>
      <c r="U38" s="331">
        <f t="shared" si="40"/>
        <v>0</v>
      </c>
      <c r="V38" s="327"/>
      <c r="W38" s="328">
        <f t="shared" si="48"/>
        <v>0</v>
      </c>
      <c r="X38" s="328">
        <f t="shared" si="32"/>
        <v>0</v>
      </c>
      <c r="Y38" s="330"/>
      <c r="Z38" s="330"/>
      <c r="AA38" s="330"/>
      <c r="AB38" s="330"/>
      <c r="AC38" s="330"/>
      <c r="AD38" s="330"/>
      <c r="AE38" s="331">
        <f t="shared" si="41"/>
        <v>0</v>
      </c>
      <c r="AF38" s="327"/>
      <c r="AG38" s="328">
        <f t="shared" si="49"/>
        <v>0</v>
      </c>
      <c r="AH38" s="328">
        <f t="shared" si="34"/>
        <v>0</v>
      </c>
      <c r="AI38" s="330"/>
      <c r="AJ38" s="330"/>
      <c r="AK38" s="330"/>
      <c r="AL38" s="330"/>
      <c r="AM38" s="330"/>
      <c r="AN38" s="330"/>
      <c r="AO38" s="331">
        <f t="shared" si="42"/>
        <v>0</v>
      </c>
      <c r="AP38" s="327"/>
      <c r="AQ38" s="328">
        <f t="shared" si="50"/>
        <v>0</v>
      </c>
      <c r="AR38" s="328">
        <f t="shared" si="36"/>
        <v>0</v>
      </c>
      <c r="AS38" s="330"/>
      <c r="AT38" s="330"/>
      <c r="AU38" s="330"/>
      <c r="AV38" s="330"/>
      <c r="AW38" s="330"/>
      <c r="AX38" s="330"/>
      <c r="AY38" s="331">
        <f t="shared" si="43"/>
        <v>0</v>
      </c>
      <c r="AZ38" s="334"/>
      <c r="BA38" s="328">
        <f t="shared" si="51"/>
        <v>0</v>
      </c>
      <c r="BB38" s="328">
        <f t="shared" si="38"/>
        <v>0</v>
      </c>
      <c r="BC38" s="330"/>
      <c r="BD38" s="330"/>
      <c r="BE38" s="330"/>
      <c r="BF38" s="330"/>
      <c r="BG38" s="330"/>
      <c r="BH38" s="330"/>
      <c r="BI38" s="331">
        <f t="shared" si="44"/>
        <v>0</v>
      </c>
      <c r="BJ38" s="334"/>
      <c r="BK38" s="328">
        <f t="shared" si="18"/>
        <v>0</v>
      </c>
      <c r="BL38" s="328">
        <f t="shared" si="19"/>
        <v>0</v>
      </c>
      <c r="BM38" s="330"/>
      <c r="BN38" s="330"/>
      <c r="BO38" s="330"/>
      <c r="BP38" s="330"/>
      <c r="BQ38" s="330"/>
      <c r="BR38" s="330"/>
      <c r="BS38" s="331">
        <f t="shared" si="20"/>
        <v>0</v>
      </c>
      <c r="BT38" s="344"/>
      <c r="BU38" s="328">
        <f t="shared" si="24"/>
        <v>0</v>
      </c>
      <c r="BV38" s="328">
        <f t="shared" si="25"/>
        <v>0</v>
      </c>
      <c r="BW38" s="345"/>
      <c r="BX38" s="345"/>
      <c r="BY38" s="345"/>
      <c r="BZ38" s="345"/>
      <c r="CA38" s="345"/>
      <c r="CB38" s="345"/>
      <c r="CC38" s="402">
        <f t="shared" si="23"/>
        <v>0</v>
      </c>
    </row>
    <row r="39" spans="1:81" s="340" customFormat="1" ht="15.95" customHeight="1" x14ac:dyDescent="0.2">
      <c r="A39" s="346"/>
      <c r="B39" s="327"/>
      <c r="C39" s="328">
        <f t="shared" si="45"/>
        <v>0</v>
      </c>
      <c r="D39" s="328">
        <f t="shared" si="28"/>
        <v>0</v>
      </c>
      <c r="E39" s="330"/>
      <c r="F39" s="330"/>
      <c r="G39" s="330"/>
      <c r="H39" s="330"/>
      <c r="I39" s="330"/>
      <c r="J39" s="330"/>
      <c r="K39" s="331">
        <f t="shared" si="39"/>
        <v>0</v>
      </c>
      <c r="L39" s="327"/>
      <c r="M39" s="328">
        <f t="shared" si="29"/>
        <v>0</v>
      </c>
      <c r="N39" s="328">
        <f t="shared" si="30"/>
        <v>0</v>
      </c>
      <c r="O39" s="330"/>
      <c r="P39" s="330"/>
      <c r="Q39" s="330"/>
      <c r="R39" s="330"/>
      <c r="S39" s="330"/>
      <c r="T39" s="330"/>
      <c r="U39" s="331">
        <f t="shared" si="40"/>
        <v>0</v>
      </c>
      <c r="V39" s="327"/>
      <c r="W39" s="328">
        <f t="shared" si="31"/>
        <v>0</v>
      </c>
      <c r="X39" s="328">
        <f t="shared" si="32"/>
        <v>0</v>
      </c>
      <c r="Y39" s="330"/>
      <c r="Z39" s="330"/>
      <c r="AA39" s="330"/>
      <c r="AB39" s="330"/>
      <c r="AC39" s="330"/>
      <c r="AD39" s="330"/>
      <c r="AE39" s="331">
        <f t="shared" si="41"/>
        <v>0</v>
      </c>
      <c r="AF39" s="327"/>
      <c r="AG39" s="328">
        <f t="shared" si="33"/>
        <v>0</v>
      </c>
      <c r="AH39" s="328">
        <f t="shared" si="34"/>
        <v>0</v>
      </c>
      <c r="AI39" s="330"/>
      <c r="AJ39" s="330"/>
      <c r="AK39" s="330"/>
      <c r="AL39" s="330"/>
      <c r="AM39" s="330"/>
      <c r="AN39" s="330"/>
      <c r="AO39" s="331">
        <f t="shared" si="42"/>
        <v>0</v>
      </c>
      <c r="AP39" s="327"/>
      <c r="AQ39" s="328">
        <f t="shared" si="35"/>
        <v>0</v>
      </c>
      <c r="AR39" s="328">
        <f t="shared" si="36"/>
        <v>0</v>
      </c>
      <c r="AS39" s="330"/>
      <c r="AT39" s="330"/>
      <c r="AU39" s="330"/>
      <c r="AV39" s="330"/>
      <c r="AW39" s="330"/>
      <c r="AX39" s="330"/>
      <c r="AY39" s="331">
        <f t="shared" si="43"/>
        <v>0</v>
      </c>
      <c r="AZ39" s="334"/>
      <c r="BA39" s="328">
        <f t="shared" si="37"/>
        <v>0</v>
      </c>
      <c r="BB39" s="328">
        <f t="shared" si="38"/>
        <v>0</v>
      </c>
      <c r="BC39" s="330"/>
      <c r="BD39" s="330"/>
      <c r="BE39" s="330"/>
      <c r="BF39" s="330"/>
      <c r="BG39" s="330"/>
      <c r="BH39" s="330"/>
      <c r="BI39" s="331">
        <f t="shared" si="44"/>
        <v>0</v>
      </c>
      <c r="BJ39" s="334"/>
      <c r="BK39" s="328">
        <f t="shared" si="18"/>
        <v>0</v>
      </c>
      <c r="BL39" s="328">
        <f t="shared" si="19"/>
        <v>0</v>
      </c>
      <c r="BM39" s="330"/>
      <c r="BN39" s="330"/>
      <c r="BO39" s="330"/>
      <c r="BP39" s="330"/>
      <c r="BQ39" s="330"/>
      <c r="BR39" s="330"/>
      <c r="BS39" s="331">
        <f t="shared" si="20"/>
        <v>0</v>
      </c>
      <c r="BT39" s="344"/>
      <c r="BU39" s="328">
        <f t="shared" si="24"/>
        <v>0</v>
      </c>
      <c r="BV39" s="328">
        <f t="shared" si="25"/>
        <v>0</v>
      </c>
      <c r="BW39" s="345"/>
      <c r="BX39" s="345"/>
      <c r="BY39" s="345"/>
      <c r="BZ39" s="345"/>
      <c r="CA39" s="345"/>
      <c r="CB39" s="345"/>
      <c r="CC39" s="402">
        <f t="shared" si="23"/>
        <v>0</v>
      </c>
    </row>
    <row r="40" spans="1:81" s="340" customFormat="1" ht="15.95" customHeight="1" x14ac:dyDescent="0.2">
      <c r="A40" s="346"/>
      <c r="B40" s="327"/>
      <c r="C40" s="328">
        <f t="shared" si="45"/>
        <v>0</v>
      </c>
      <c r="D40" s="328">
        <f t="shared" si="28"/>
        <v>0</v>
      </c>
      <c r="E40" s="330"/>
      <c r="F40" s="330"/>
      <c r="G40" s="330"/>
      <c r="H40" s="330"/>
      <c r="I40" s="330"/>
      <c r="J40" s="330"/>
      <c r="K40" s="331">
        <f t="shared" si="39"/>
        <v>0</v>
      </c>
      <c r="L40" s="327"/>
      <c r="M40" s="328">
        <f t="shared" si="29"/>
        <v>0</v>
      </c>
      <c r="N40" s="328">
        <f t="shared" si="30"/>
        <v>0</v>
      </c>
      <c r="O40" s="330"/>
      <c r="P40" s="330"/>
      <c r="Q40" s="330"/>
      <c r="R40" s="330"/>
      <c r="S40" s="330"/>
      <c r="T40" s="330"/>
      <c r="U40" s="331">
        <f t="shared" si="40"/>
        <v>0</v>
      </c>
      <c r="V40" s="327"/>
      <c r="W40" s="328">
        <f t="shared" si="31"/>
        <v>0</v>
      </c>
      <c r="X40" s="328">
        <f t="shared" si="32"/>
        <v>0</v>
      </c>
      <c r="Y40" s="330"/>
      <c r="Z40" s="330"/>
      <c r="AA40" s="330"/>
      <c r="AB40" s="330"/>
      <c r="AC40" s="330"/>
      <c r="AD40" s="330"/>
      <c r="AE40" s="331">
        <f t="shared" si="41"/>
        <v>0</v>
      </c>
      <c r="AF40" s="327"/>
      <c r="AG40" s="328">
        <f t="shared" si="33"/>
        <v>0</v>
      </c>
      <c r="AH40" s="328">
        <f t="shared" si="34"/>
        <v>0</v>
      </c>
      <c r="AI40" s="330"/>
      <c r="AJ40" s="330"/>
      <c r="AK40" s="330"/>
      <c r="AL40" s="330"/>
      <c r="AM40" s="330"/>
      <c r="AN40" s="330"/>
      <c r="AO40" s="331">
        <f t="shared" si="42"/>
        <v>0</v>
      </c>
      <c r="AP40" s="327"/>
      <c r="AQ40" s="328">
        <f t="shared" si="35"/>
        <v>0</v>
      </c>
      <c r="AR40" s="328">
        <f t="shared" si="36"/>
        <v>0</v>
      </c>
      <c r="AS40" s="330"/>
      <c r="AT40" s="330"/>
      <c r="AU40" s="330"/>
      <c r="AV40" s="330"/>
      <c r="AW40" s="330"/>
      <c r="AX40" s="330"/>
      <c r="AY40" s="331">
        <f t="shared" si="43"/>
        <v>0</v>
      </c>
      <c r="AZ40" s="334"/>
      <c r="BA40" s="328">
        <f t="shared" si="37"/>
        <v>0</v>
      </c>
      <c r="BB40" s="328">
        <f t="shared" si="38"/>
        <v>0</v>
      </c>
      <c r="BC40" s="330"/>
      <c r="BD40" s="330"/>
      <c r="BE40" s="330"/>
      <c r="BF40" s="330"/>
      <c r="BG40" s="330"/>
      <c r="BH40" s="330"/>
      <c r="BI40" s="331">
        <f t="shared" si="44"/>
        <v>0</v>
      </c>
      <c r="BJ40" s="334"/>
      <c r="BK40" s="328">
        <f t="shared" si="18"/>
        <v>0</v>
      </c>
      <c r="BL40" s="328">
        <f t="shared" si="19"/>
        <v>0</v>
      </c>
      <c r="BM40" s="330"/>
      <c r="BN40" s="330"/>
      <c r="BO40" s="330"/>
      <c r="BP40" s="330"/>
      <c r="BQ40" s="330"/>
      <c r="BR40" s="330"/>
      <c r="BS40" s="331">
        <f t="shared" si="20"/>
        <v>0</v>
      </c>
      <c r="BT40" s="344"/>
      <c r="BU40" s="328">
        <f t="shared" si="24"/>
        <v>0</v>
      </c>
      <c r="BV40" s="328">
        <f t="shared" si="25"/>
        <v>0</v>
      </c>
      <c r="BW40" s="345"/>
      <c r="BX40" s="345"/>
      <c r="BY40" s="345"/>
      <c r="BZ40" s="345"/>
      <c r="CA40" s="345"/>
      <c r="CB40" s="345"/>
      <c r="CC40" s="402">
        <f t="shared" si="23"/>
        <v>0</v>
      </c>
    </row>
    <row r="41" spans="1:81" s="340" customFormat="1" ht="15.95" customHeight="1" x14ac:dyDescent="0.2">
      <c r="A41" s="346"/>
      <c r="B41" s="327"/>
      <c r="C41" s="328">
        <f t="shared" si="45"/>
        <v>0</v>
      </c>
      <c r="D41" s="328">
        <f t="shared" si="28"/>
        <v>0</v>
      </c>
      <c r="E41" s="330"/>
      <c r="F41" s="330"/>
      <c r="G41" s="330"/>
      <c r="H41" s="330"/>
      <c r="I41" s="330"/>
      <c r="J41" s="330"/>
      <c r="K41" s="331">
        <f t="shared" si="39"/>
        <v>0</v>
      </c>
      <c r="L41" s="327"/>
      <c r="M41" s="328">
        <f t="shared" si="29"/>
        <v>0</v>
      </c>
      <c r="N41" s="328">
        <f t="shared" si="30"/>
        <v>0</v>
      </c>
      <c r="O41" s="330"/>
      <c r="P41" s="330"/>
      <c r="Q41" s="330"/>
      <c r="R41" s="330"/>
      <c r="S41" s="330"/>
      <c r="T41" s="330"/>
      <c r="U41" s="331">
        <f t="shared" si="40"/>
        <v>0</v>
      </c>
      <c r="V41" s="327"/>
      <c r="W41" s="328">
        <f t="shared" si="31"/>
        <v>0</v>
      </c>
      <c r="X41" s="328">
        <f t="shared" si="32"/>
        <v>0</v>
      </c>
      <c r="Y41" s="330"/>
      <c r="Z41" s="330"/>
      <c r="AA41" s="330"/>
      <c r="AB41" s="330"/>
      <c r="AC41" s="330"/>
      <c r="AD41" s="330"/>
      <c r="AE41" s="331">
        <f t="shared" si="41"/>
        <v>0</v>
      </c>
      <c r="AF41" s="327"/>
      <c r="AG41" s="328">
        <f t="shared" si="33"/>
        <v>0</v>
      </c>
      <c r="AH41" s="328">
        <f t="shared" si="34"/>
        <v>0</v>
      </c>
      <c r="AI41" s="330"/>
      <c r="AJ41" s="330"/>
      <c r="AK41" s="330"/>
      <c r="AL41" s="330"/>
      <c r="AM41" s="330"/>
      <c r="AN41" s="330"/>
      <c r="AO41" s="331">
        <f t="shared" si="42"/>
        <v>0</v>
      </c>
      <c r="AP41" s="327"/>
      <c r="AQ41" s="328">
        <f t="shared" si="35"/>
        <v>0</v>
      </c>
      <c r="AR41" s="328">
        <f t="shared" si="36"/>
        <v>0</v>
      </c>
      <c r="AS41" s="330"/>
      <c r="AT41" s="330"/>
      <c r="AU41" s="330"/>
      <c r="AV41" s="330"/>
      <c r="AW41" s="330"/>
      <c r="AX41" s="330"/>
      <c r="AY41" s="331">
        <f t="shared" si="43"/>
        <v>0</v>
      </c>
      <c r="AZ41" s="334"/>
      <c r="BA41" s="328">
        <f t="shared" si="37"/>
        <v>0</v>
      </c>
      <c r="BB41" s="328">
        <f t="shared" si="38"/>
        <v>0</v>
      </c>
      <c r="BC41" s="330"/>
      <c r="BD41" s="330"/>
      <c r="BE41" s="330"/>
      <c r="BF41" s="330"/>
      <c r="BG41" s="330"/>
      <c r="BH41" s="330"/>
      <c r="BI41" s="331">
        <f t="shared" si="44"/>
        <v>0</v>
      </c>
      <c r="BJ41" s="334"/>
      <c r="BK41" s="328">
        <f t="shared" si="18"/>
        <v>0</v>
      </c>
      <c r="BL41" s="328">
        <f t="shared" si="19"/>
        <v>0</v>
      </c>
      <c r="BM41" s="330"/>
      <c r="BN41" s="330"/>
      <c r="BO41" s="330"/>
      <c r="BP41" s="330"/>
      <c r="BQ41" s="330"/>
      <c r="BR41" s="330"/>
      <c r="BS41" s="331">
        <f t="shared" si="20"/>
        <v>0</v>
      </c>
      <c r="BT41" s="344"/>
      <c r="BU41" s="328">
        <f t="shared" si="24"/>
        <v>0</v>
      </c>
      <c r="BV41" s="328">
        <f t="shared" si="25"/>
        <v>0</v>
      </c>
      <c r="BW41" s="345"/>
      <c r="BX41" s="345"/>
      <c r="BY41" s="345"/>
      <c r="BZ41" s="345"/>
      <c r="CA41" s="345"/>
      <c r="CB41" s="345"/>
      <c r="CC41" s="402">
        <f t="shared" si="23"/>
        <v>0</v>
      </c>
    </row>
    <row r="42" spans="1:81" s="340" customFormat="1" ht="15.95" customHeight="1" x14ac:dyDescent="0.2">
      <c r="A42" s="346"/>
      <c r="B42" s="327"/>
      <c r="C42" s="328">
        <f t="shared" si="45"/>
        <v>0</v>
      </c>
      <c r="D42" s="328">
        <f t="shared" si="28"/>
        <v>0</v>
      </c>
      <c r="E42" s="330"/>
      <c r="F42" s="330"/>
      <c r="G42" s="330"/>
      <c r="H42" s="330"/>
      <c r="I42" s="330"/>
      <c r="J42" s="330"/>
      <c r="K42" s="331">
        <f t="shared" si="39"/>
        <v>0</v>
      </c>
      <c r="L42" s="327"/>
      <c r="M42" s="328">
        <f t="shared" si="29"/>
        <v>0</v>
      </c>
      <c r="N42" s="328">
        <f t="shared" si="30"/>
        <v>0</v>
      </c>
      <c r="O42" s="330"/>
      <c r="P42" s="330"/>
      <c r="Q42" s="330"/>
      <c r="R42" s="330"/>
      <c r="S42" s="330"/>
      <c r="T42" s="330"/>
      <c r="U42" s="331">
        <f t="shared" si="40"/>
        <v>0</v>
      </c>
      <c r="V42" s="327"/>
      <c r="W42" s="328">
        <f t="shared" si="31"/>
        <v>0</v>
      </c>
      <c r="X42" s="328">
        <f t="shared" si="32"/>
        <v>0</v>
      </c>
      <c r="Y42" s="330"/>
      <c r="Z42" s="330"/>
      <c r="AA42" s="330"/>
      <c r="AB42" s="330"/>
      <c r="AC42" s="330"/>
      <c r="AD42" s="330"/>
      <c r="AE42" s="331">
        <f t="shared" si="41"/>
        <v>0</v>
      </c>
      <c r="AF42" s="327"/>
      <c r="AG42" s="328">
        <f t="shared" si="33"/>
        <v>0</v>
      </c>
      <c r="AH42" s="328">
        <f t="shared" si="34"/>
        <v>0</v>
      </c>
      <c r="AI42" s="330"/>
      <c r="AJ42" s="330"/>
      <c r="AK42" s="330"/>
      <c r="AL42" s="330"/>
      <c r="AM42" s="330"/>
      <c r="AN42" s="330"/>
      <c r="AO42" s="331">
        <f t="shared" si="42"/>
        <v>0</v>
      </c>
      <c r="AP42" s="327"/>
      <c r="AQ42" s="328">
        <f t="shared" si="35"/>
        <v>0</v>
      </c>
      <c r="AR42" s="328">
        <f t="shared" si="36"/>
        <v>0</v>
      </c>
      <c r="AS42" s="330"/>
      <c r="AT42" s="330"/>
      <c r="AU42" s="330"/>
      <c r="AV42" s="330"/>
      <c r="AW42" s="330"/>
      <c r="AX42" s="330"/>
      <c r="AY42" s="331">
        <f t="shared" si="43"/>
        <v>0</v>
      </c>
      <c r="AZ42" s="334"/>
      <c r="BA42" s="328">
        <f t="shared" si="37"/>
        <v>0</v>
      </c>
      <c r="BB42" s="328">
        <f t="shared" si="38"/>
        <v>0</v>
      </c>
      <c r="BC42" s="330"/>
      <c r="BD42" s="330"/>
      <c r="BE42" s="330"/>
      <c r="BF42" s="330"/>
      <c r="BG42" s="330"/>
      <c r="BH42" s="330"/>
      <c r="BI42" s="331">
        <f t="shared" si="44"/>
        <v>0</v>
      </c>
      <c r="BJ42" s="334"/>
      <c r="BK42" s="328">
        <f t="shared" si="18"/>
        <v>0</v>
      </c>
      <c r="BL42" s="328">
        <f t="shared" si="19"/>
        <v>0</v>
      </c>
      <c r="BM42" s="330"/>
      <c r="BN42" s="330"/>
      <c r="BO42" s="330"/>
      <c r="BP42" s="330"/>
      <c r="BQ42" s="330"/>
      <c r="BR42" s="330"/>
      <c r="BS42" s="331">
        <f t="shared" si="20"/>
        <v>0</v>
      </c>
      <c r="BT42" s="344"/>
      <c r="BU42" s="328">
        <f t="shared" si="24"/>
        <v>0</v>
      </c>
      <c r="BV42" s="328">
        <f t="shared" si="25"/>
        <v>0</v>
      </c>
      <c r="BW42" s="345"/>
      <c r="BX42" s="345"/>
      <c r="BY42" s="345"/>
      <c r="BZ42" s="345"/>
      <c r="CA42" s="345"/>
      <c r="CB42" s="345"/>
      <c r="CC42" s="402">
        <f t="shared" si="23"/>
        <v>0</v>
      </c>
    </row>
    <row r="43" spans="1:81" s="340" customFormat="1" ht="15.95" customHeight="1" x14ac:dyDescent="0.2">
      <c r="A43" s="346"/>
      <c r="B43" s="327"/>
      <c r="C43" s="328">
        <f t="shared" si="27"/>
        <v>0</v>
      </c>
      <c r="D43" s="328">
        <f t="shared" si="28"/>
        <v>0</v>
      </c>
      <c r="E43" s="330"/>
      <c r="F43" s="330"/>
      <c r="G43" s="330"/>
      <c r="H43" s="330"/>
      <c r="I43" s="330"/>
      <c r="J43" s="330"/>
      <c r="K43" s="331">
        <f t="shared" si="39"/>
        <v>0</v>
      </c>
      <c r="L43" s="327"/>
      <c r="M43" s="328">
        <f t="shared" si="29"/>
        <v>0</v>
      </c>
      <c r="N43" s="328">
        <f t="shared" si="30"/>
        <v>0</v>
      </c>
      <c r="O43" s="330"/>
      <c r="P43" s="330"/>
      <c r="Q43" s="330"/>
      <c r="R43" s="330"/>
      <c r="S43" s="330"/>
      <c r="T43" s="330"/>
      <c r="U43" s="331">
        <f t="shared" si="40"/>
        <v>0</v>
      </c>
      <c r="V43" s="327"/>
      <c r="W43" s="328">
        <f t="shared" si="31"/>
        <v>0</v>
      </c>
      <c r="X43" s="328">
        <f t="shared" si="32"/>
        <v>0</v>
      </c>
      <c r="Y43" s="330"/>
      <c r="Z43" s="330"/>
      <c r="AA43" s="330"/>
      <c r="AB43" s="330"/>
      <c r="AC43" s="330"/>
      <c r="AD43" s="330"/>
      <c r="AE43" s="331">
        <f t="shared" si="41"/>
        <v>0</v>
      </c>
      <c r="AF43" s="327"/>
      <c r="AG43" s="328">
        <f t="shared" si="33"/>
        <v>0</v>
      </c>
      <c r="AH43" s="328">
        <f t="shared" si="34"/>
        <v>0</v>
      </c>
      <c r="AI43" s="330"/>
      <c r="AJ43" s="330"/>
      <c r="AK43" s="330"/>
      <c r="AL43" s="330"/>
      <c r="AM43" s="330"/>
      <c r="AN43" s="330"/>
      <c r="AO43" s="331">
        <f t="shared" si="42"/>
        <v>0</v>
      </c>
      <c r="AP43" s="327"/>
      <c r="AQ43" s="328">
        <f t="shared" si="35"/>
        <v>0</v>
      </c>
      <c r="AR43" s="328">
        <f t="shared" si="36"/>
        <v>0</v>
      </c>
      <c r="AS43" s="330"/>
      <c r="AT43" s="330"/>
      <c r="AU43" s="330"/>
      <c r="AV43" s="330"/>
      <c r="AW43" s="330"/>
      <c r="AX43" s="330"/>
      <c r="AY43" s="331">
        <f t="shared" si="43"/>
        <v>0</v>
      </c>
      <c r="AZ43" s="334"/>
      <c r="BA43" s="328">
        <f t="shared" si="37"/>
        <v>0</v>
      </c>
      <c r="BB43" s="328">
        <f t="shared" si="38"/>
        <v>0</v>
      </c>
      <c r="BC43" s="330"/>
      <c r="BD43" s="330"/>
      <c r="BE43" s="330"/>
      <c r="BF43" s="330"/>
      <c r="BG43" s="330"/>
      <c r="BH43" s="330"/>
      <c r="BI43" s="331">
        <f t="shared" si="44"/>
        <v>0</v>
      </c>
      <c r="BJ43" s="334"/>
      <c r="BK43" s="328">
        <f t="shared" si="18"/>
        <v>0</v>
      </c>
      <c r="BL43" s="328">
        <f t="shared" si="19"/>
        <v>0</v>
      </c>
      <c r="BM43" s="330"/>
      <c r="BN43" s="330"/>
      <c r="BO43" s="330"/>
      <c r="BP43" s="330"/>
      <c r="BQ43" s="330"/>
      <c r="BR43" s="330"/>
      <c r="BS43" s="331">
        <f t="shared" si="20"/>
        <v>0</v>
      </c>
      <c r="BT43" s="344"/>
      <c r="BU43" s="328">
        <f t="shared" si="24"/>
        <v>0</v>
      </c>
      <c r="BV43" s="328">
        <f t="shared" si="25"/>
        <v>0</v>
      </c>
      <c r="BW43" s="345"/>
      <c r="BX43" s="345"/>
      <c r="BY43" s="345"/>
      <c r="BZ43" s="345"/>
      <c r="CA43" s="345"/>
      <c r="CB43" s="345"/>
      <c r="CC43" s="402">
        <f t="shared" si="23"/>
        <v>0</v>
      </c>
    </row>
    <row r="44" spans="1:81" s="340" customFormat="1" ht="15.95" customHeight="1" x14ac:dyDescent="0.2">
      <c r="A44" s="347" t="s">
        <v>139</v>
      </c>
      <c r="B44" s="327"/>
      <c r="C44" s="328"/>
      <c r="D44" s="328"/>
      <c r="E44" s="330"/>
      <c r="F44" s="330"/>
      <c r="G44" s="330"/>
      <c r="H44" s="330"/>
      <c r="I44" s="330"/>
      <c r="J44" s="330"/>
      <c r="K44" s="331"/>
      <c r="L44" s="327"/>
      <c r="M44" s="328"/>
      <c r="N44" s="328"/>
      <c r="O44" s="330"/>
      <c r="P44" s="330"/>
      <c r="Q44" s="330"/>
      <c r="R44" s="330"/>
      <c r="S44" s="330"/>
      <c r="T44" s="330"/>
      <c r="U44" s="331"/>
      <c r="V44" s="327"/>
      <c r="W44" s="328"/>
      <c r="X44" s="328"/>
      <c r="Y44" s="330"/>
      <c r="Z44" s="330"/>
      <c r="AA44" s="330"/>
      <c r="AB44" s="330"/>
      <c r="AC44" s="330"/>
      <c r="AD44" s="330"/>
      <c r="AE44" s="331"/>
      <c r="AF44" s="327"/>
      <c r="AG44" s="328"/>
      <c r="AH44" s="328"/>
      <c r="AI44" s="330"/>
      <c r="AJ44" s="330"/>
      <c r="AK44" s="330"/>
      <c r="AL44" s="330"/>
      <c r="AM44" s="330"/>
      <c r="AN44" s="330"/>
      <c r="AO44" s="331"/>
      <c r="AP44" s="327"/>
      <c r="AQ44" s="328"/>
      <c r="AR44" s="328"/>
      <c r="AS44" s="330"/>
      <c r="AT44" s="330"/>
      <c r="AU44" s="330"/>
      <c r="AV44" s="330"/>
      <c r="AW44" s="330"/>
      <c r="AX44" s="330"/>
      <c r="AY44" s="331"/>
      <c r="AZ44" s="334"/>
      <c r="BA44" s="328"/>
      <c r="BB44" s="328"/>
      <c r="BC44" s="330"/>
      <c r="BD44" s="330"/>
      <c r="BE44" s="330"/>
      <c r="BF44" s="330"/>
      <c r="BG44" s="330"/>
      <c r="BH44" s="330"/>
      <c r="BI44" s="331"/>
      <c r="BJ44" s="334"/>
      <c r="BK44" s="328"/>
      <c r="BL44" s="328"/>
      <c r="BM44" s="330"/>
      <c r="BN44" s="330"/>
      <c r="BO44" s="330"/>
      <c r="BP44" s="330"/>
      <c r="BQ44" s="330"/>
      <c r="BR44" s="330"/>
      <c r="BS44" s="331"/>
      <c r="BT44" s="334"/>
      <c r="BU44" s="328"/>
      <c r="BV44" s="328"/>
      <c r="BW44" s="330"/>
      <c r="BX44" s="330"/>
      <c r="BY44" s="330"/>
      <c r="BZ44" s="330"/>
      <c r="CA44" s="330"/>
      <c r="CB44" s="330"/>
      <c r="CC44" s="331"/>
    </row>
    <row r="45" spans="1:81" s="340" customFormat="1" ht="15.95" customHeight="1" x14ac:dyDescent="0.2">
      <c r="A45" s="348" t="s">
        <v>140</v>
      </c>
      <c r="B45" s="349">
        <f>SUM(B$10:B44)</f>
        <v>14223</v>
      </c>
      <c r="C45" s="328">
        <f>SUM(C$10:C44)</f>
        <v>23088153</v>
      </c>
      <c r="D45" s="328">
        <f>IFERROR(C45/B45,0)</f>
        <v>1623.2969837587007</v>
      </c>
      <c r="E45" s="350">
        <f>SUM(E$10:E44)</f>
        <v>1119309</v>
      </c>
      <c r="F45" s="350">
        <f>SUM(F$10:F44)</f>
        <v>0</v>
      </c>
      <c r="G45" s="350">
        <f>SUM(G$10:G44)</f>
        <v>1166158</v>
      </c>
      <c r="H45" s="350">
        <f>SUM(H$10:H44)</f>
        <v>20647175</v>
      </c>
      <c r="I45" s="350">
        <f>SUM(I$10:I44)</f>
        <v>155511</v>
      </c>
      <c r="J45" s="350">
        <f>SUM(J$10:J44)</f>
        <v>21888215</v>
      </c>
      <c r="K45" s="350">
        <f>SUM(K$10:K44)</f>
        <v>1085965</v>
      </c>
      <c r="L45" s="349">
        <f>SUM(L$10:L44)</f>
        <v>12935</v>
      </c>
      <c r="M45" s="328">
        <f>SUM(M$10:M44)</f>
        <v>21943384</v>
      </c>
      <c r="N45" s="328">
        <f>IFERROR(M45/L45,0)</f>
        <v>1696.4347893312718</v>
      </c>
      <c r="O45" s="350">
        <f>SUM(O$10:O44)</f>
        <v>677085</v>
      </c>
      <c r="P45" s="350">
        <f>SUM(P$10:P44)</f>
        <v>0</v>
      </c>
      <c r="Q45" s="350">
        <f>SUM(Q$10:Q44)</f>
        <v>1028758</v>
      </c>
      <c r="R45" s="350">
        <f>SUM(R$10:R44)</f>
        <v>20009651</v>
      </c>
      <c r="S45" s="350">
        <f>SUM(S$10:S44)</f>
        <v>227890</v>
      </c>
      <c r="T45" s="350">
        <f>SUM(T$10:T44)</f>
        <v>20820615</v>
      </c>
      <c r="U45" s="350">
        <f>SUM(U$10:U44)</f>
        <v>656893</v>
      </c>
      <c r="V45" s="349">
        <f>SUM(V$10:V44)</f>
        <v>13523</v>
      </c>
      <c r="W45" s="328">
        <f>SUM(W$10:W44)</f>
        <v>23394487.149999999</v>
      </c>
      <c r="X45" s="328">
        <f>IFERROR(W45/V45,0)</f>
        <v>1729.9776048214153</v>
      </c>
      <c r="Y45" s="350">
        <f>SUM(Y$10:Y44)</f>
        <v>980153</v>
      </c>
      <c r="Z45" s="350">
        <f>SUM(Z$10:Z44)</f>
        <v>0</v>
      </c>
      <c r="AA45" s="350">
        <f>SUM(AA$10:AA44)</f>
        <v>1045598</v>
      </c>
      <c r="AB45" s="350">
        <f>SUM(AB$10:AB44)</f>
        <v>21118733</v>
      </c>
      <c r="AC45" s="350">
        <f>SUM(AC$10:AC44)</f>
        <v>250003.15</v>
      </c>
      <c r="AD45" s="350">
        <f>SUM(AD$10:AD44)</f>
        <v>22188101</v>
      </c>
      <c r="AE45" s="350">
        <f>SUM(AE$10:AE44)</f>
        <v>915811</v>
      </c>
      <c r="AF45" s="349">
        <f>SUM(AF$10:AF44)</f>
        <v>12801</v>
      </c>
      <c r="AG45" s="328">
        <f>SUM(AG$10:AG44)</f>
        <v>22968924</v>
      </c>
      <c r="AH45" s="328">
        <f>IFERROR(AG45/AF45,0)</f>
        <v>1794.3070072650573</v>
      </c>
      <c r="AI45" s="350">
        <f>SUM(AI$10:AI44)</f>
        <v>357308</v>
      </c>
      <c r="AJ45" s="350">
        <f>SUM(AJ$10:AJ44)</f>
        <v>0</v>
      </c>
      <c r="AK45" s="350">
        <f>SUM(AK$10:AK44)</f>
        <v>1604842</v>
      </c>
      <c r="AL45" s="350">
        <f>SUM(AL$10:AL44)</f>
        <v>20472942</v>
      </c>
      <c r="AM45" s="350">
        <f>SUM(AM$10:AM44)</f>
        <v>533832</v>
      </c>
      <c r="AN45" s="350">
        <f>SUM(AN$10:AN44)</f>
        <v>21505327</v>
      </c>
      <c r="AO45" s="350">
        <f>SUM(AO$10:AO44)</f>
        <v>297991</v>
      </c>
      <c r="AP45" s="349">
        <f>SUM(AP$10:AP44)</f>
        <v>14597</v>
      </c>
      <c r="AQ45" s="328">
        <f>SUM(AQ$10:AQ44)</f>
        <v>22385477</v>
      </c>
      <c r="AR45" s="328">
        <f>IFERROR(AQ45/AP45,0)</f>
        <v>1533.5669658148934</v>
      </c>
      <c r="AS45" s="350">
        <f>SUM(AS$10:AS44)</f>
        <v>216793</v>
      </c>
      <c r="AT45" s="350">
        <f>SUM(AT$10:AT44)</f>
        <v>0</v>
      </c>
      <c r="AU45" s="350">
        <f>SUM(AU$10:AU44)</f>
        <v>1699487</v>
      </c>
      <c r="AV45" s="350">
        <f>SUM(AV$10:AV44)</f>
        <v>20032850</v>
      </c>
      <c r="AW45" s="350">
        <f>SUM(AW$10:AW44)</f>
        <v>436347</v>
      </c>
      <c r="AX45" s="350">
        <f>SUM(AX$10:AX44)</f>
        <v>21531147</v>
      </c>
      <c r="AY45" s="350">
        <f>SUM(AY$10:AY44)</f>
        <v>204228</v>
      </c>
      <c r="AZ45" s="351">
        <f>SUM(AZ$10:AZ44)</f>
        <v>21041</v>
      </c>
      <c r="BA45" s="328">
        <f>SUM(BA$10:BA44)</f>
        <v>25748183</v>
      </c>
      <c r="BB45" s="328">
        <f>IFERROR(BA45/AZ45,0)</f>
        <v>1223.7147949241955</v>
      </c>
      <c r="BC45" s="350">
        <f>SUM(BC$10:BC44)</f>
        <v>210039</v>
      </c>
      <c r="BD45" s="350">
        <f>SUM(BD$10:BD44)</f>
        <v>0</v>
      </c>
      <c r="BE45" s="350">
        <f>SUM(BE$10:BE44)</f>
        <v>4544412</v>
      </c>
      <c r="BF45" s="350">
        <f>SUM(BF$10:BF44)</f>
        <v>20602038</v>
      </c>
      <c r="BG45" s="350">
        <f>SUM(BG$10:BG44)</f>
        <v>391694</v>
      </c>
      <c r="BH45" s="350">
        <f>SUM(BH$10:BH44)</f>
        <v>24195968.32</v>
      </c>
      <c r="BI45" s="331">
        <f>SUM(BI$10:BI44)</f>
        <v>196376</v>
      </c>
      <c r="BJ45" s="351">
        <f>SUM(BJ$10:BJ44)</f>
        <v>21540</v>
      </c>
      <c r="BK45" s="328">
        <f>SUM(BK$10:BK44)</f>
        <v>35074932</v>
      </c>
      <c r="BL45" s="328">
        <f>IFERROR(BK45/BJ45,0)</f>
        <v>1628.3626740947075</v>
      </c>
      <c r="BM45" s="350">
        <f>SUM(BM$10:BM44)</f>
        <v>777048</v>
      </c>
      <c r="BN45" s="350">
        <f>SUM(BN$10:BN44)</f>
        <v>0</v>
      </c>
      <c r="BO45" s="350">
        <f>SUM(BO$10:BO44)</f>
        <v>1414685</v>
      </c>
      <c r="BP45" s="350">
        <f>SUM(BP$10:BP44)</f>
        <v>32343903</v>
      </c>
      <c r="BQ45" s="350">
        <f>SUM(BQ$10:BQ44)</f>
        <v>539296</v>
      </c>
      <c r="BR45" s="350">
        <f>SUM(BR$10:BR44)</f>
        <v>31840960</v>
      </c>
      <c r="BS45" s="331">
        <f>SUM(BS$10:BS44)</f>
        <v>769910</v>
      </c>
      <c r="BT45" s="351">
        <f>SUM(BT$10:BT44)</f>
        <v>13259</v>
      </c>
      <c r="BU45" s="328">
        <f>SUM(BU$10:BU44)</f>
        <v>23077169</v>
      </c>
      <c r="BV45" s="328">
        <f>IFERROR(BU45/BT45,0)</f>
        <v>1740.4909118334715</v>
      </c>
      <c r="BW45" s="350">
        <f>SUM(BW$10:BW44)</f>
        <v>1191273</v>
      </c>
      <c r="BX45" s="350">
        <f>SUM(BX$10:BX44)</f>
        <v>0</v>
      </c>
      <c r="BY45" s="350">
        <f>SUM(BY$10:BY44)</f>
        <v>3522374</v>
      </c>
      <c r="BZ45" s="350">
        <f>SUM(BZ$10:BZ44)</f>
        <v>17494503</v>
      </c>
      <c r="CA45" s="350">
        <f>SUM(CA$10:CA44)</f>
        <v>869019</v>
      </c>
      <c r="CB45" s="350">
        <f>SUM(CB$10:CB44)</f>
        <v>21689944</v>
      </c>
      <c r="CC45" s="331">
        <f>SUM(CC$10:CC44)</f>
        <v>1185620</v>
      </c>
    </row>
    <row r="46" spans="1:81" s="340" customFormat="1" ht="15.95" customHeight="1" x14ac:dyDescent="0.2">
      <c r="A46" s="339"/>
      <c r="B46" s="327"/>
      <c r="C46" s="328"/>
      <c r="D46" s="328"/>
      <c r="E46" s="330"/>
      <c r="F46" s="330"/>
      <c r="G46" s="330"/>
      <c r="H46" s="330"/>
      <c r="I46" s="330"/>
      <c r="J46" s="330"/>
      <c r="K46" s="331"/>
      <c r="L46" s="327"/>
      <c r="M46" s="328"/>
      <c r="N46" s="328"/>
      <c r="O46" s="330"/>
      <c r="P46" s="330"/>
      <c r="Q46" s="330"/>
      <c r="R46" s="330"/>
      <c r="S46" s="330"/>
      <c r="T46" s="330"/>
      <c r="U46" s="331"/>
      <c r="V46" s="327"/>
      <c r="W46" s="328"/>
      <c r="X46" s="328"/>
      <c r="Y46" s="330"/>
      <c r="Z46" s="330"/>
      <c r="AA46" s="330"/>
      <c r="AB46" s="330"/>
      <c r="AC46" s="330"/>
      <c r="AD46" s="330"/>
      <c r="AE46" s="331"/>
      <c r="AF46" s="327"/>
      <c r="AG46" s="328"/>
      <c r="AH46" s="328"/>
      <c r="AI46" s="330"/>
      <c r="AJ46" s="330"/>
      <c r="AK46" s="330"/>
      <c r="AL46" s="330"/>
      <c r="AM46" s="330"/>
      <c r="AN46" s="330"/>
      <c r="AO46" s="331"/>
      <c r="AP46" s="327"/>
      <c r="AQ46" s="328"/>
      <c r="AR46" s="328"/>
      <c r="AS46" s="330"/>
      <c r="AT46" s="330"/>
      <c r="AU46" s="330"/>
      <c r="AV46" s="330"/>
      <c r="AW46" s="330"/>
      <c r="AX46" s="330"/>
      <c r="AY46" s="331"/>
      <c r="AZ46" s="334"/>
      <c r="BA46" s="328"/>
      <c r="BB46" s="328"/>
      <c r="BC46" s="330"/>
      <c r="BD46" s="330"/>
      <c r="BE46" s="330"/>
      <c r="BF46" s="330"/>
      <c r="BG46" s="330"/>
      <c r="BH46" s="330"/>
      <c r="BI46" s="331"/>
      <c r="BJ46" s="334"/>
      <c r="BK46" s="328"/>
      <c r="BL46" s="328"/>
      <c r="BM46" s="330"/>
      <c r="BN46" s="330"/>
      <c r="BO46" s="330"/>
      <c r="BP46" s="330"/>
      <c r="BQ46" s="330"/>
      <c r="BR46" s="330"/>
      <c r="BS46" s="331"/>
      <c r="BT46" s="334"/>
      <c r="BU46" s="328"/>
      <c r="BV46" s="328"/>
      <c r="BW46" s="330"/>
      <c r="BX46" s="330"/>
      <c r="BY46" s="330"/>
      <c r="BZ46" s="330"/>
      <c r="CA46" s="330"/>
      <c r="CB46" s="330"/>
      <c r="CC46" s="331"/>
    </row>
    <row r="47" spans="1:81" s="340" customFormat="1" ht="15.95" customHeight="1" x14ac:dyDescent="0.2">
      <c r="A47" s="341" t="s">
        <v>141</v>
      </c>
      <c r="B47" s="327"/>
      <c r="C47" s="328"/>
      <c r="D47" s="328"/>
      <c r="E47" s="330"/>
      <c r="F47" s="330"/>
      <c r="G47" s="330"/>
      <c r="H47" s="330"/>
      <c r="I47" s="330"/>
      <c r="J47" s="330"/>
      <c r="K47" s="331"/>
      <c r="L47" s="327"/>
      <c r="M47" s="328"/>
      <c r="N47" s="328"/>
      <c r="O47" s="330"/>
      <c r="P47" s="330"/>
      <c r="Q47" s="330"/>
      <c r="R47" s="330"/>
      <c r="S47" s="330"/>
      <c r="T47" s="330"/>
      <c r="U47" s="331"/>
      <c r="V47" s="327"/>
      <c r="W47" s="328"/>
      <c r="X47" s="328"/>
      <c r="Y47" s="330"/>
      <c r="Z47" s="330"/>
      <c r="AA47" s="330"/>
      <c r="AB47" s="330"/>
      <c r="AC47" s="330"/>
      <c r="AD47" s="330"/>
      <c r="AE47" s="331"/>
      <c r="AF47" s="327"/>
      <c r="AG47" s="328"/>
      <c r="AH47" s="328"/>
      <c r="AI47" s="330"/>
      <c r="AJ47" s="330"/>
      <c r="AK47" s="330"/>
      <c r="AL47" s="330"/>
      <c r="AM47" s="330"/>
      <c r="AN47" s="330"/>
      <c r="AO47" s="331"/>
      <c r="AP47" s="327"/>
      <c r="AQ47" s="328"/>
      <c r="AR47" s="328"/>
      <c r="AS47" s="330"/>
      <c r="AT47" s="330"/>
      <c r="AU47" s="330"/>
      <c r="AV47" s="330"/>
      <c r="AW47" s="330"/>
      <c r="AX47" s="330"/>
      <c r="AY47" s="331"/>
      <c r="AZ47" s="334"/>
      <c r="BA47" s="328"/>
      <c r="BB47" s="328"/>
      <c r="BC47" s="330"/>
      <c r="BD47" s="330"/>
      <c r="BE47" s="330"/>
      <c r="BF47" s="330"/>
      <c r="BG47" s="330"/>
      <c r="BH47" s="330"/>
      <c r="BI47" s="331"/>
      <c r="BJ47" s="334"/>
      <c r="BK47" s="328"/>
      <c r="BL47" s="328"/>
      <c r="BM47" s="330"/>
      <c r="BN47" s="330"/>
      <c r="BO47" s="330"/>
      <c r="BP47" s="330"/>
      <c r="BQ47" s="330"/>
      <c r="BR47" s="330"/>
      <c r="BS47" s="331"/>
      <c r="BT47" s="334"/>
      <c r="BU47" s="328"/>
      <c r="BV47" s="328"/>
      <c r="BW47" s="330"/>
      <c r="BX47" s="330"/>
      <c r="BY47" s="330"/>
      <c r="BZ47" s="330"/>
      <c r="CA47" s="330"/>
      <c r="CB47" s="330"/>
      <c r="CC47" s="331"/>
    </row>
    <row r="48" spans="1:81" s="340" customFormat="1" ht="15.95" customHeight="1" x14ac:dyDescent="0.2">
      <c r="A48" s="342" t="s">
        <v>142</v>
      </c>
      <c r="B48" s="327">
        <v>498</v>
      </c>
      <c r="C48" s="328">
        <f>SUM(E48:I48)</f>
        <v>893469</v>
      </c>
      <c r="D48" s="328">
        <f>IFERROR(C48/B48,0)</f>
        <v>1794.1144578313254</v>
      </c>
      <c r="E48" s="330">
        <v>893469</v>
      </c>
      <c r="F48" s="330"/>
      <c r="G48" s="330"/>
      <c r="H48" s="330"/>
      <c r="I48" s="330"/>
      <c r="J48" s="330">
        <v>893469</v>
      </c>
      <c r="K48" s="331">
        <f t="shared" ref="K48:K57" si="52">IF(J48=0,0,(IF(E48&lt;=J48,E48,J48)))</f>
        <v>893469</v>
      </c>
      <c r="L48" s="327">
        <v>624</v>
      </c>
      <c r="M48" s="328">
        <f>SUM(O48:S48)</f>
        <v>1005935</v>
      </c>
      <c r="N48" s="328">
        <f>IFERROR(M48/L48,0)</f>
        <v>1612.0753205128206</v>
      </c>
      <c r="O48" s="330">
        <v>1005935</v>
      </c>
      <c r="P48" s="330"/>
      <c r="Q48" s="330"/>
      <c r="R48" s="330"/>
      <c r="S48" s="330"/>
      <c r="T48" s="330">
        <v>1005935</v>
      </c>
      <c r="U48" s="331">
        <f t="shared" ref="U48:U57" si="53">IF(T48=0,0,(IF(O48&lt;=T48,O48,T48)))</f>
        <v>1005935</v>
      </c>
      <c r="V48" s="327">
        <v>599</v>
      </c>
      <c r="W48" s="328">
        <f>SUM(Y48:AC48)</f>
        <v>771425</v>
      </c>
      <c r="X48" s="328">
        <f>IFERROR(W48/V48,0)</f>
        <v>1287.8547579298831</v>
      </c>
      <c r="Y48" s="330">
        <v>771425</v>
      </c>
      <c r="Z48" s="330"/>
      <c r="AA48" s="330"/>
      <c r="AB48" s="330"/>
      <c r="AC48" s="330"/>
      <c r="AD48" s="330">
        <v>771425</v>
      </c>
      <c r="AE48" s="331">
        <f t="shared" ref="AE48:AE57" si="54">IF(AD48=0,0,(IF(Y48&lt;=AD48,Y48,AD48)))</f>
        <v>771425</v>
      </c>
      <c r="AF48" s="327">
        <v>672</v>
      </c>
      <c r="AG48" s="328">
        <f>SUM(AI48:AM48)</f>
        <v>1151337</v>
      </c>
      <c r="AH48" s="328">
        <f>IFERROR(AG48/AF48,0)</f>
        <v>1713.2991071428571</v>
      </c>
      <c r="AI48" s="330">
        <v>1151337</v>
      </c>
      <c r="AJ48" s="330"/>
      <c r="AK48" s="330"/>
      <c r="AL48" s="330"/>
      <c r="AM48" s="330"/>
      <c r="AN48" s="330">
        <v>1151337</v>
      </c>
      <c r="AO48" s="331">
        <f t="shared" ref="AO48:AO57" si="55">IF(AN48=0,0,(IF(AI48&lt;=AN48,AI48,AN48)))</f>
        <v>1151337</v>
      </c>
      <c r="AP48" s="327">
        <v>750</v>
      </c>
      <c r="AQ48" s="328">
        <f>SUM(AS48:AW48)</f>
        <v>1187837</v>
      </c>
      <c r="AR48" s="328">
        <f>IFERROR(AQ48/AP48,0)</f>
        <v>1583.7826666666667</v>
      </c>
      <c r="AS48" s="330">
        <v>1187837</v>
      </c>
      <c r="AT48" s="330"/>
      <c r="AU48" s="330"/>
      <c r="AV48" s="330"/>
      <c r="AW48" s="330"/>
      <c r="AX48" s="330">
        <v>1187837</v>
      </c>
      <c r="AY48" s="331">
        <f t="shared" ref="AY48:AY57" si="56">IF(AX48=0,0,(IF(AS48&lt;=AX48,AS48,AX48)))</f>
        <v>1187837</v>
      </c>
      <c r="AZ48" s="334">
        <v>662</v>
      </c>
      <c r="BA48" s="328">
        <f>SUM(BC48:BG48)</f>
        <v>901833</v>
      </c>
      <c r="BB48" s="328">
        <f>IFERROR(BA48/AZ48,0)</f>
        <v>1362.2854984894259</v>
      </c>
      <c r="BC48" s="330">
        <v>901833</v>
      </c>
      <c r="BD48" s="330"/>
      <c r="BE48" s="330"/>
      <c r="BF48" s="330"/>
      <c r="BG48" s="330"/>
      <c r="BH48" s="330">
        <v>901833</v>
      </c>
      <c r="BI48" s="331">
        <f t="shared" ref="BI48:BI57" si="57">IF(BH48=0,0,(IF(BC48&lt;=BH48,BC48,BH48)))</f>
        <v>901833</v>
      </c>
      <c r="BJ48" s="334">
        <v>516</v>
      </c>
      <c r="BK48" s="328">
        <f t="shared" ref="BK48:BK57" si="58">SUM(BM48:BQ48)</f>
        <v>898436</v>
      </c>
      <c r="BL48" s="328">
        <f t="shared" ref="BL48:BL57" si="59">IFERROR(BK48/BJ48,0)</f>
        <v>1741.1550387596899</v>
      </c>
      <c r="BM48" s="330">
        <v>898436</v>
      </c>
      <c r="BN48" s="330"/>
      <c r="BO48" s="330"/>
      <c r="BP48" s="330"/>
      <c r="BQ48" s="330"/>
      <c r="BR48" s="330">
        <v>898436</v>
      </c>
      <c r="BS48" s="331">
        <f t="shared" ref="BS48:BS57" si="60">IF(BR48=0,0,(IF(BM48&lt;=BR48,BM48,BR48)))</f>
        <v>898436</v>
      </c>
      <c r="BT48" s="344">
        <v>1521</v>
      </c>
      <c r="BU48" s="328">
        <f t="shared" ref="BU48:BU57" si="61">SUM(BW48:CA48)</f>
        <v>899430.18</v>
      </c>
      <c r="BV48" s="328">
        <f t="shared" ref="BV48:BV57" si="62">IFERROR(BU48/BT48,0)</f>
        <v>591.34134122287969</v>
      </c>
      <c r="BW48" s="345">
        <v>899430.18</v>
      </c>
      <c r="BX48" s="345"/>
      <c r="BY48" s="345"/>
      <c r="BZ48" s="345"/>
      <c r="CA48" s="345"/>
      <c r="CB48" s="345">
        <v>899430</v>
      </c>
      <c r="CC48" s="402">
        <f t="shared" ref="CC48:CC57" si="63">IF(CB48=0,0,(IF(BW48&lt;=CB48,BW48,CB48)))</f>
        <v>899430</v>
      </c>
    </row>
    <row r="49" spans="1:81" s="340" customFormat="1" ht="15.95" customHeight="1" x14ac:dyDescent="0.2">
      <c r="A49" s="342" t="s">
        <v>143</v>
      </c>
      <c r="B49" s="327">
        <v>89</v>
      </c>
      <c r="C49" s="328">
        <f>SUM(E49:I49)</f>
        <v>57280</v>
      </c>
      <c r="D49" s="328">
        <f>IFERROR(C49/B49,0)</f>
        <v>643.59550561797755</v>
      </c>
      <c r="E49" s="330"/>
      <c r="F49" s="330"/>
      <c r="G49" s="330"/>
      <c r="H49" s="330"/>
      <c r="I49" s="330">
        <v>57280</v>
      </c>
      <c r="J49" s="330">
        <v>55057</v>
      </c>
      <c r="K49" s="331">
        <f t="shared" si="52"/>
        <v>0</v>
      </c>
      <c r="L49" s="327">
        <v>152</v>
      </c>
      <c r="M49" s="328">
        <f>SUM(O49:S49)</f>
        <v>79834</v>
      </c>
      <c r="N49" s="328">
        <f>IFERROR(M49/L49,0)</f>
        <v>525.22368421052636</v>
      </c>
      <c r="O49" s="330"/>
      <c r="P49" s="330"/>
      <c r="Q49" s="330"/>
      <c r="R49" s="330"/>
      <c r="S49" s="330">
        <v>79834</v>
      </c>
      <c r="T49" s="330">
        <v>76373</v>
      </c>
      <c r="U49" s="331">
        <f t="shared" si="53"/>
        <v>0</v>
      </c>
      <c r="V49" s="327">
        <v>97</v>
      </c>
      <c r="W49" s="328">
        <f>SUM(Y49:AC49)</f>
        <v>69092</v>
      </c>
      <c r="X49" s="328">
        <f>IFERROR(W49/V49,0)</f>
        <v>712.28865979381442</v>
      </c>
      <c r="Y49" s="330"/>
      <c r="Z49" s="330"/>
      <c r="AA49" s="330"/>
      <c r="AB49" s="330"/>
      <c r="AC49" s="330">
        <v>69092</v>
      </c>
      <c r="AD49" s="330">
        <v>67617</v>
      </c>
      <c r="AE49" s="331">
        <f t="shared" si="54"/>
        <v>0</v>
      </c>
      <c r="AF49" s="327">
        <v>184</v>
      </c>
      <c r="AG49" s="328">
        <f>SUM(AI49:AM49)</f>
        <v>121275</v>
      </c>
      <c r="AH49" s="328">
        <f>IFERROR(AG49/AF49,0)</f>
        <v>659.10326086956525</v>
      </c>
      <c r="AI49" s="330"/>
      <c r="AJ49" s="330"/>
      <c r="AK49" s="330"/>
      <c r="AL49" s="330"/>
      <c r="AM49" s="330">
        <v>121275</v>
      </c>
      <c r="AN49" s="330">
        <v>115494</v>
      </c>
      <c r="AO49" s="331">
        <f t="shared" si="55"/>
        <v>0</v>
      </c>
      <c r="AP49" s="327">
        <v>253</v>
      </c>
      <c r="AQ49" s="328">
        <f>SUM(AS49:AW49)</f>
        <v>143391</v>
      </c>
      <c r="AR49" s="328">
        <f>IFERROR(AQ49/AP49,0)</f>
        <v>566.76284584980237</v>
      </c>
      <c r="AS49" s="330"/>
      <c r="AT49" s="330"/>
      <c r="AU49" s="330"/>
      <c r="AV49" s="330"/>
      <c r="AW49" s="330">
        <v>143391</v>
      </c>
      <c r="AX49" s="330">
        <v>135497</v>
      </c>
      <c r="AY49" s="331">
        <f t="shared" si="56"/>
        <v>0</v>
      </c>
      <c r="AZ49" s="334">
        <v>307</v>
      </c>
      <c r="BA49" s="328">
        <f>SUM(BC49:BG49)</f>
        <v>207179</v>
      </c>
      <c r="BB49" s="328">
        <f>IFERROR(BA49/AZ49,0)</f>
        <v>674.85016286644952</v>
      </c>
      <c r="BC49" s="330"/>
      <c r="BD49" s="330"/>
      <c r="BE49" s="330"/>
      <c r="BF49" s="330"/>
      <c r="BG49" s="330">
        <v>207179</v>
      </c>
      <c r="BH49" s="330">
        <v>195248</v>
      </c>
      <c r="BI49" s="331">
        <f t="shared" si="57"/>
        <v>0</v>
      </c>
      <c r="BJ49" s="334">
        <v>377</v>
      </c>
      <c r="BK49" s="328">
        <f t="shared" si="58"/>
        <v>265043</v>
      </c>
      <c r="BL49" s="328">
        <f t="shared" si="59"/>
        <v>703.0318302387268</v>
      </c>
      <c r="BM49" s="330"/>
      <c r="BN49" s="330"/>
      <c r="BO49" s="330"/>
      <c r="BP49" s="330"/>
      <c r="BQ49" s="330">
        <v>265043</v>
      </c>
      <c r="BR49" s="330">
        <v>248133</v>
      </c>
      <c r="BS49" s="331">
        <f t="shared" si="60"/>
        <v>0</v>
      </c>
      <c r="BT49" s="344">
        <v>265</v>
      </c>
      <c r="BU49" s="328">
        <f t="shared" si="61"/>
        <v>215966</v>
      </c>
      <c r="BV49" s="328">
        <f t="shared" si="62"/>
        <v>814.96603773584911</v>
      </c>
      <c r="BW49" s="345"/>
      <c r="BX49" s="345"/>
      <c r="BY49" s="345"/>
      <c r="BZ49" s="345"/>
      <c r="CA49" s="345">
        <v>215966</v>
      </c>
      <c r="CB49" s="345">
        <v>201914</v>
      </c>
      <c r="CC49" s="402">
        <f t="shared" si="63"/>
        <v>0</v>
      </c>
    </row>
    <row r="50" spans="1:81" s="340" customFormat="1" ht="15.95" customHeight="1" x14ac:dyDescent="0.2">
      <c r="A50" s="342" t="s">
        <v>144</v>
      </c>
      <c r="B50" s="327">
        <v>139</v>
      </c>
      <c r="C50" s="328">
        <f>SUM(E50:I50)</f>
        <v>60020</v>
      </c>
      <c r="D50" s="328">
        <f>IFERROR(C50/B50,0)</f>
        <v>431.79856115107913</v>
      </c>
      <c r="E50" s="330">
        <v>60020</v>
      </c>
      <c r="F50" s="330"/>
      <c r="G50" s="330"/>
      <c r="H50" s="330"/>
      <c r="I50" s="330"/>
      <c r="J50" s="330">
        <v>53077</v>
      </c>
      <c r="K50" s="331">
        <f t="shared" si="52"/>
        <v>53077</v>
      </c>
      <c r="L50" s="327">
        <v>113</v>
      </c>
      <c r="M50" s="328">
        <f>SUM(O50:S50)</f>
        <v>40562</v>
      </c>
      <c r="N50" s="328">
        <f>IFERROR(M50/L50,0)</f>
        <v>358.95575221238937</v>
      </c>
      <c r="O50" s="330">
        <v>40562</v>
      </c>
      <c r="P50" s="330"/>
      <c r="Q50" s="330"/>
      <c r="R50" s="330"/>
      <c r="S50" s="330"/>
      <c r="T50" s="330">
        <v>38334</v>
      </c>
      <c r="U50" s="331">
        <f t="shared" si="53"/>
        <v>38334</v>
      </c>
      <c r="V50" s="327">
        <v>86</v>
      </c>
      <c r="W50" s="328">
        <f>SUM(Y50:AC50)</f>
        <v>30539</v>
      </c>
      <c r="X50" s="328">
        <f>IFERROR(W50/V50,0)</f>
        <v>355.10465116279067</v>
      </c>
      <c r="Y50" s="330">
        <v>30539</v>
      </c>
      <c r="Z50" s="330"/>
      <c r="AA50" s="330"/>
      <c r="AB50" s="330"/>
      <c r="AC50" s="330"/>
      <c r="AD50" s="330">
        <v>28468</v>
      </c>
      <c r="AE50" s="331">
        <f t="shared" si="54"/>
        <v>28468</v>
      </c>
      <c r="AF50" s="327">
        <v>68</v>
      </c>
      <c r="AG50" s="328">
        <f>SUM(AI50:AM50)</f>
        <v>40566</v>
      </c>
      <c r="AH50" s="328">
        <f>IFERROR(AG50/AF50,0)</f>
        <v>596.55882352941171</v>
      </c>
      <c r="AI50" s="330">
        <v>40566</v>
      </c>
      <c r="AJ50" s="330"/>
      <c r="AK50" s="330"/>
      <c r="AL50" s="330"/>
      <c r="AM50" s="330"/>
      <c r="AN50" s="330">
        <v>37328</v>
      </c>
      <c r="AO50" s="331">
        <f t="shared" si="55"/>
        <v>37328</v>
      </c>
      <c r="AP50" s="327">
        <v>82</v>
      </c>
      <c r="AQ50" s="328">
        <f>SUM(AS50:AW50)</f>
        <v>61090</v>
      </c>
      <c r="AR50" s="328">
        <f>IFERROR(AQ50/AP50,0)</f>
        <v>745</v>
      </c>
      <c r="AS50" s="330">
        <v>61090</v>
      </c>
      <c r="AT50" s="330"/>
      <c r="AU50" s="330"/>
      <c r="AV50" s="330"/>
      <c r="AW50" s="330"/>
      <c r="AX50" s="330">
        <f>27147+32320</f>
        <v>59467</v>
      </c>
      <c r="AY50" s="331">
        <f t="shared" si="56"/>
        <v>59467</v>
      </c>
      <c r="AZ50" s="334">
        <v>97</v>
      </c>
      <c r="BA50" s="328">
        <f>SUM(BC50:BG50)</f>
        <v>77003</v>
      </c>
      <c r="BB50" s="328">
        <f>IFERROR(BA50/AZ50,0)</f>
        <v>793.84536082474222</v>
      </c>
      <c r="BC50" s="330">
        <v>77003</v>
      </c>
      <c r="BD50" s="330"/>
      <c r="BE50" s="330"/>
      <c r="BF50" s="330"/>
      <c r="BG50" s="330"/>
      <c r="BH50" s="330">
        <v>68452</v>
      </c>
      <c r="BI50" s="331">
        <f t="shared" si="57"/>
        <v>68452</v>
      </c>
      <c r="BJ50" s="334">
        <v>247</v>
      </c>
      <c r="BK50" s="328">
        <f t="shared" si="58"/>
        <v>110668</v>
      </c>
      <c r="BL50" s="328">
        <f t="shared" si="59"/>
        <v>448.04858299595139</v>
      </c>
      <c r="BM50" s="330">
        <v>110668</v>
      </c>
      <c r="BN50" s="330"/>
      <c r="BO50" s="330"/>
      <c r="BP50" s="330"/>
      <c r="BQ50" s="330"/>
      <c r="BR50" s="330">
        <v>108565</v>
      </c>
      <c r="BS50" s="331">
        <f t="shared" si="60"/>
        <v>108565</v>
      </c>
      <c r="BT50" s="344">
        <v>50</v>
      </c>
      <c r="BU50" s="328">
        <f t="shared" si="61"/>
        <v>84558</v>
      </c>
      <c r="BV50" s="328">
        <f t="shared" si="62"/>
        <v>1691.16</v>
      </c>
      <c r="BW50" s="345">
        <v>84558</v>
      </c>
      <c r="BX50" s="345"/>
      <c r="BY50" s="345"/>
      <c r="BZ50" s="345"/>
      <c r="CA50" s="345"/>
      <c r="CB50" s="345">
        <v>82951</v>
      </c>
      <c r="CC50" s="402">
        <f t="shared" si="63"/>
        <v>82951</v>
      </c>
    </row>
    <row r="51" spans="1:81" s="340" customFormat="1" ht="15.95" customHeight="1" x14ac:dyDescent="0.2">
      <c r="A51" s="342" t="s">
        <v>137</v>
      </c>
      <c r="B51" s="327"/>
      <c r="C51" s="328">
        <f t="shared" ref="C51" si="64">SUM(E51:I51)</f>
        <v>0</v>
      </c>
      <c r="D51" s="328">
        <f t="shared" ref="D51" si="65">IFERROR(C51/B51,0)</f>
        <v>0</v>
      </c>
      <c r="E51" s="330"/>
      <c r="F51" s="330"/>
      <c r="G51" s="330"/>
      <c r="H51" s="330"/>
      <c r="I51" s="330"/>
      <c r="J51" s="330"/>
      <c r="K51" s="331">
        <f t="shared" si="52"/>
        <v>0</v>
      </c>
      <c r="L51" s="327"/>
      <c r="M51" s="328">
        <f t="shared" ref="M51" si="66">SUM(O51:S51)</f>
        <v>0</v>
      </c>
      <c r="N51" s="328">
        <f t="shared" ref="N51" si="67">IFERROR(M51/L51,0)</f>
        <v>0</v>
      </c>
      <c r="O51" s="330"/>
      <c r="P51" s="330"/>
      <c r="Q51" s="330"/>
      <c r="R51" s="330"/>
      <c r="S51" s="330"/>
      <c r="T51" s="330"/>
      <c r="U51" s="331">
        <f t="shared" si="53"/>
        <v>0</v>
      </c>
      <c r="V51" s="327"/>
      <c r="W51" s="328">
        <f t="shared" ref="W51" si="68">SUM(Y51:AC51)</f>
        <v>0</v>
      </c>
      <c r="X51" s="328">
        <f t="shared" ref="X51" si="69">IFERROR(W51/V51,0)</f>
        <v>0</v>
      </c>
      <c r="Y51" s="330"/>
      <c r="Z51" s="330"/>
      <c r="AA51" s="330"/>
      <c r="AB51" s="330"/>
      <c r="AC51" s="330"/>
      <c r="AD51" s="330"/>
      <c r="AE51" s="331">
        <f t="shared" si="54"/>
        <v>0</v>
      </c>
      <c r="AF51" s="327"/>
      <c r="AG51" s="328">
        <f t="shared" ref="AG51" si="70">SUM(AI51:AM51)</f>
        <v>0</v>
      </c>
      <c r="AH51" s="328">
        <f t="shared" ref="AH51" si="71">IFERROR(AG51/AF51,0)</f>
        <v>0</v>
      </c>
      <c r="AI51" s="330"/>
      <c r="AJ51" s="330"/>
      <c r="AK51" s="330"/>
      <c r="AL51" s="330"/>
      <c r="AM51" s="330"/>
      <c r="AN51" s="330"/>
      <c r="AO51" s="331">
        <f t="shared" si="55"/>
        <v>0</v>
      </c>
      <c r="AP51" s="327"/>
      <c r="AQ51" s="328">
        <f t="shared" ref="AQ51" si="72">SUM(AS51:AW51)</f>
        <v>0</v>
      </c>
      <c r="AR51" s="328">
        <f t="shared" ref="AR51" si="73">IFERROR(AQ51/AP51,0)</f>
        <v>0</v>
      </c>
      <c r="AS51" s="330"/>
      <c r="AT51" s="330"/>
      <c r="AU51" s="330"/>
      <c r="AV51" s="330"/>
      <c r="AW51" s="330"/>
      <c r="AX51" s="330"/>
      <c r="AY51" s="331">
        <f t="shared" si="56"/>
        <v>0</v>
      </c>
      <c r="AZ51" s="334">
        <v>47</v>
      </c>
      <c r="BA51" s="328">
        <f t="shared" ref="BA51" si="74">SUM(BC51:BG51)</f>
        <v>164664</v>
      </c>
      <c r="BB51" s="328">
        <f t="shared" ref="BB51" si="75">IFERROR(BA51/AZ51,0)</f>
        <v>3503.4893617021276</v>
      </c>
      <c r="BC51" s="330"/>
      <c r="BD51" s="330"/>
      <c r="BE51" s="330">
        <v>164664</v>
      </c>
      <c r="BF51" s="330"/>
      <c r="BG51" s="330"/>
      <c r="BH51" s="330">
        <v>159664</v>
      </c>
      <c r="BI51" s="331">
        <f t="shared" si="57"/>
        <v>0</v>
      </c>
      <c r="BJ51" s="334">
        <v>130</v>
      </c>
      <c r="BK51" s="328">
        <f t="shared" si="58"/>
        <v>446045</v>
      </c>
      <c r="BL51" s="328">
        <f t="shared" si="59"/>
        <v>3431.1153846153848</v>
      </c>
      <c r="BM51" s="330"/>
      <c r="BN51" s="330"/>
      <c r="BO51" s="330">
        <v>446045</v>
      </c>
      <c r="BP51" s="330"/>
      <c r="BQ51" s="330"/>
      <c r="BR51" s="330">
        <v>394818</v>
      </c>
      <c r="BS51" s="331">
        <f t="shared" si="60"/>
        <v>0</v>
      </c>
      <c r="BT51" s="344">
        <v>184</v>
      </c>
      <c r="BU51" s="328">
        <f t="shared" si="61"/>
        <v>770082</v>
      </c>
      <c r="BV51" s="328">
        <f t="shared" si="62"/>
        <v>4185.228260869565</v>
      </c>
      <c r="BW51" s="345"/>
      <c r="BX51" s="345"/>
      <c r="BY51" s="345">
        <v>770082</v>
      </c>
      <c r="BZ51" s="345"/>
      <c r="CA51" s="345"/>
      <c r="CB51" s="345">
        <v>770082</v>
      </c>
      <c r="CC51" s="402">
        <f t="shared" si="63"/>
        <v>0</v>
      </c>
    </row>
    <row r="52" spans="1:81" s="340" customFormat="1" ht="15.95" customHeight="1" x14ac:dyDescent="0.2">
      <c r="A52" s="346"/>
      <c r="B52" s="327"/>
      <c r="C52" s="328">
        <f t="shared" ref="C52:C56" si="76">SUM(E52:I52)</f>
        <v>0</v>
      </c>
      <c r="D52" s="328">
        <f t="shared" ref="D52:D56" si="77">IFERROR(C52/B52,0)</f>
        <v>0</v>
      </c>
      <c r="E52" s="330"/>
      <c r="F52" s="330"/>
      <c r="G52" s="330"/>
      <c r="H52" s="330"/>
      <c r="I52" s="330"/>
      <c r="J52" s="330"/>
      <c r="K52" s="331">
        <f t="shared" si="52"/>
        <v>0</v>
      </c>
      <c r="L52" s="327"/>
      <c r="M52" s="328">
        <f t="shared" ref="M52:M56" si="78">SUM(O52:S52)</f>
        <v>0</v>
      </c>
      <c r="N52" s="328">
        <f t="shared" ref="N52:N56" si="79">IFERROR(M52/L52,0)</f>
        <v>0</v>
      </c>
      <c r="O52" s="330"/>
      <c r="P52" s="330"/>
      <c r="Q52" s="330"/>
      <c r="R52" s="330"/>
      <c r="S52" s="330"/>
      <c r="T52" s="330"/>
      <c r="U52" s="331">
        <f t="shared" si="53"/>
        <v>0</v>
      </c>
      <c r="V52" s="327"/>
      <c r="W52" s="328">
        <f t="shared" ref="W52:W56" si="80">SUM(Y52:AC52)</f>
        <v>0</v>
      </c>
      <c r="X52" s="328">
        <f t="shared" ref="X52:X56" si="81">IFERROR(W52/V52,0)</f>
        <v>0</v>
      </c>
      <c r="Y52" s="330"/>
      <c r="Z52" s="330"/>
      <c r="AA52" s="330"/>
      <c r="AB52" s="330"/>
      <c r="AC52" s="330"/>
      <c r="AD52" s="330"/>
      <c r="AE52" s="331">
        <f t="shared" si="54"/>
        <v>0</v>
      </c>
      <c r="AF52" s="327"/>
      <c r="AG52" s="328">
        <f t="shared" ref="AG52:AG56" si="82">SUM(AI52:AM52)</f>
        <v>0</v>
      </c>
      <c r="AH52" s="328">
        <f t="shared" ref="AH52:AH56" si="83">IFERROR(AG52/AF52,0)</f>
        <v>0</v>
      </c>
      <c r="AI52" s="330"/>
      <c r="AJ52" s="330"/>
      <c r="AK52" s="330"/>
      <c r="AL52" s="330"/>
      <c r="AM52" s="330"/>
      <c r="AN52" s="330"/>
      <c r="AO52" s="331">
        <f t="shared" si="55"/>
        <v>0</v>
      </c>
      <c r="AP52" s="327"/>
      <c r="AQ52" s="328">
        <f t="shared" ref="AQ52:AQ56" si="84">SUM(AS52:AW52)</f>
        <v>0</v>
      </c>
      <c r="AR52" s="328">
        <f t="shared" ref="AR52:AR56" si="85">IFERROR(AQ52/AP52,0)</f>
        <v>0</v>
      </c>
      <c r="AS52" s="330"/>
      <c r="AT52" s="330"/>
      <c r="AU52" s="330"/>
      <c r="AV52" s="330"/>
      <c r="AW52" s="330"/>
      <c r="AX52" s="330"/>
      <c r="AY52" s="331">
        <f t="shared" si="56"/>
        <v>0</v>
      </c>
      <c r="AZ52" s="334"/>
      <c r="BA52" s="328">
        <f t="shared" ref="BA52:BA56" si="86">SUM(BC52:BG52)</f>
        <v>0</v>
      </c>
      <c r="BB52" s="328">
        <f t="shared" ref="BB52:BB56" si="87">IFERROR(BA52/AZ52,0)</f>
        <v>0</v>
      </c>
      <c r="BC52" s="330"/>
      <c r="BD52" s="330"/>
      <c r="BE52" s="330"/>
      <c r="BF52" s="330"/>
      <c r="BG52" s="330"/>
      <c r="BH52" s="330"/>
      <c r="BI52" s="331">
        <f t="shared" si="57"/>
        <v>0</v>
      </c>
      <c r="BJ52" s="334"/>
      <c r="BK52" s="328">
        <f t="shared" si="58"/>
        <v>0</v>
      </c>
      <c r="BL52" s="328">
        <f t="shared" si="59"/>
        <v>0</v>
      </c>
      <c r="BM52" s="330"/>
      <c r="BN52" s="330"/>
      <c r="BO52" s="330"/>
      <c r="BP52" s="330"/>
      <c r="BQ52" s="330"/>
      <c r="BR52" s="330"/>
      <c r="BS52" s="331">
        <f t="shared" si="60"/>
        <v>0</v>
      </c>
      <c r="BT52" s="344"/>
      <c r="BU52" s="328">
        <f t="shared" si="61"/>
        <v>0</v>
      </c>
      <c r="BV52" s="328">
        <f t="shared" si="62"/>
        <v>0</v>
      </c>
      <c r="BW52" s="345"/>
      <c r="BX52" s="345"/>
      <c r="BY52" s="345"/>
      <c r="BZ52" s="345"/>
      <c r="CA52" s="345"/>
      <c r="CB52" s="345"/>
      <c r="CC52" s="402">
        <f t="shared" si="63"/>
        <v>0</v>
      </c>
    </row>
    <row r="53" spans="1:81" s="340" customFormat="1" ht="15.95" customHeight="1" x14ac:dyDescent="0.2">
      <c r="A53" s="346"/>
      <c r="B53" s="327"/>
      <c r="C53" s="328">
        <f t="shared" si="76"/>
        <v>0</v>
      </c>
      <c r="D53" s="328">
        <f t="shared" si="77"/>
        <v>0</v>
      </c>
      <c r="E53" s="330"/>
      <c r="F53" s="330"/>
      <c r="G53" s="330"/>
      <c r="H53" s="330"/>
      <c r="I53" s="330"/>
      <c r="J53" s="330"/>
      <c r="K53" s="331">
        <f t="shared" si="52"/>
        <v>0</v>
      </c>
      <c r="L53" s="327"/>
      <c r="M53" s="328">
        <f t="shared" si="78"/>
        <v>0</v>
      </c>
      <c r="N53" s="328">
        <f t="shared" si="79"/>
        <v>0</v>
      </c>
      <c r="O53" s="330"/>
      <c r="P53" s="330"/>
      <c r="Q53" s="330"/>
      <c r="R53" s="330"/>
      <c r="S53" s="330"/>
      <c r="T53" s="330"/>
      <c r="U53" s="331">
        <f t="shared" si="53"/>
        <v>0</v>
      </c>
      <c r="V53" s="327"/>
      <c r="W53" s="328">
        <f t="shared" si="80"/>
        <v>0</v>
      </c>
      <c r="X53" s="328">
        <f t="shared" si="81"/>
        <v>0</v>
      </c>
      <c r="Y53" s="330"/>
      <c r="Z53" s="330"/>
      <c r="AA53" s="330"/>
      <c r="AB53" s="330"/>
      <c r="AC53" s="330"/>
      <c r="AD53" s="330"/>
      <c r="AE53" s="331">
        <f t="shared" si="54"/>
        <v>0</v>
      </c>
      <c r="AF53" s="327"/>
      <c r="AG53" s="328">
        <f t="shared" si="82"/>
        <v>0</v>
      </c>
      <c r="AH53" s="328">
        <f t="shared" si="83"/>
        <v>0</v>
      </c>
      <c r="AI53" s="330"/>
      <c r="AJ53" s="330"/>
      <c r="AK53" s="330"/>
      <c r="AL53" s="330"/>
      <c r="AM53" s="330"/>
      <c r="AN53" s="330"/>
      <c r="AO53" s="331">
        <f t="shared" si="55"/>
        <v>0</v>
      </c>
      <c r="AP53" s="327"/>
      <c r="AQ53" s="328">
        <f t="shared" si="84"/>
        <v>0</v>
      </c>
      <c r="AR53" s="328">
        <f t="shared" si="85"/>
        <v>0</v>
      </c>
      <c r="AS53" s="330"/>
      <c r="AT53" s="330"/>
      <c r="AU53" s="330"/>
      <c r="AV53" s="330"/>
      <c r="AW53" s="330"/>
      <c r="AX53" s="330"/>
      <c r="AY53" s="331">
        <f t="shared" si="56"/>
        <v>0</v>
      </c>
      <c r="AZ53" s="334"/>
      <c r="BA53" s="328">
        <f t="shared" si="86"/>
        <v>0</v>
      </c>
      <c r="BB53" s="328">
        <f t="shared" si="87"/>
        <v>0</v>
      </c>
      <c r="BC53" s="330"/>
      <c r="BD53" s="330"/>
      <c r="BE53" s="330"/>
      <c r="BF53" s="330"/>
      <c r="BG53" s="330"/>
      <c r="BH53" s="330"/>
      <c r="BI53" s="331">
        <f t="shared" si="57"/>
        <v>0</v>
      </c>
      <c r="BJ53" s="334"/>
      <c r="BK53" s="328">
        <f t="shared" si="58"/>
        <v>0</v>
      </c>
      <c r="BL53" s="328">
        <f t="shared" si="59"/>
        <v>0</v>
      </c>
      <c r="BM53" s="330"/>
      <c r="BN53" s="330"/>
      <c r="BO53" s="330"/>
      <c r="BP53" s="330"/>
      <c r="BQ53" s="330"/>
      <c r="BR53" s="330"/>
      <c r="BS53" s="331">
        <f t="shared" si="60"/>
        <v>0</v>
      </c>
      <c r="BT53" s="344"/>
      <c r="BU53" s="328">
        <f t="shared" si="61"/>
        <v>0</v>
      </c>
      <c r="BV53" s="328">
        <f t="shared" si="62"/>
        <v>0</v>
      </c>
      <c r="BW53" s="345"/>
      <c r="BX53" s="345"/>
      <c r="BY53" s="345"/>
      <c r="BZ53" s="345"/>
      <c r="CA53" s="345"/>
      <c r="CB53" s="345"/>
      <c r="CC53" s="402">
        <f t="shared" si="63"/>
        <v>0</v>
      </c>
    </row>
    <row r="54" spans="1:81" s="340" customFormat="1" ht="15.95" customHeight="1" x14ac:dyDescent="0.2">
      <c r="A54" s="346"/>
      <c r="B54" s="327"/>
      <c r="C54" s="328">
        <f t="shared" si="76"/>
        <v>0</v>
      </c>
      <c r="D54" s="328">
        <f t="shared" si="77"/>
        <v>0</v>
      </c>
      <c r="E54" s="330"/>
      <c r="F54" s="330"/>
      <c r="G54" s="330"/>
      <c r="H54" s="330"/>
      <c r="I54" s="330"/>
      <c r="J54" s="330"/>
      <c r="K54" s="331">
        <f t="shared" si="52"/>
        <v>0</v>
      </c>
      <c r="L54" s="327"/>
      <c r="M54" s="328">
        <f t="shared" si="78"/>
        <v>0</v>
      </c>
      <c r="N54" s="328">
        <f t="shared" si="79"/>
        <v>0</v>
      </c>
      <c r="O54" s="330"/>
      <c r="P54" s="330"/>
      <c r="Q54" s="330"/>
      <c r="R54" s="330"/>
      <c r="S54" s="330"/>
      <c r="T54" s="330"/>
      <c r="U54" s="331">
        <f t="shared" si="53"/>
        <v>0</v>
      </c>
      <c r="V54" s="327"/>
      <c r="W54" s="328">
        <f t="shared" si="80"/>
        <v>0</v>
      </c>
      <c r="X54" s="328">
        <f t="shared" si="81"/>
        <v>0</v>
      </c>
      <c r="Y54" s="330"/>
      <c r="Z54" s="330"/>
      <c r="AA54" s="330"/>
      <c r="AB54" s="330"/>
      <c r="AC54" s="330"/>
      <c r="AD54" s="330"/>
      <c r="AE54" s="331">
        <f t="shared" si="54"/>
        <v>0</v>
      </c>
      <c r="AF54" s="327"/>
      <c r="AG54" s="328">
        <f t="shared" si="82"/>
        <v>0</v>
      </c>
      <c r="AH54" s="328">
        <f t="shared" si="83"/>
        <v>0</v>
      </c>
      <c r="AI54" s="330"/>
      <c r="AJ54" s="330"/>
      <c r="AK54" s="330"/>
      <c r="AL54" s="330"/>
      <c r="AM54" s="330"/>
      <c r="AN54" s="330"/>
      <c r="AO54" s="331">
        <f t="shared" si="55"/>
        <v>0</v>
      </c>
      <c r="AP54" s="327"/>
      <c r="AQ54" s="328">
        <f t="shared" si="84"/>
        <v>0</v>
      </c>
      <c r="AR54" s="328">
        <f t="shared" si="85"/>
        <v>0</v>
      </c>
      <c r="AS54" s="330"/>
      <c r="AT54" s="330"/>
      <c r="AU54" s="330"/>
      <c r="AV54" s="330"/>
      <c r="AW54" s="330"/>
      <c r="AX54" s="330"/>
      <c r="AY54" s="331">
        <f t="shared" si="56"/>
        <v>0</v>
      </c>
      <c r="AZ54" s="334"/>
      <c r="BA54" s="328">
        <f t="shared" si="86"/>
        <v>0</v>
      </c>
      <c r="BB54" s="328">
        <f t="shared" si="87"/>
        <v>0</v>
      </c>
      <c r="BC54" s="330"/>
      <c r="BD54" s="330"/>
      <c r="BE54" s="330"/>
      <c r="BF54" s="330"/>
      <c r="BG54" s="330"/>
      <c r="BH54" s="330"/>
      <c r="BI54" s="331">
        <f t="shared" si="57"/>
        <v>0</v>
      </c>
      <c r="BJ54" s="334"/>
      <c r="BK54" s="328">
        <f t="shared" si="58"/>
        <v>0</v>
      </c>
      <c r="BL54" s="328">
        <f t="shared" si="59"/>
        <v>0</v>
      </c>
      <c r="BM54" s="330"/>
      <c r="BN54" s="330"/>
      <c r="BO54" s="330"/>
      <c r="BP54" s="330"/>
      <c r="BQ54" s="330"/>
      <c r="BR54" s="330"/>
      <c r="BS54" s="331">
        <f t="shared" si="60"/>
        <v>0</v>
      </c>
      <c r="BT54" s="344"/>
      <c r="BU54" s="328">
        <f t="shared" si="61"/>
        <v>0</v>
      </c>
      <c r="BV54" s="328">
        <f t="shared" si="62"/>
        <v>0</v>
      </c>
      <c r="BW54" s="345"/>
      <c r="BX54" s="345"/>
      <c r="BY54" s="345"/>
      <c r="BZ54" s="345"/>
      <c r="CA54" s="345"/>
      <c r="CB54" s="345"/>
      <c r="CC54" s="402">
        <f t="shared" si="63"/>
        <v>0</v>
      </c>
    </row>
    <row r="55" spans="1:81" s="340" customFormat="1" ht="15.95" customHeight="1" x14ac:dyDescent="0.2">
      <c r="A55" s="346"/>
      <c r="B55" s="327"/>
      <c r="C55" s="328">
        <f t="shared" si="76"/>
        <v>0</v>
      </c>
      <c r="D55" s="328">
        <f t="shared" si="77"/>
        <v>0</v>
      </c>
      <c r="E55" s="330"/>
      <c r="F55" s="330"/>
      <c r="G55" s="330"/>
      <c r="H55" s="330"/>
      <c r="I55" s="330"/>
      <c r="J55" s="330"/>
      <c r="K55" s="331">
        <f t="shared" si="52"/>
        <v>0</v>
      </c>
      <c r="L55" s="327"/>
      <c r="M55" s="328">
        <f t="shared" si="78"/>
        <v>0</v>
      </c>
      <c r="N55" s="328">
        <f t="shared" si="79"/>
        <v>0</v>
      </c>
      <c r="O55" s="330"/>
      <c r="P55" s="330"/>
      <c r="Q55" s="330"/>
      <c r="R55" s="330"/>
      <c r="S55" s="330"/>
      <c r="T55" s="330"/>
      <c r="U55" s="331">
        <f t="shared" si="53"/>
        <v>0</v>
      </c>
      <c r="V55" s="327"/>
      <c r="W55" s="328">
        <f t="shared" si="80"/>
        <v>0</v>
      </c>
      <c r="X55" s="328">
        <f t="shared" si="81"/>
        <v>0</v>
      </c>
      <c r="Y55" s="330"/>
      <c r="Z55" s="330"/>
      <c r="AA55" s="330"/>
      <c r="AB55" s="330"/>
      <c r="AC55" s="330"/>
      <c r="AD55" s="330"/>
      <c r="AE55" s="331">
        <f t="shared" si="54"/>
        <v>0</v>
      </c>
      <c r="AF55" s="327"/>
      <c r="AG55" s="328">
        <f t="shared" si="82"/>
        <v>0</v>
      </c>
      <c r="AH55" s="328">
        <f t="shared" si="83"/>
        <v>0</v>
      </c>
      <c r="AI55" s="330"/>
      <c r="AJ55" s="330"/>
      <c r="AK55" s="330"/>
      <c r="AL55" s="330"/>
      <c r="AM55" s="330"/>
      <c r="AN55" s="330"/>
      <c r="AO55" s="331">
        <f t="shared" si="55"/>
        <v>0</v>
      </c>
      <c r="AP55" s="327"/>
      <c r="AQ55" s="328">
        <f t="shared" si="84"/>
        <v>0</v>
      </c>
      <c r="AR55" s="328">
        <f t="shared" si="85"/>
        <v>0</v>
      </c>
      <c r="AS55" s="330"/>
      <c r="AT55" s="330"/>
      <c r="AU55" s="330"/>
      <c r="AV55" s="330"/>
      <c r="AW55" s="330"/>
      <c r="AX55" s="330"/>
      <c r="AY55" s="331">
        <f t="shared" si="56"/>
        <v>0</v>
      </c>
      <c r="AZ55" s="334"/>
      <c r="BA55" s="328">
        <f t="shared" si="86"/>
        <v>0</v>
      </c>
      <c r="BB55" s="328">
        <f t="shared" si="87"/>
        <v>0</v>
      </c>
      <c r="BC55" s="330"/>
      <c r="BD55" s="330"/>
      <c r="BE55" s="330"/>
      <c r="BF55" s="330"/>
      <c r="BG55" s="330"/>
      <c r="BH55" s="330"/>
      <c r="BI55" s="331">
        <f t="shared" si="57"/>
        <v>0</v>
      </c>
      <c r="BJ55" s="334"/>
      <c r="BK55" s="328">
        <f t="shared" si="58"/>
        <v>0</v>
      </c>
      <c r="BL55" s="328">
        <f t="shared" si="59"/>
        <v>0</v>
      </c>
      <c r="BM55" s="330"/>
      <c r="BN55" s="330"/>
      <c r="BO55" s="330"/>
      <c r="BP55" s="330"/>
      <c r="BQ55" s="330"/>
      <c r="BR55" s="330"/>
      <c r="BS55" s="331">
        <f t="shared" si="60"/>
        <v>0</v>
      </c>
      <c r="BT55" s="344"/>
      <c r="BU55" s="328">
        <f t="shared" si="61"/>
        <v>0</v>
      </c>
      <c r="BV55" s="328">
        <f t="shared" si="62"/>
        <v>0</v>
      </c>
      <c r="BW55" s="345"/>
      <c r="BX55" s="345"/>
      <c r="BY55" s="345"/>
      <c r="BZ55" s="345"/>
      <c r="CA55" s="345"/>
      <c r="CB55" s="345"/>
      <c r="CC55" s="402">
        <f t="shared" si="63"/>
        <v>0</v>
      </c>
    </row>
    <row r="56" spans="1:81" s="340" customFormat="1" ht="15.95" customHeight="1" x14ac:dyDescent="0.2">
      <c r="A56" s="346"/>
      <c r="B56" s="327"/>
      <c r="C56" s="328">
        <f t="shared" si="76"/>
        <v>0</v>
      </c>
      <c r="D56" s="328">
        <f t="shared" si="77"/>
        <v>0</v>
      </c>
      <c r="E56" s="330"/>
      <c r="F56" s="330"/>
      <c r="G56" s="330"/>
      <c r="H56" s="330"/>
      <c r="I56" s="330"/>
      <c r="J56" s="330"/>
      <c r="K56" s="331">
        <f t="shared" si="52"/>
        <v>0</v>
      </c>
      <c r="L56" s="327"/>
      <c r="M56" s="328">
        <f t="shared" si="78"/>
        <v>0</v>
      </c>
      <c r="N56" s="328">
        <f t="shared" si="79"/>
        <v>0</v>
      </c>
      <c r="O56" s="330"/>
      <c r="P56" s="330"/>
      <c r="Q56" s="330"/>
      <c r="R56" s="330"/>
      <c r="S56" s="330"/>
      <c r="T56" s="330"/>
      <c r="U56" s="331">
        <f t="shared" si="53"/>
        <v>0</v>
      </c>
      <c r="V56" s="327"/>
      <c r="W56" s="328">
        <f t="shared" si="80"/>
        <v>0</v>
      </c>
      <c r="X56" s="328">
        <f t="shared" si="81"/>
        <v>0</v>
      </c>
      <c r="Y56" s="330"/>
      <c r="Z56" s="330"/>
      <c r="AA56" s="330"/>
      <c r="AB56" s="330"/>
      <c r="AC56" s="330"/>
      <c r="AD56" s="330"/>
      <c r="AE56" s="331">
        <f t="shared" si="54"/>
        <v>0</v>
      </c>
      <c r="AF56" s="327"/>
      <c r="AG56" s="328">
        <f t="shared" si="82"/>
        <v>0</v>
      </c>
      <c r="AH56" s="328">
        <f t="shared" si="83"/>
        <v>0</v>
      </c>
      <c r="AI56" s="330"/>
      <c r="AJ56" s="330"/>
      <c r="AK56" s="330"/>
      <c r="AL56" s="330"/>
      <c r="AM56" s="330"/>
      <c r="AN56" s="330"/>
      <c r="AO56" s="331">
        <f t="shared" si="55"/>
        <v>0</v>
      </c>
      <c r="AP56" s="327"/>
      <c r="AQ56" s="328">
        <f t="shared" si="84"/>
        <v>0</v>
      </c>
      <c r="AR56" s="328">
        <f t="shared" si="85"/>
        <v>0</v>
      </c>
      <c r="AS56" s="330"/>
      <c r="AT56" s="330"/>
      <c r="AU56" s="330"/>
      <c r="AV56" s="330"/>
      <c r="AW56" s="330"/>
      <c r="AX56" s="330"/>
      <c r="AY56" s="331">
        <f t="shared" si="56"/>
        <v>0</v>
      </c>
      <c r="AZ56" s="334"/>
      <c r="BA56" s="328">
        <f t="shared" si="86"/>
        <v>0</v>
      </c>
      <c r="BB56" s="328">
        <f t="shared" si="87"/>
        <v>0</v>
      </c>
      <c r="BC56" s="330"/>
      <c r="BD56" s="330"/>
      <c r="BE56" s="330"/>
      <c r="BF56" s="330"/>
      <c r="BG56" s="330"/>
      <c r="BH56" s="330"/>
      <c r="BI56" s="331">
        <f t="shared" si="57"/>
        <v>0</v>
      </c>
      <c r="BJ56" s="334"/>
      <c r="BK56" s="328">
        <f t="shared" si="58"/>
        <v>0</v>
      </c>
      <c r="BL56" s="328">
        <f t="shared" si="59"/>
        <v>0</v>
      </c>
      <c r="BM56" s="330"/>
      <c r="BN56" s="330"/>
      <c r="BO56" s="330"/>
      <c r="BP56" s="330"/>
      <c r="BQ56" s="330"/>
      <c r="BR56" s="330"/>
      <c r="BS56" s="331">
        <f t="shared" si="60"/>
        <v>0</v>
      </c>
      <c r="BT56" s="344"/>
      <c r="BU56" s="328">
        <f t="shared" si="61"/>
        <v>0</v>
      </c>
      <c r="BV56" s="328">
        <f t="shared" si="62"/>
        <v>0</v>
      </c>
      <c r="BW56" s="345"/>
      <c r="BX56" s="345"/>
      <c r="BY56" s="345"/>
      <c r="BZ56" s="345"/>
      <c r="CA56" s="345"/>
      <c r="CB56" s="345"/>
      <c r="CC56" s="402">
        <f t="shared" si="63"/>
        <v>0</v>
      </c>
    </row>
    <row r="57" spans="1:81" s="340" customFormat="1" ht="15.95" customHeight="1" x14ac:dyDescent="0.2">
      <c r="A57" s="346"/>
      <c r="B57" s="327"/>
      <c r="C57" s="328">
        <f>SUM(E57:I57)</f>
        <v>0</v>
      </c>
      <c r="D57" s="328">
        <f>IFERROR(C57/B57,0)</f>
        <v>0</v>
      </c>
      <c r="E57" s="330"/>
      <c r="F57" s="330"/>
      <c r="G57" s="330"/>
      <c r="H57" s="330"/>
      <c r="I57" s="330"/>
      <c r="J57" s="330"/>
      <c r="K57" s="331">
        <f t="shared" si="52"/>
        <v>0</v>
      </c>
      <c r="L57" s="327"/>
      <c r="M57" s="328">
        <f>SUM(O57:S57)</f>
        <v>0</v>
      </c>
      <c r="N57" s="328">
        <f>IFERROR(M57/L57,0)</f>
        <v>0</v>
      </c>
      <c r="O57" s="330"/>
      <c r="P57" s="330"/>
      <c r="Q57" s="330"/>
      <c r="R57" s="330"/>
      <c r="S57" s="330"/>
      <c r="T57" s="330"/>
      <c r="U57" s="331">
        <f t="shared" si="53"/>
        <v>0</v>
      </c>
      <c r="V57" s="327"/>
      <c r="W57" s="328">
        <f>SUM(Y57:AC57)</f>
        <v>0</v>
      </c>
      <c r="X57" s="328">
        <f>IFERROR(W57/V57,0)</f>
        <v>0</v>
      </c>
      <c r="Y57" s="330"/>
      <c r="Z57" s="330"/>
      <c r="AA57" s="330"/>
      <c r="AB57" s="330"/>
      <c r="AC57" s="330"/>
      <c r="AD57" s="330"/>
      <c r="AE57" s="331">
        <f t="shared" si="54"/>
        <v>0</v>
      </c>
      <c r="AF57" s="327"/>
      <c r="AG57" s="328">
        <f>SUM(AI57:AM57)</f>
        <v>0</v>
      </c>
      <c r="AH57" s="328">
        <f>IFERROR(AG57/AF57,0)</f>
        <v>0</v>
      </c>
      <c r="AI57" s="330"/>
      <c r="AJ57" s="330"/>
      <c r="AK57" s="330"/>
      <c r="AL57" s="330"/>
      <c r="AM57" s="330"/>
      <c r="AN57" s="330"/>
      <c r="AO57" s="331">
        <f t="shared" si="55"/>
        <v>0</v>
      </c>
      <c r="AP57" s="327"/>
      <c r="AQ57" s="328">
        <f>SUM(AS57:AW57)</f>
        <v>0</v>
      </c>
      <c r="AR57" s="328">
        <f>IFERROR(AQ57/AP57,0)</f>
        <v>0</v>
      </c>
      <c r="AS57" s="330"/>
      <c r="AT57" s="330"/>
      <c r="AU57" s="330"/>
      <c r="AV57" s="330"/>
      <c r="AW57" s="330"/>
      <c r="AX57" s="330"/>
      <c r="AY57" s="331">
        <f t="shared" si="56"/>
        <v>0</v>
      </c>
      <c r="AZ57" s="334"/>
      <c r="BA57" s="328">
        <f>SUM(BC57:BG57)</f>
        <v>0</v>
      </c>
      <c r="BB57" s="328">
        <f>IFERROR(BA57/AZ57,0)</f>
        <v>0</v>
      </c>
      <c r="BC57" s="330"/>
      <c r="BD57" s="330"/>
      <c r="BE57" s="330"/>
      <c r="BF57" s="330"/>
      <c r="BG57" s="330"/>
      <c r="BH57" s="330"/>
      <c r="BI57" s="331">
        <f t="shared" si="57"/>
        <v>0</v>
      </c>
      <c r="BJ57" s="334"/>
      <c r="BK57" s="328">
        <f t="shared" si="58"/>
        <v>0</v>
      </c>
      <c r="BL57" s="328">
        <f t="shared" si="59"/>
        <v>0</v>
      </c>
      <c r="BM57" s="330"/>
      <c r="BN57" s="330"/>
      <c r="BO57" s="330"/>
      <c r="BP57" s="330"/>
      <c r="BQ57" s="330"/>
      <c r="BR57" s="330"/>
      <c r="BS57" s="331">
        <f t="shared" si="60"/>
        <v>0</v>
      </c>
      <c r="BT57" s="344"/>
      <c r="BU57" s="328">
        <f t="shared" si="61"/>
        <v>0</v>
      </c>
      <c r="BV57" s="328">
        <f t="shared" si="62"/>
        <v>0</v>
      </c>
      <c r="BW57" s="345"/>
      <c r="BX57" s="345"/>
      <c r="BY57" s="345"/>
      <c r="BZ57" s="345"/>
      <c r="CA57" s="345"/>
      <c r="CB57" s="345"/>
      <c r="CC57" s="402">
        <f t="shared" si="63"/>
        <v>0</v>
      </c>
    </row>
    <row r="58" spans="1:81" s="340" customFormat="1" ht="15.95" customHeight="1" x14ac:dyDescent="0.2">
      <c r="A58" s="347" t="s">
        <v>139</v>
      </c>
      <c r="B58" s="327"/>
      <c r="C58" s="328"/>
      <c r="D58" s="328"/>
      <c r="E58" s="330"/>
      <c r="F58" s="330"/>
      <c r="G58" s="330"/>
      <c r="H58" s="330"/>
      <c r="I58" s="330"/>
      <c r="J58" s="330"/>
      <c r="K58" s="331"/>
      <c r="L58" s="327"/>
      <c r="M58" s="328"/>
      <c r="N58" s="328"/>
      <c r="O58" s="330"/>
      <c r="P58" s="330"/>
      <c r="Q58" s="330"/>
      <c r="R58" s="330"/>
      <c r="S58" s="330"/>
      <c r="T58" s="330"/>
      <c r="U58" s="331"/>
      <c r="V58" s="327"/>
      <c r="W58" s="328"/>
      <c r="X58" s="328"/>
      <c r="Y58" s="330"/>
      <c r="Z58" s="330"/>
      <c r="AA58" s="330"/>
      <c r="AB58" s="330"/>
      <c r="AC58" s="330"/>
      <c r="AD58" s="330"/>
      <c r="AE58" s="331"/>
      <c r="AF58" s="327"/>
      <c r="AG58" s="328"/>
      <c r="AH58" s="328"/>
      <c r="AI58" s="330"/>
      <c r="AJ58" s="330"/>
      <c r="AK58" s="330"/>
      <c r="AL58" s="330"/>
      <c r="AM58" s="330"/>
      <c r="AN58" s="330"/>
      <c r="AO58" s="331"/>
      <c r="AP58" s="327"/>
      <c r="AQ58" s="328"/>
      <c r="AR58" s="328"/>
      <c r="AS58" s="330"/>
      <c r="AT58" s="330"/>
      <c r="AU58" s="330"/>
      <c r="AV58" s="330"/>
      <c r="AW58" s="330"/>
      <c r="AX58" s="330"/>
      <c r="AY58" s="331"/>
      <c r="AZ58" s="334"/>
      <c r="BA58" s="328"/>
      <c r="BB58" s="328"/>
      <c r="BC58" s="330"/>
      <c r="BD58" s="330"/>
      <c r="BE58" s="330"/>
      <c r="BF58" s="330"/>
      <c r="BG58" s="330"/>
      <c r="BH58" s="330"/>
      <c r="BI58" s="331"/>
      <c r="BJ58" s="334"/>
      <c r="BK58" s="328"/>
      <c r="BL58" s="328"/>
      <c r="BM58" s="330"/>
      <c r="BN58" s="330"/>
      <c r="BO58" s="330"/>
      <c r="BP58" s="330"/>
      <c r="BQ58" s="330"/>
      <c r="BR58" s="330"/>
      <c r="BS58" s="331"/>
      <c r="BT58" s="334"/>
      <c r="BU58" s="328"/>
      <c r="BV58" s="328"/>
      <c r="BW58" s="330"/>
      <c r="BX58" s="330"/>
      <c r="BY58" s="330"/>
      <c r="BZ58" s="330"/>
      <c r="CA58" s="330"/>
      <c r="CB58" s="330"/>
      <c r="CC58" s="331"/>
    </row>
    <row r="59" spans="1:81" s="340" customFormat="1" ht="15.95" customHeight="1" x14ac:dyDescent="0.2">
      <c r="A59" s="348" t="s">
        <v>145</v>
      </c>
      <c r="B59" s="349">
        <f>SUM(B$47:B58)</f>
        <v>726</v>
      </c>
      <c r="C59" s="328">
        <f>SUM(C$47:C58)</f>
        <v>1010769</v>
      </c>
      <c r="D59" s="328">
        <f>IFERROR(C59/B59,0)</f>
        <v>1392.2438016528927</v>
      </c>
      <c r="E59" s="350">
        <f>SUM(E$47:E58)</f>
        <v>953489</v>
      </c>
      <c r="F59" s="350">
        <f>SUM(F$47:F58)</f>
        <v>0</v>
      </c>
      <c r="G59" s="350">
        <f>SUM(G$47:G58)</f>
        <v>0</v>
      </c>
      <c r="H59" s="350">
        <f>SUM(H$47:H58)</f>
        <v>0</v>
      </c>
      <c r="I59" s="350">
        <f>SUM(I$47:I58)</f>
        <v>57280</v>
      </c>
      <c r="J59" s="350">
        <f>SUM(J$47:J58)</f>
        <v>1001603</v>
      </c>
      <c r="K59" s="350">
        <f>SUM(K$47:K58)</f>
        <v>946546</v>
      </c>
      <c r="L59" s="349">
        <f>SUM(L$47:L58)</f>
        <v>889</v>
      </c>
      <c r="M59" s="328">
        <f>SUM(M$47:M58)</f>
        <v>1126331</v>
      </c>
      <c r="N59" s="328">
        <f>IFERROR(M59/L59,0)</f>
        <v>1266.9640044994376</v>
      </c>
      <c r="O59" s="350">
        <f>SUM(O$47:O58)</f>
        <v>1046497</v>
      </c>
      <c r="P59" s="350">
        <f>SUM(P$47:P58)</f>
        <v>0</v>
      </c>
      <c r="Q59" s="350">
        <f>SUM(Q$47:Q58)</f>
        <v>0</v>
      </c>
      <c r="R59" s="350">
        <f>SUM(R$47:R58)</f>
        <v>0</v>
      </c>
      <c r="S59" s="350">
        <f>SUM(S$47:S58)</f>
        <v>79834</v>
      </c>
      <c r="T59" s="350">
        <f>SUM(T$47:T58)</f>
        <v>1120642</v>
      </c>
      <c r="U59" s="350">
        <f>SUM(U$47:U58)</f>
        <v>1044269</v>
      </c>
      <c r="V59" s="349">
        <f>SUM(V$47:V58)</f>
        <v>782</v>
      </c>
      <c r="W59" s="328">
        <f>SUM(W$47:W58)</f>
        <v>871056</v>
      </c>
      <c r="X59" s="328">
        <f>IFERROR(W59/V59,0)</f>
        <v>1113.8823529411766</v>
      </c>
      <c r="Y59" s="350">
        <f>SUM(Y$47:Y58)</f>
        <v>801964</v>
      </c>
      <c r="Z59" s="350">
        <f>SUM(Z$47:Z58)</f>
        <v>0</v>
      </c>
      <c r="AA59" s="350">
        <f>SUM(AA$47:AA58)</f>
        <v>0</v>
      </c>
      <c r="AB59" s="350">
        <f>SUM(AB$47:AB58)</f>
        <v>0</v>
      </c>
      <c r="AC59" s="350">
        <f>SUM(AC$47:AC58)</f>
        <v>69092</v>
      </c>
      <c r="AD59" s="350">
        <f>SUM(AD$47:AD58)</f>
        <v>867510</v>
      </c>
      <c r="AE59" s="350">
        <f>SUM(AE$47:AE58)</f>
        <v>799893</v>
      </c>
      <c r="AF59" s="349">
        <f>SUM(AF$47:AF58)</f>
        <v>924</v>
      </c>
      <c r="AG59" s="328">
        <f>SUM(AG$47:AG58)</f>
        <v>1313178</v>
      </c>
      <c r="AH59" s="328">
        <f>IFERROR(AG59/AF59,0)</f>
        <v>1421.1883116883116</v>
      </c>
      <c r="AI59" s="350">
        <f>SUM(AI$47:AI58)</f>
        <v>1191903</v>
      </c>
      <c r="AJ59" s="350">
        <f>SUM(AJ$47:AJ58)</f>
        <v>0</v>
      </c>
      <c r="AK59" s="350">
        <f>SUM(AK$47:AK58)</f>
        <v>0</v>
      </c>
      <c r="AL59" s="350">
        <f>SUM(AL$47:AL58)</f>
        <v>0</v>
      </c>
      <c r="AM59" s="350">
        <f>SUM(AM$47:AM58)</f>
        <v>121275</v>
      </c>
      <c r="AN59" s="350">
        <f>SUM(AN$47:AN58)</f>
        <v>1304159</v>
      </c>
      <c r="AO59" s="350">
        <f>SUM(AO$47:AO58)</f>
        <v>1188665</v>
      </c>
      <c r="AP59" s="349">
        <f>SUM(AP$47:AP58)</f>
        <v>1085</v>
      </c>
      <c r="AQ59" s="328">
        <f>SUM(AQ$47:AQ58)</f>
        <v>1392318</v>
      </c>
      <c r="AR59" s="328">
        <f>IFERROR(AQ59/AP59,0)</f>
        <v>1283.242396313364</v>
      </c>
      <c r="AS59" s="350">
        <f>SUM(AS$47:AS58)</f>
        <v>1248927</v>
      </c>
      <c r="AT59" s="350">
        <f>SUM(AT$47:AT58)</f>
        <v>0</v>
      </c>
      <c r="AU59" s="350">
        <f>SUM(AU$47:AU58)</f>
        <v>0</v>
      </c>
      <c r="AV59" s="350">
        <f>SUM(AV$47:AV58)</f>
        <v>0</v>
      </c>
      <c r="AW59" s="350">
        <f>SUM(AW$47:AW58)</f>
        <v>143391</v>
      </c>
      <c r="AX59" s="350">
        <f>SUM(AX$47:AX58)</f>
        <v>1382801</v>
      </c>
      <c r="AY59" s="350">
        <f>SUM(AY$47:AY58)</f>
        <v>1247304</v>
      </c>
      <c r="AZ59" s="351">
        <f>SUM(AZ$47:AZ58)</f>
        <v>1113</v>
      </c>
      <c r="BA59" s="328">
        <f>SUM(BA$47:BA58)</f>
        <v>1350679</v>
      </c>
      <c r="BB59" s="328">
        <f>IFERROR(BA59/AZ59,0)</f>
        <v>1213.5480682839172</v>
      </c>
      <c r="BC59" s="350">
        <f>SUM(BC$47:BC58)</f>
        <v>978836</v>
      </c>
      <c r="BD59" s="350">
        <f>SUM(BD$47:BD58)</f>
        <v>0</v>
      </c>
      <c r="BE59" s="350">
        <f>SUM(BE$47:BE58)</f>
        <v>164664</v>
      </c>
      <c r="BF59" s="350">
        <f>SUM(BF$47:BF58)</f>
        <v>0</v>
      </c>
      <c r="BG59" s="350">
        <f>SUM(BG$47:BG58)</f>
        <v>207179</v>
      </c>
      <c r="BH59" s="350">
        <f>SUM(BH$47:BH58)</f>
        <v>1325197</v>
      </c>
      <c r="BI59" s="331">
        <f>SUM(BI$47:BI58)</f>
        <v>970285</v>
      </c>
      <c r="BJ59" s="351">
        <f>SUM(BJ$47:BJ58)</f>
        <v>1270</v>
      </c>
      <c r="BK59" s="328">
        <f>SUM(BK$47:BK58)</f>
        <v>1720192</v>
      </c>
      <c r="BL59" s="328">
        <f>IFERROR(BK59/BJ59,0)</f>
        <v>1354.4818897637795</v>
      </c>
      <c r="BM59" s="350">
        <f>SUM(BM$47:BM58)</f>
        <v>1009104</v>
      </c>
      <c r="BN59" s="350">
        <f>SUM(BN$47:BN58)</f>
        <v>0</v>
      </c>
      <c r="BO59" s="350">
        <f>SUM(BO$47:BO58)</f>
        <v>446045</v>
      </c>
      <c r="BP59" s="350">
        <f>SUM(BP$47:BP58)</f>
        <v>0</v>
      </c>
      <c r="BQ59" s="350">
        <f>SUM(BQ$47:BQ58)</f>
        <v>265043</v>
      </c>
      <c r="BR59" s="350">
        <f>SUM(BR$47:BR58)</f>
        <v>1649952</v>
      </c>
      <c r="BS59" s="331">
        <f>SUM(BS$47:BS58)</f>
        <v>1007001</v>
      </c>
      <c r="BT59" s="351">
        <f>SUM(BT$47:BT58)</f>
        <v>2020</v>
      </c>
      <c r="BU59" s="328">
        <f>SUM(BU$47:BU58)</f>
        <v>1970036.1800000002</v>
      </c>
      <c r="BV59" s="328">
        <f>IFERROR(BU59/BT59,0)</f>
        <v>975.26543564356439</v>
      </c>
      <c r="BW59" s="350">
        <f>SUM(BW$47:BW58)</f>
        <v>983988.18</v>
      </c>
      <c r="BX59" s="350">
        <f>SUM(BX$47:BX58)</f>
        <v>0</v>
      </c>
      <c r="BY59" s="350">
        <f>SUM(BY$47:BY58)</f>
        <v>770082</v>
      </c>
      <c r="BZ59" s="350">
        <f>SUM(BZ$47:BZ58)</f>
        <v>0</v>
      </c>
      <c r="CA59" s="350">
        <f>SUM(CA$47:CA58)</f>
        <v>215966</v>
      </c>
      <c r="CB59" s="350">
        <f>SUM(CB$47:CB58)</f>
        <v>1954377</v>
      </c>
      <c r="CC59" s="331">
        <f>SUM(CC$47:CC58)</f>
        <v>982381</v>
      </c>
    </row>
    <row r="60" spans="1:81" s="340" customFormat="1" ht="15.95" customHeight="1" x14ac:dyDescent="0.2">
      <c r="A60" s="339"/>
      <c r="B60" s="327"/>
      <c r="C60" s="328"/>
      <c r="D60" s="328"/>
      <c r="E60" s="330"/>
      <c r="F60" s="330"/>
      <c r="G60" s="330"/>
      <c r="H60" s="330"/>
      <c r="I60" s="330"/>
      <c r="J60" s="330"/>
      <c r="K60" s="331"/>
      <c r="L60" s="327"/>
      <c r="M60" s="328"/>
      <c r="N60" s="328"/>
      <c r="O60" s="330"/>
      <c r="P60" s="330"/>
      <c r="Q60" s="330"/>
      <c r="R60" s="330"/>
      <c r="S60" s="330"/>
      <c r="T60" s="330"/>
      <c r="U60" s="331"/>
      <c r="V60" s="327"/>
      <c r="W60" s="328"/>
      <c r="X60" s="328"/>
      <c r="Y60" s="330"/>
      <c r="Z60" s="330"/>
      <c r="AA60" s="330"/>
      <c r="AB60" s="330"/>
      <c r="AC60" s="330"/>
      <c r="AD60" s="330"/>
      <c r="AE60" s="331"/>
      <c r="AF60" s="327"/>
      <c r="AG60" s="328"/>
      <c r="AH60" s="328"/>
      <c r="AI60" s="330"/>
      <c r="AJ60" s="330"/>
      <c r="AK60" s="330"/>
      <c r="AL60" s="330"/>
      <c r="AM60" s="330"/>
      <c r="AN60" s="330"/>
      <c r="AO60" s="331"/>
      <c r="AP60" s="327"/>
      <c r="AQ60" s="328"/>
      <c r="AR60" s="328"/>
      <c r="AS60" s="330"/>
      <c r="AT60" s="330"/>
      <c r="AU60" s="330"/>
      <c r="AV60" s="330"/>
      <c r="AW60" s="330"/>
      <c r="AX60" s="330"/>
      <c r="AY60" s="331"/>
      <c r="AZ60" s="334"/>
      <c r="BA60" s="328"/>
      <c r="BB60" s="328"/>
      <c r="BC60" s="330"/>
      <c r="BD60" s="330"/>
      <c r="BE60" s="330"/>
      <c r="BF60" s="330"/>
      <c r="BG60" s="330"/>
      <c r="BH60" s="330"/>
      <c r="BI60" s="331"/>
      <c r="BJ60" s="334"/>
      <c r="BK60" s="328"/>
      <c r="BL60" s="328"/>
      <c r="BM60" s="330"/>
      <c r="BN60" s="330"/>
      <c r="BO60" s="330"/>
      <c r="BP60" s="330"/>
      <c r="BQ60" s="330"/>
      <c r="BR60" s="330"/>
      <c r="BS60" s="331"/>
      <c r="BT60" s="334"/>
      <c r="BU60" s="328"/>
      <c r="BV60" s="328"/>
      <c r="BW60" s="330"/>
      <c r="BX60" s="330"/>
      <c r="BY60" s="330"/>
      <c r="BZ60" s="330"/>
      <c r="CA60" s="330"/>
      <c r="CB60" s="330"/>
      <c r="CC60" s="331"/>
    </row>
    <row r="61" spans="1:81" s="340" customFormat="1" ht="15.95" customHeight="1" x14ac:dyDescent="0.2">
      <c r="A61" s="341" t="s">
        <v>146</v>
      </c>
      <c r="B61" s="327"/>
      <c r="C61" s="328"/>
      <c r="D61" s="328"/>
      <c r="E61" s="330"/>
      <c r="F61" s="330"/>
      <c r="G61" s="330"/>
      <c r="H61" s="330"/>
      <c r="I61" s="330"/>
      <c r="J61" s="330"/>
      <c r="K61" s="331"/>
      <c r="L61" s="327"/>
      <c r="M61" s="328"/>
      <c r="N61" s="328"/>
      <c r="O61" s="330"/>
      <c r="P61" s="330"/>
      <c r="Q61" s="330"/>
      <c r="R61" s="330"/>
      <c r="S61" s="330"/>
      <c r="T61" s="330"/>
      <c r="U61" s="331"/>
      <c r="V61" s="327"/>
      <c r="W61" s="328"/>
      <c r="X61" s="328"/>
      <c r="Y61" s="330"/>
      <c r="Z61" s="330"/>
      <c r="AA61" s="330"/>
      <c r="AB61" s="330"/>
      <c r="AC61" s="330"/>
      <c r="AD61" s="330"/>
      <c r="AE61" s="331"/>
      <c r="AF61" s="327"/>
      <c r="AG61" s="328"/>
      <c r="AH61" s="328"/>
      <c r="AI61" s="330"/>
      <c r="AJ61" s="330"/>
      <c r="AK61" s="330"/>
      <c r="AL61" s="330"/>
      <c r="AM61" s="330"/>
      <c r="AN61" s="330"/>
      <c r="AO61" s="331"/>
      <c r="AP61" s="327"/>
      <c r="AQ61" s="328"/>
      <c r="AR61" s="328"/>
      <c r="AS61" s="330"/>
      <c r="AT61" s="330"/>
      <c r="AU61" s="330"/>
      <c r="AV61" s="330"/>
      <c r="AW61" s="330"/>
      <c r="AX61" s="330"/>
      <c r="AY61" s="331"/>
      <c r="AZ61" s="334"/>
      <c r="BA61" s="328"/>
      <c r="BB61" s="328"/>
      <c r="BC61" s="330"/>
      <c r="BD61" s="330"/>
      <c r="BE61" s="330"/>
      <c r="BF61" s="330"/>
      <c r="BG61" s="330"/>
      <c r="BH61" s="330"/>
      <c r="BI61" s="331"/>
      <c r="BJ61" s="334"/>
      <c r="BK61" s="328"/>
      <c r="BL61" s="328"/>
      <c r="BM61" s="330"/>
      <c r="BN61" s="330"/>
      <c r="BO61" s="330"/>
      <c r="BP61" s="330"/>
      <c r="BQ61" s="330"/>
      <c r="BR61" s="330"/>
      <c r="BS61" s="331"/>
      <c r="BT61" s="334"/>
      <c r="BU61" s="328"/>
      <c r="BV61" s="328"/>
      <c r="BW61" s="330"/>
      <c r="BX61" s="330"/>
      <c r="BY61" s="330"/>
      <c r="BZ61" s="330"/>
      <c r="CA61" s="330"/>
      <c r="CB61" s="330"/>
      <c r="CC61" s="331"/>
    </row>
    <row r="62" spans="1:81" s="340" customFormat="1" ht="15.95" customHeight="1" x14ac:dyDescent="0.2">
      <c r="A62" s="342" t="s">
        <v>147</v>
      </c>
      <c r="B62" s="327">
        <v>51</v>
      </c>
      <c r="C62" s="328">
        <f t="shared" ref="C62:C77" si="88">SUM(E62:I62)</f>
        <v>10844</v>
      </c>
      <c r="D62" s="328">
        <f t="shared" ref="D62:D77" si="89">IFERROR(C62/B62,0)</f>
        <v>212.62745098039215</v>
      </c>
      <c r="E62" s="330">
        <v>10844</v>
      </c>
      <c r="F62" s="330"/>
      <c r="G62" s="330"/>
      <c r="H62" s="330"/>
      <c r="I62" s="330"/>
      <c r="J62" s="330">
        <v>8028</v>
      </c>
      <c r="K62" s="331">
        <f t="shared" ref="K62:K77" si="90">IF(J62=0,0,(IF(E62&lt;=J62,E62,J62)))</f>
        <v>8028</v>
      </c>
      <c r="L62" s="327">
        <v>47</v>
      </c>
      <c r="M62" s="328">
        <f t="shared" ref="M62:M77" si="91">SUM(O62:S62)</f>
        <v>11407</v>
      </c>
      <c r="N62" s="328">
        <f t="shared" ref="N62:N77" si="92">IFERROR(M62/L62,0)</f>
        <v>242.70212765957447</v>
      </c>
      <c r="O62" s="330">
        <v>11407</v>
      </c>
      <c r="P62" s="330"/>
      <c r="Q62" s="330"/>
      <c r="R62" s="330"/>
      <c r="S62" s="330"/>
      <c r="T62" s="330">
        <v>9207</v>
      </c>
      <c r="U62" s="331">
        <f t="shared" ref="U62:U77" si="93">IF(T62=0,0,(IF(O62&lt;=T62,O62,T62)))</f>
        <v>9207</v>
      </c>
      <c r="V62" s="327">
        <v>28</v>
      </c>
      <c r="W62" s="328">
        <f t="shared" ref="W62:W77" si="94">SUM(Y62:AC62)</f>
        <v>10188</v>
      </c>
      <c r="X62" s="328">
        <f t="shared" ref="X62:X77" si="95">IFERROR(W62/V62,0)</f>
        <v>363.85714285714283</v>
      </c>
      <c r="Y62" s="330">
        <v>10188</v>
      </c>
      <c r="Z62" s="330"/>
      <c r="AA62" s="330"/>
      <c r="AB62" s="330"/>
      <c r="AC62" s="330"/>
      <c r="AD62" s="330">
        <v>7289</v>
      </c>
      <c r="AE62" s="331">
        <f t="shared" ref="AE62:AE77" si="96">IF(AD62=0,0,(IF(Y62&lt;=AD62,Y62,AD62)))</f>
        <v>7289</v>
      </c>
      <c r="AF62" s="327">
        <v>14</v>
      </c>
      <c r="AG62" s="328">
        <f t="shared" ref="AG62:AG77" si="97">SUM(AI62:AM62)</f>
        <v>11114</v>
      </c>
      <c r="AH62" s="328">
        <f t="shared" ref="AH62:AH77" si="98">IFERROR(AG62/AF62,0)</f>
        <v>793.85714285714289</v>
      </c>
      <c r="AI62" s="330">
        <f>8812+2302</f>
        <v>11114</v>
      </c>
      <c r="AJ62" s="330"/>
      <c r="AK62" s="330"/>
      <c r="AL62" s="330"/>
      <c r="AM62" s="330"/>
      <c r="AN62" s="330">
        <v>10432</v>
      </c>
      <c r="AO62" s="331">
        <f t="shared" ref="AO62:AO77" si="99">IF(AN62=0,0,(IF(AI62&lt;=AN62,AI62,AN62)))</f>
        <v>10432</v>
      </c>
      <c r="AP62" s="327">
        <v>27</v>
      </c>
      <c r="AQ62" s="328">
        <f t="shared" ref="AQ62:AQ77" si="100">SUM(AS62:AW62)</f>
        <v>9023</v>
      </c>
      <c r="AR62" s="328">
        <f t="shared" ref="AR62:AR77" si="101">IFERROR(AQ62/AP62,0)</f>
        <v>334.18518518518516</v>
      </c>
      <c r="AS62" s="330">
        <v>9023</v>
      </c>
      <c r="AT62" s="330"/>
      <c r="AU62" s="330"/>
      <c r="AV62" s="330"/>
      <c r="AW62" s="330"/>
      <c r="AX62" s="330">
        <v>8357</v>
      </c>
      <c r="AY62" s="331">
        <f t="shared" ref="AY62:AY77" si="102">IF(AX62=0,0,(IF(AS62&lt;=AX62,AS62,AX62)))</f>
        <v>8357</v>
      </c>
      <c r="AZ62" s="334">
        <v>13</v>
      </c>
      <c r="BA62" s="328">
        <f t="shared" ref="BA62:BA77" si="103">SUM(BC62:BG62)</f>
        <v>8163</v>
      </c>
      <c r="BB62" s="328">
        <f t="shared" ref="BB62:BB77" si="104">IFERROR(BA62/AZ62,0)</f>
        <v>627.92307692307691</v>
      </c>
      <c r="BC62" s="330">
        <v>8163</v>
      </c>
      <c r="BD62" s="330"/>
      <c r="BE62" s="330"/>
      <c r="BF62" s="330"/>
      <c r="BG62" s="330"/>
      <c r="BH62" s="330">
        <v>8163</v>
      </c>
      <c r="BI62" s="331">
        <f t="shared" ref="BI62:BI77" si="105">IF(BH62=0,0,(IF(BC62&lt;=BH62,BC62,BH62)))</f>
        <v>8163</v>
      </c>
      <c r="BJ62" s="334">
        <v>11</v>
      </c>
      <c r="BK62" s="328">
        <f t="shared" ref="BK62:BK77" si="106">SUM(BM62:BQ62)</f>
        <v>4256</v>
      </c>
      <c r="BL62" s="328">
        <f t="shared" ref="BL62:BL77" si="107">IFERROR(BK62/BJ62,0)</f>
        <v>386.90909090909093</v>
      </c>
      <c r="BM62" s="330">
        <v>4256</v>
      </c>
      <c r="BN62" s="330"/>
      <c r="BO62" s="330"/>
      <c r="BP62" s="330"/>
      <c r="BQ62" s="330"/>
      <c r="BR62" s="330">
        <v>2887</v>
      </c>
      <c r="BS62" s="331">
        <f t="shared" ref="BS62:BS77" si="108">IF(BR62=0,0,(IF(BM62&lt;=BR62,BM62,BR62)))</f>
        <v>2887</v>
      </c>
      <c r="BT62" s="344">
        <v>8</v>
      </c>
      <c r="BU62" s="328">
        <f t="shared" ref="BU62:BU77" si="109">SUM(BW62:CA62)</f>
        <v>3128</v>
      </c>
      <c r="BV62" s="328">
        <f t="shared" ref="BV62:BV77" si="110">IFERROR(BU62/BT62,0)</f>
        <v>391</v>
      </c>
      <c r="BW62" s="345">
        <v>3128</v>
      </c>
      <c r="BX62" s="345"/>
      <c r="BY62" s="345"/>
      <c r="BZ62" s="345"/>
      <c r="CA62" s="345"/>
      <c r="CB62" s="345">
        <v>2122</v>
      </c>
      <c r="CC62" s="402">
        <f t="shared" ref="CC62:CC77" si="111">IF(CB62=0,0,(IF(BW62&lt;=CB62,BW62,CB62)))</f>
        <v>2122</v>
      </c>
    </row>
    <row r="63" spans="1:81" s="340" customFormat="1" ht="15.95" customHeight="1" x14ac:dyDescent="0.2">
      <c r="A63" s="342" t="s">
        <v>148</v>
      </c>
      <c r="B63" s="327">
        <v>58</v>
      </c>
      <c r="C63" s="328">
        <f t="shared" si="88"/>
        <v>45203</v>
      </c>
      <c r="D63" s="328">
        <f t="shared" si="89"/>
        <v>779.36206896551721</v>
      </c>
      <c r="E63" s="330"/>
      <c r="F63" s="330"/>
      <c r="G63" s="330"/>
      <c r="H63" s="330"/>
      <c r="I63" s="330">
        <v>45203</v>
      </c>
      <c r="J63" s="330">
        <v>45203</v>
      </c>
      <c r="K63" s="331">
        <f t="shared" si="90"/>
        <v>0</v>
      </c>
      <c r="L63" s="327">
        <v>75</v>
      </c>
      <c r="M63" s="328">
        <f t="shared" si="91"/>
        <v>61935</v>
      </c>
      <c r="N63" s="328">
        <f t="shared" si="92"/>
        <v>825.8</v>
      </c>
      <c r="O63" s="330"/>
      <c r="P63" s="330"/>
      <c r="Q63" s="330"/>
      <c r="R63" s="330"/>
      <c r="S63" s="330">
        <v>61935</v>
      </c>
      <c r="T63" s="330">
        <v>61935</v>
      </c>
      <c r="U63" s="331">
        <f t="shared" si="93"/>
        <v>0</v>
      </c>
      <c r="V63" s="327">
        <v>93</v>
      </c>
      <c r="W63" s="328">
        <f t="shared" si="94"/>
        <v>65562</v>
      </c>
      <c r="X63" s="328">
        <f t="shared" si="95"/>
        <v>704.9677419354839</v>
      </c>
      <c r="Y63" s="330"/>
      <c r="Z63" s="330"/>
      <c r="AA63" s="330"/>
      <c r="AB63" s="330"/>
      <c r="AC63" s="330">
        <v>65562</v>
      </c>
      <c r="AD63" s="330"/>
      <c r="AE63" s="331">
        <f t="shared" si="96"/>
        <v>0</v>
      </c>
      <c r="AF63" s="327">
        <v>94</v>
      </c>
      <c r="AG63" s="328">
        <f t="shared" si="97"/>
        <v>75786</v>
      </c>
      <c r="AH63" s="328">
        <f t="shared" si="98"/>
        <v>806.23404255319144</v>
      </c>
      <c r="AI63" s="330"/>
      <c r="AJ63" s="330"/>
      <c r="AK63" s="330"/>
      <c r="AL63" s="330"/>
      <c r="AM63" s="330">
        <v>75786</v>
      </c>
      <c r="AN63" s="330">
        <v>75786</v>
      </c>
      <c r="AO63" s="331">
        <f t="shared" si="99"/>
        <v>0</v>
      </c>
      <c r="AP63" s="327">
        <v>79</v>
      </c>
      <c r="AQ63" s="328">
        <f t="shared" si="100"/>
        <v>62968</v>
      </c>
      <c r="AR63" s="328">
        <f t="shared" si="101"/>
        <v>797.0632911392405</v>
      </c>
      <c r="AS63" s="330"/>
      <c r="AT63" s="330"/>
      <c r="AU63" s="330"/>
      <c r="AV63" s="330"/>
      <c r="AW63" s="330">
        <v>62968</v>
      </c>
      <c r="AX63" s="330">
        <v>62968</v>
      </c>
      <c r="AY63" s="331">
        <f t="shared" si="102"/>
        <v>0</v>
      </c>
      <c r="AZ63" s="334">
        <v>37</v>
      </c>
      <c r="BA63" s="328">
        <f t="shared" si="103"/>
        <v>28697</v>
      </c>
      <c r="BB63" s="328">
        <f t="shared" si="104"/>
        <v>775.59459459459458</v>
      </c>
      <c r="BC63" s="330"/>
      <c r="BD63" s="330"/>
      <c r="BE63" s="330"/>
      <c r="BF63" s="330"/>
      <c r="BG63" s="330">
        <v>28697</v>
      </c>
      <c r="BH63" s="330">
        <v>28697</v>
      </c>
      <c r="BI63" s="331">
        <f t="shared" si="105"/>
        <v>0</v>
      </c>
      <c r="BJ63" s="334">
        <v>39</v>
      </c>
      <c r="BK63" s="328">
        <f t="shared" si="106"/>
        <v>33744</v>
      </c>
      <c r="BL63" s="328">
        <f t="shared" si="107"/>
        <v>865.23076923076928</v>
      </c>
      <c r="BM63" s="330"/>
      <c r="BN63" s="330"/>
      <c r="BO63" s="330"/>
      <c r="BP63" s="330"/>
      <c r="BQ63" s="330">
        <v>33744</v>
      </c>
      <c r="BR63" s="330">
        <v>33744</v>
      </c>
      <c r="BS63" s="331">
        <f t="shared" si="108"/>
        <v>0</v>
      </c>
      <c r="BT63" s="344">
        <v>16</v>
      </c>
      <c r="BU63" s="328">
        <f t="shared" si="109"/>
        <v>3675</v>
      </c>
      <c r="BV63" s="328">
        <f t="shared" si="110"/>
        <v>229.6875</v>
      </c>
      <c r="BW63" s="345"/>
      <c r="BX63" s="345"/>
      <c r="BY63" s="345"/>
      <c r="BZ63" s="345"/>
      <c r="CA63" s="345">
        <v>3675</v>
      </c>
      <c r="CB63" s="345">
        <v>3675</v>
      </c>
      <c r="CC63" s="402">
        <f t="shared" si="111"/>
        <v>0</v>
      </c>
    </row>
    <row r="64" spans="1:81" s="340" customFormat="1" ht="15.95" customHeight="1" x14ac:dyDescent="0.2">
      <c r="A64" s="342" t="s">
        <v>149</v>
      </c>
      <c r="B64" s="327">
        <v>0</v>
      </c>
      <c r="C64" s="328">
        <f t="shared" si="88"/>
        <v>0</v>
      </c>
      <c r="D64" s="328">
        <f t="shared" si="89"/>
        <v>0</v>
      </c>
      <c r="E64" s="330"/>
      <c r="F64" s="330"/>
      <c r="G64" s="330"/>
      <c r="H64" s="330"/>
      <c r="I64" s="330"/>
      <c r="J64" s="330">
        <v>0</v>
      </c>
      <c r="K64" s="331">
        <f t="shared" si="90"/>
        <v>0</v>
      </c>
      <c r="L64" s="327">
        <v>0</v>
      </c>
      <c r="M64" s="328">
        <f t="shared" si="91"/>
        <v>0</v>
      </c>
      <c r="N64" s="328">
        <f t="shared" si="92"/>
        <v>0</v>
      </c>
      <c r="O64" s="330"/>
      <c r="P64" s="330"/>
      <c r="Q64" s="330"/>
      <c r="R64" s="330"/>
      <c r="S64" s="330"/>
      <c r="T64" s="330"/>
      <c r="U64" s="331">
        <f t="shared" si="93"/>
        <v>0</v>
      </c>
      <c r="V64" s="327"/>
      <c r="W64" s="328">
        <f t="shared" si="94"/>
        <v>0</v>
      </c>
      <c r="X64" s="328">
        <f t="shared" si="95"/>
        <v>0</v>
      </c>
      <c r="Y64" s="330"/>
      <c r="Z64" s="330"/>
      <c r="AA64" s="330"/>
      <c r="AB64" s="330"/>
      <c r="AC64" s="330"/>
      <c r="AD64" s="330"/>
      <c r="AE64" s="331">
        <f t="shared" si="96"/>
        <v>0</v>
      </c>
      <c r="AF64" s="327"/>
      <c r="AG64" s="328">
        <f t="shared" si="97"/>
        <v>0</v>
      </c>
      <c r="AH64" s="328">
        <f t="shared" si="98"/>
        <v>0</v>
      </c>
      <c r="AI64" s="330"/>
      <c r="AJ64" s="330"/>
      <c r="AK64" s="330"/>
      <c r="AL64" s="330"/>
      <c r="AM64" s="330"/>
      <c r="AN64" s="330"/>
      <c r="AO64" s="331">
        <f t="shared" si="99"/>
        <v>0</v>
      </c>
      <c r="AP64" s="327"/>
      <c r="AQ64" s="328">
        <f t="shared" si="100"/>
        <v>0</v>
      </c>
      <c r="AR64" s="328">
        <f t="shared" si="101"/>
        <v>0</v>
      </c>
      <c r="AS64" s="330"/>
      <c r="AT64" s="330"/>
      <c r="AU64" s="330"/>
      <c r="AV64" s="330"/>
      <c r="AW64" s="330"/>
      <c r="AX64" s="330"/>
      <c r="AY64" s="331">
        <f t="shared" si="102"/>
        <v>0</v>
      </c>
      <c r="AZ64" s="334"/>
      <c r="BA64" s="328">
        <f t="shared" si="103"/>
        <v>0</v>
      </c>
      <c r="BB64" s="328">
        <f t="shared" si="104"/>
        <v>0</v>
      </c>
      <c r="BC64" s="330"/>
      <c r="BD64" s="330"/>
      <c r="BE64" s="330"/>
      <c r="BF64" s="330"/>
      <c r="BG64" s="330"/>
      <c r="BH64" s="330"/>
      <c r="BI64" s="331">
        <f t="shared" si="105"/>
        <v>0</v>
      </c>
      <c r="BJ64" s="334"/>
      <c r="BK64" s="328">
        <f t="shared" si="106"/>
        <v>0</v>
      </c>
      <c r="BL64" s="328">
        <f t="shared" si="107"/>
        <v>0</v>
      </c>
      <c r="BM64" s="330"/>
      <c r="BN64" s="330"/>
      <c r="BO64" s="330"/>
      <c r="BP64" s="330"/>
      <c r="BQ64" s="330"/>
      <c r="BR64" s="330"/>
      <c r="BS64" s="331">
        <f t="shared" si="108"/>
        <v>0</v>
      </c>
      <c r="BT64" s="344"/>
      <c r="BU64" s="328">
        <f t="shared" si="109"/>
        <v>0</v>
      </c>
      <c r="BV64" s="328">
        <f t="shared" si="110"/>
        <v>0</v>
      </c>
      <c r="BW64" s="345"/>
      <c r="BX64" s="345"/>
      <c r="BY64" s="345"/>
      <c r="BZ64" s="345"/>
      <c r="CA64" s="345"/>
      <c r="CB64" s="345"/>
      <c r="CC64" s="402">
        <f t="shared" si="111"/>
        <v>0</v>
      </c>
    </row>
    <row r="65" spans="1:81" s="340" customFormat="1" ht="15.95" customHeight="1" x14ac:dyDescent="0.2">
      <c r="A65" s="342" t="s">
        <v>150</v>
      </c>
      <c r="B65" s="327">
        <v>153</v>
      </c>
      <c r="C65" s="328">
        <f t="shared" si="88"/>
        <v>47730</v>
      </c>
      <c r="D65" s="328">
        <f t="shared" si="89"/>
        <v>311.96078431372547</v>
      </c>
      <c r="E65" s="330">
        <v>47730</v>
      </c>
      <c r="F65" s="330"/>
      <c r="G65" s="330"/>
      <c r="H65" s="330"/>
      <c r="I65" s="330"/>
      <c r="J65" s="330">
        <v>40721</v>
      </c>
      <c r="K65" s="331">
        <f t="shared" si="90"/>
        <v>40721</v>
      </c>
      <c r="L65" s="327">
        <v>142</v>
      </c>
      <c r="M65" s="328">
        <f t="shared" si="91"/>
        <v>61659</v>
      </c>
      <c r="N65" s="328">
        <f t="shared" si="92"/>
        <v>434.21830985915494</v>
      </c>
      <c r="O65" s="330">
        <v>61659</v>
      </c>
      <c r="P65" s="330"/>
      <c r="Q65" s="330"/>
      <c r="R65" s="330"/>
      <c r="S65" s="330"/>
      <c r="T65" s="330">
        <v>55370</v>
      </c>
      <c r="U65" s="331">
        <f t="shared" si="93"/>
        <v>55370</v>
      </c>
      <c r="V65" s="327">
        <v>117</v>
      </c>
      <c r="W65" s="328">
        <f t="shared" si="94"/>
        <v>60655</v>
      </c>
      <c r="X65" s="328">
        <f t="shared" si="95"/>
        <v>518.41880341880346</v>
      </c>
      <c r="Y65" s="330">
        <v>60655</v>
      </c>
      <c r="Z65" s="330"/>
      <c r="AA65" s="330"/>
      <c r="AB65" s="330"/>
      <c r="AC65" s="330"/>
      <c r="AD65" s="330">
        <v>57971</v>
      </c>
      <c r="AE65" s="331">
        <f t="shared" si="96"/>
        <v>57971</v>
      </c>
      <c r="AF65" s="327">
        <v>117</v>
      </c>
      <c r="AG65" s="328">
        <f t="shared" si="97"/>
        <v>81182</v>
      </c>
      <c r="AH65" s="328">
        <f t="shared" si="98"/>
        <v>693.86324786324781</v>
      </c>
      <c r="AI65" s="330">
        <v>81182</v>
      </c>
      <c r="AJ65" s="330"/>
      <c r="AK65" s="330"/>
      <c r="AL65" s="330"/>
      <c r="AM65" s="330"/>
      <c r="AN65" s="330">
        <v>79839</v>
      </c>
      <c r="AO65" s="331">
        <f t="shared" si="99"/>
        <v>79839</v>
      </c>
      <c r="AP65" s="327">
        <v>175</v>
      </c>
      <c r="AQ65" s="328">
        <f t="shared" si="100"/>
        <v>84624</v>
      </c>
      <c r="AR65" s="328">
        <f t="shared" si="101"/>
        <v>483.56571428571431</v>
      </c>
      <c r="AS65" s="330">
        <v>84624</v>
      </c>
      <c r="AT65" s="330"/>
      <c r="AU65" s="330"/>
      <c r="AV65" s="330"/>
      <c r="AW65" s="330"/>
      <c r="AX65" s="330">
        <v>82085</v>
      </c>
      <c r="AY65" s="331">
        <f t="shared" si="102"/>
        <v>82085</v>
      </c>
      <c r="AZ65" s="334">
        <v>67</v>
      </c>
      <c r="BA65" s="328">
        <f t="shared" si="103"/>
        <v>50079</v>
      </c>
      <c r="BB65" s="328">
        <f t="shared" si="104"/>
        <v>747.44776119402979</v>
      </c>
      <c r="BC65" s="330">
        <v>50079</v>
      </c>
      <c r="BD65" s="330"/>
      <c r="BE65" s="330"/>
      <c r="BF65" s="330"/>
      <c r="BG65" s="330"/>
      <c r="BH65" s="330">
        <v>45894</v>
      </c>
      <c r="BI65" s="331">
        <f t="shared" si="105"/>
        <v>45894</v>
      </c>
      <c r="BJ65" s="334">
        <v>89</v>
      </c>
      <c r="BK65" s="328">
        <f t="shared" si="106"/>
        <v>71410</v>
      </c>
      <c r="BL65" s="328">
        <f t="shared" si="107"/>
        <v>802.35955056179773</v>
      </c>
      <c r="BM65" s="330">
        <v>71410</v>
      </c>
      <c r="BN65" s="330"/>
      <c r="BO65" s="330"/>
      <c r="BP65" s="330"/>
      <c r="BQ65" s="330"/>
      <c r="BR65" s="330">
        <v>61488</v>
      </c>
      <c r="BS65" s="331">
        <f t="shared" si="108"/>
        <v>61488</v>
      </c>
      <c r="BT65" s="344">
        <v>119</v>
      </c>
      <c r="BU65" s="328">
        <f t="shared" si="109"/>
        <v>71655</v>
      </c>
      <c r="BV65" s="328">
        <f t="shared" si="110"/>
        <v>602.14285714285711</v>
      </c>
      <c r="BW65" s="345">
        <v>71655</v>
      </c>
      <c r="BX65" s="345"/>
      <c r="BY65" s="345"/>
      <c r="BZ65" s="345"/>
      <c r="CA65" s="345"/>
      <c r="CB65" s="345">
        <v>61699</v>
      </c>
      <c r="CC65" s="402">
        <f t="shared" si="111"/>
        <v>61699</v>
      </c>
    </row>
    <row r="66" spans="1:81" s="340" customFormat="1" ht="15.95" customHeight="1" x14ac:dyDescent="0.2">
      <c r="A66" s="342" t="s">
        <v>151</v>
      </c>
      <c r="B66" s="327">
        <v>22</v>
      </c>
      <c r="C66" s="328">
        <f t="shared" si="88"/>
        <v>10120</v>
      </c>
      <c r="D66" s="328">
        <f t="shared" si="89"/>
        <v>460</v>
      </c>
      <c r="E66" s="330">
        <v>10120</v>
      </c>
      <c r="F66" s="330"/>
      <c r="G66" s="330"/>
      <c r="H66" s="330"/>
      <c r="I66" s="330"/>
      <c r="J66" s="330">
        <v>5300</v>
      </c>
      <c r="K66" s="331">
        <f t="shared" si="90"/>
        <v>5300</v>
      </c>
      <c r="L66" s="327">
        <v>35</v>
      </c>
      <c r="M66" s="328">
        <f t="shared" si="91"/>
        <v>9616</v>
      </c>
      <c r="N66" s="328">
        <f t="shared" si="92"/>
        <v>274.74285714285713</v>
      </c>
      <c r="O66" s="330">
        <v>9616</v>
      </c>
      <c r="P66" s="330"/>
      <c r="Q66" s="330"/>
      <c r="R66" s="330"/>
      <c r="S66" s="330"/>
      <c r="T66" s="330">
        <v>6396</v>
      </c>
      <c r="U66" s="331">
        <f t="shared" si="93"/>
        <v>6396</v>
      </c>
      <c r="V66" s="327">
        <v>109</v>
      </c>
      <c r="W66" s="328">
        <f t="shared" si="94"/>
        <v>36139</v>
      </c>
      <c r="X66" s="328">
        <f t="shared" si="95"/>
        <v>331.55045871559633</v>
      </c>
      <c r="Y66" s="330">
        <v>36139</v>
      </c>
      <c r="Z66" s="330"/>
      <c r="AA66" s="330"/>
      <c r="AB66" s="330"/>
      <c r="AC66" s="330"/>
      <c r="AD66" s="330">
        <v>32707</v>
      </c>
      <c r="AE66" s="331">
        <f t="shared" si="96"/>
        <v>32707</v>
      </c>
      <c r="AF66" s="327">
        <v>53</v>
      </c>
      <c r="AG66" s="328">
        <f t="shared" si="97"/>
        <v>62149</v>
      </c>
      <c r="AH66" s="328">
        <f t="shared" si="98"/>
        <v>1172.6226415094341</v>
      </c>
      <c r="AI66" s="330">
        <f>54223+4576+3350</f>
        <v>62149</v>
      </c>
      <c r="AJ66" s="330"/>
      <c r="AK66" s="330"/>
      <c r="AL66" s="330"/>
      <c r="AM66" s="330"/>
      <c r="AN66" s="330">
        <v>57399</v>
      </c>
      <c r="AO66" s="331">
        <f t="shared" si="99"/>
        <v>57399</v>
      </c>
      <c r="AP66" s="327">
        <v>59</v>
      </c>
      <c r="AQ66" s="328">
        <f t="shared" si="100"/>
        <v>47355.05</v>
      </c>
      <c r="AR66" s="328">
        <f t="shared" si="101"/>
        <v>802.62796610169494</v>
      </c>
      <c r="AS66" s="330">
        <f>44082+3350-76.95</f>
        <v>47355.05</v>
      </c>
      <c r="AT66" s="330"/>
      <c r="AU66" s="330"/>
      <c r="AV66" s="330"/>
      <c r="AW66" s="330"/>
      <c r="AX66" s="330">
        <f>2991+40092</f>
        <v>43083</v>
      </c>
      <c r="AY66" s="331">
        <f t="shared" si="102"/>
        <v>43083</v>
      </c>
      <c r="AZ66" s="334">
        <v>67</v>
      </c>
      <c r="BA66" s="328">
        <f t="shared" si="103"/>
        <v>45026</v>
      </c>
      <c r="BB66" s="328">
        <f t="shared" si="104"/>
        <v>672.02985074626861</v>
      </c>
      <c r="BC66" s="330">
        <f>40200+1776+3050</f>
        <v>45026</v>
      </c>
      <c r="BD66" s="330"/>
      <c r="BE66" s="330"/>
      <c r="BF66" s="330"/>
      <c r="BG66" s="330"/>
      <c r="BH66" s="330">
        <v>45026</v>
      </c>
      <c r="BI66" s="331">
        <f t="shared" si="105"/>
        <v>45026</v>
      </c>
      <c r="BJ66" s="334">
        <v>99</v>
      </c>
      <c r="BK66" s="328">
        <f t="shared" si="106"/>
        <v>47625</v>
      </c>
      <c r="BL66" s="328">
        <f t="shared" si="107"/>
        <v>481.06060606060606</v>
      </c>
      <c r="BM66" s="330">
        <v>47625</v>
      </c>
      <c r="BN66" s="330"/>
      <c r="BO66" s="330"/>
      <c r="BP66" s="330"/>
      <c r="BQ66" s="330"/>
      <c r="BR66" s="330">
        <v>46720</v>
      </c>
      <c r="BS66" s="331">
        <f t="shared" si="108"/>
        <v>46720</v>
      </c>
      <c r="BT66" s="344">
        <v>24</v>
      </c>
      <c r="BU66" s="328">
        <f t="shared" si="109"/>
        <v>22926</v>
      </c>
      <c r="BV66" s="328">
        <f t="shared" si="110"/>
        <v>955.25</v>
      </c>
      <c r="BW66" s="345">
        <v>20736</v>
      </c>
      <c r="BX66" s="345"/>
      <c r="BY66" s="345"/>
      <c r="BZ66" s="345"/>
      <c r="CA66" s="345">
        <v>2190</v>
      </c>
      <c r="CB66" s="345">
        <v>22532</v>
      </c>
      <c r="CC66" s="402">
        <f t="shared" si="111"/>
        <v>20736</v>
      </c>
    </row>
    <row r="67" spans="1:81" s="340" customFormat="1" ht="15.95" customHeight="1" x14ac:dyDescent="0.2">
      <c r="A67" s="342" t="s">
        <v>152</v>
      </c>
      <c r="B67" s="327">
        <v>234</v>
      </c>
      <c r="C67" s="328">
        <f t="shared" si="88"/>
        <v>90576</v>
      </c>
      <c r="D67" s="328">
        <f t="shared" si="89"/>
        <v>387.07692307692309</v>
      </c>
      <c r="E67" s="330">
        <v>90576</v>
      </c>
      <c r="F67" s="330"/>
      <c r="G67" s="330"/>
      <c r="H67" s="330"/>
      <c r="I67" s="330"/>
      <c r="J67" s="330">
        <v>82346</v>
      </c>
      <c r="K67" s="331">
        <f t="shared" si="90"/>
        <v>82346</v>
      </c>
      <c r="L67" s="327">
        <v>214</v>
      </c>
      <c r="M67" s="328">
        <f t="shared" si="91"/>
        <v>130219</v>
      </c>
      <c r="N67" s="328">
        <f t="shared" si="92"/>
        <v>608.5</v>
      </c>
      <c r="O67" s="330">
        <v>130219</v>
      </c>
      <c r="P67" s="330"/>
      <c r="Q67" s="330"/>
      <c r="R67" s="330"/>
      <c r="S67" s="330"/>
      <c r="T67" s="330">
        <v>121886</v>
      </c>
      <c r="U67" s="331">
        <f t="shared" si="93"/>
        <v>121886</v>
      </c>
      <c r="V67" s="327">
        <v>205</v>
      </c>
      <c r="W67" s="328">
        <f t="shared" si="94"/>
        <v>135173</v>
      </c>
      <c r="X67" s="328">
        <f t="shared" si="95"/>
        <v>659.38048780487804</v>
      </c>
      <c r="Y67" s="330">
        <v>135173</v>
      </c>
      <c r="Z67" s="330"/>
      <c r="AA67" s="330"/>
      <c r="AB67" s="330"/>
      <c r="AC67" s="330"/>
      <c r="AD67" s="330">
        <v>125711</v>
      </c>
      <c r="AE67" s="331">
        <f t="shared" si="96"/>
        <v>125711</v>
      </c>
      <c r="AF67" s="327">
        <v>164</v>
      </c>
      <c r="AG67" s="328">
        <f t="shared" si="97"/>
        <v>150602</v>
      </c>
      <c r="AH67" s="328">
        <f t="shared" si="98"/>
        <v>918.30487804878044</v>
      </c>
      <c r="AI67" s="330">
        <f>10505+140097</f>
        <v>150602</v>
      </c>
      <c r="AJ67" s="330"/>
      <c r="AK67" s="330"/>
      <c r="AL67" s="330"/>
      <c r="AM67" s="330"/>
      <c r="AN67" s="330">
        <v>140060</v>
      </c>
      <c r="AO67" s="331">
        <f t="shared" si="99"/>
        <v>140060</v>
      </c>
      <c r="AP67" s="327">
        <v>260</v>
      </c>
      <c r="AQ67" s="328">
        <f t="shared" si="100"/>
        <v>171199.4</v>
      </c>
      <c r="AR67" s="328">
        <f t="shared" si="101"/>
        <v>658.45923076923077</v>
      </c>
      <c r="AS67" s="330">
        <v>171199.4</v>
      </c>
      <c r="AT67" s="330"/>
      <c r="AU67" s="330"/>
      <c r="AV67" s="330"/>
      <c r="AW67" s="330"/>
      <c r="AX67" s="330">
        <v>159215</v>
      </c>
      <c r="AY67" s="331">
        <f t="shared" si="102"/>
        <v>159215</v>
      </c>
      <c r="AZ67" s="334">
        <v>143</v>
      </c>
      <c r="BA67" s="328">
        <f t="shared" si="103"/>
        <v>150177</v>
      </c>
      <c r="BB67" s="328">
        <f t="shared" si="104"/>
        <v>1050.1888111888111</v>
      </c>
      <c r="BC67" s="330">
        <v>150177</v>
      </c>
      <c r="BD67" s="330"/>
      <c r="BE67" s="330"/>
      <c r="BF67" s="330"/>
      <c r="BG67" s="330"/>
      <c r="BH67" s="330">
        <v>136568</v>
      </c>
      <c r="BI67" s="331">
        <f t="shared" si="105"/>
        <v>136568</v>
      </c>
      <c r="BJ67" s="334">
        <v>123</v>
      </c>
      <c r="BK67" s="328">
        <f t="shared" si="106"/>
        <v>113923</v>
      </c>
      <c r="BL67" s="328">
        <f t="shared" si="107"/>
        <v>926.20325203252037</v>
      </c>
      <c r="BM67" s="330">
        <v>113923</v>
      </c>
      <c r="BN67" s="330"/>
      <c r="BO67" s="330"/>
      <c r="BP67" s="330"/>
      <c r="BQ67" s="330"/>
      <c r="BR67" s="330">
        <v>85112</v>
      </c>
      <c r="BS67" s="331">
        <f t="shared" si="108"/>
        <v>85112</v>
      </c>
      <c r="BT67" s="344">
        <v>83</v>
      </c>
      <c r="BU67" s="328">
        <f t="shared" si="109"/>
        <v>82315</v>
      </c>
      <c r="BV67" s="328">
        <f t="shared" si="110"/>
        <v>991.74698795180723</v>
      </c>
      <c r="BW67" s="345">
        <v>82315</v>
      </c>
      <c r="BX67" s="345"/>
      <c r="BY67" s="345"/>
      <c r="BZ67" s="345"/>
      <c r="CA67" s="345"/>
      <c r="CB67" s="345">
        <v>61498</v>
      </c>
      <c r="CC67" s="402">
        <f t="shared" si="111"/>
        <v>61498</v>
      </c>
    </row>
    <row r="68" spans="1:81" s="340" customFormat="1" ht="15.95" customHeight="1" x14ac:dyDescent="0.2">
      <c r="A68" s="342" t="s">
        <v>153</v>
      </c>
      <c r="B68" s="327">
        <v>135</v>
      </c>
      <c r="C68" s="328">
        <f t="shared" si="88"/>
        <v>191018</v>
      </c>
      <c r="D68" s="328">
        <f t="shared" si="89"/>
        <v>1414.9481481481482</v>
      </c>
      <c r="E68" s="330">
        <v>191018</v>
      </c>
      <c r="F68" s="330"/>
      <c r="G68" s="330"/>
      <c r="H68" s="330"/>
      <c r="I68" s="330"/>
      <c r="J68" s="330">
        <v>191018</v>
      </c>
      <c r="K68" s="331">
        <f t="shared" si="90"/>
        <v>191018</v>
      </c>
      <c r="L68" s="327">
        <v>100</v>
      </c>
      <c r="M68" s="328">
        <f t="shared" si="91"/>
        <v>176141</v>
      </c>
      <c r="N68" s="328">
        <f t="shared" si="92"/>
        <v>1761.41</v>
      </c>
      <c r="O68" s="330">
        <v>176141</v>
      </c>
      <c r="P68" s="330"/>
      <c r="Q68" s="330"/>
      <c r="R68" s="330"/>
      <c r="S68" s="330"/>
      <c r="T68" s="330">
        <v>176141</v>
      </c>
      <c r="U68" s="331">
        <f t="shared" si="93"/>
        <v>176141</v>
      </c>
      <c r="V68" s="327">
        <v>115</v>
      </c>
      <c r="W68" s="328">
        <f t="shared" si="94"/>
        <v>186587</v>
      </c>
      <c r="X68" s="328">
        <f t="shared" si="95"/>
        <v>1622.495652173913</v>
      </c>
      <c r="Y68" s="330">
        <v>186587</v>
      </c>
      <c r="Z68" s="330"/>
      <c r="AA68" s="330"/>
      <c r="AB68" s="330"/>
      <c r="AC68" s="330"/>
      <c r="AD68" s="330">
        <v>186587</v>
      </c>
      <c r="AE68" s="331">
        <f t="shared" si="96"/>
        <v>186587</v>
      </c>
      <c r="AF68" s="327">
        <v>126</v>
      </c>
      <c r="AG68" s="328">
        <f t="shared" si="97"/>
        <v>235198</v>
      </c>
      <c r="AH68" s="328">
        <f t="shared" si="98"/>
        <v>1866.6507936507937</v>
      </c>
      <c r="AI68" s="330">
        <v>235198</v>
      </c>
      <c r="AJ68" s="330"/>
      <c r="AK68" s="330"/>
      <c r="AL68" s="330"/>
      <c r="AM68" s="330"/>
      <c r="AN68" s="330">
        <v>235198</v>
      </c>
      <c r="AO68" s="331">
        <f t="shared" si="99"/>
        <v>235198</v>
      </c>
      <c r="AP68" s="327">
        <v>120</v>
      </c>
      <c r="AQ68" s="328">
        <f t="shared" si="100"/>
        <v>217955</v>
      </c>
      <c r="AR68" s="328">
        <f t="shared" si="101"/>
        <v>1816.2916666666667</v>
      </c>
      <c r="AS68" s="330">
        <v>217955</v>
      </c>
      <c r="AT68" s="330"/>
      <c r="AU68" s="330"/>
      <c r="AV68" s="330"/>
      <c r="AW68" s="330"/>
      <c r="AX68" s="330">
        <v>217955</v>
      </c>
      <c r="AY68" s="331">
        <f t="shared" si="102"/>
        <v>217955</v>
      </c>
      <c r="AZ68" s="334">
        <v>117</v>
      </c>
      <c r="BA68" s="328">
        <f t="shared" si="103"/>
        <v>175389</v>
      </c>
      <c r="BB68" s="328">
        <f t="shared" si="104"/>
        <v>1499.051282051282</v>
      </c>
      <c r="BC68" s="330">
        <v>175389</v>
      </c>
      <c r="BD68" s="330"/>
      <c r="BE68" s="330"/>
      <c r="BF68" s="330"/>
      <c r="BG68" s="330"/>
      <c r="BH68" s="330">
        <v>175389</v>
      </c>
      <c r="BI68" s="331">
        <f t="shared" si="105"/>
        <v>175389</v>
      </c>
      <c r="BJ68" s="334">
        <v>118</v>
      </c>
      <c r="BK68" s="328">
        <f t="shared" si="106"/>
        <v>220212</v>
      </c>
      <c r="BL68" s="328">
        <f t="shared" si="107"/>
        <v>1866.2033898305085</v>
      </c>
      <c r="BM68" s="330">
        <v>220212</v>
      </c>
      <c r="BN68" s="330"/>
      <c r="BO68" s="330"/>
      <c r="BP68" s="330"/>
      <c r="BQ68" s="330"/>
      <c r="BR68" s="330">
        <v>220212</v>
      </c>
      <c r="BS68" s="331">
        <f t="shared" si="108"/>
        <v>220212</v>
      </c>
      <c r="BT68" s="344">
        <v>172</v>
      </c>
      <c r="BU68" s="328">
        <f t="shared" si="109"/>
        <v>281799</v>
      </c>
      <c r="BV68" s="328">
        <f t="shared" si="110"/>
        <v>1638.3662790697674</v>
      </c>
      <c r="BW68" s="345">
        <v>281799</v>
      </c>
      <c r="BX68" s="345"/>
      <c r="BY68" s="345"/>
      <c r="BZ68" s="345"/>
      <c r="CA68" s="345"/>
      <c r="CB68" s="345">
        <v>281799</v>
      </c>
      <c r="CC68" s="402">
        <f t="shared" si="111"/>
        <v>281799</v>
      </c>
    </row>
    <row r="69" spans="1:81" s="340" customFormat="1" ht="15.95" customHeight="1" x14ac:dyDescent="0.2">
      <c r="A69" s="342" t="s">
        <v>154</v>
      </c>
      <c r="B69" s="327"/>
      <c r="C69" s="328">
        <f t="shared" si="88"/>
        <v>0</v>
      </c>
      <c r="D69" s="328">
        <f t="shared" si="89"/>
        <v>0</v>
      </c>
      <c r="E69" s="330"/>
      <c r="F69" s="330"/>
      <c r="G69" s="330"/>
      <c r="H69" s="330"/>
      <c r="I69" s="330"/>
      <c r="J69" s="330"/>
      <c r="K69" s="331">
        <f t="shared" si="90"/>
        <v>0</v>
      </c>
      <c r="L69" s="327"/>
      <c r="M69" s="328">
        <f t="shared" si="91"/>
        <v>0</v>
      </c>
      <c r="N69" s="328">
        <f t="shared" si="92"/>
        <v>0</v>
      </c>
      <c r="O69" s="330"/>
      <c r="P69" s="330"/>
      <c r="Q69" s="330"/>
      <c r="R69" s="330"/>
      <c r="S69" s="330"/>
      <c r="T69" s="330"/>
      <c r="U69" s="331">
        <f t="shared" si="93"/>
        <v>0</v>
      </c>
      <c r="V69" s="327"/>
      <c r="W69" s="328">
        <f t="shared" si="94"/>
        <v>0</v>
      </c>
      <c r="X69" s="328">
        <f t="shared" si="95"/>
        <v>0</v>
      </c>
      <c r="Y69" s="330"/>
      <c r="Z69" s="330"/>
      <c r="AA69" s="330"/>
      <c r="AB69" s="330"/>
      <c r="AC69" s="330"/>
      <c r="AD69" s="330"/>
      <c r="AE69" s="331">
        <f t="shared" si="96"/>
        <v>0</v>
      </c>
      <c r="AF69" s="327"/>
      <c r="AG69" s="328">
        <f t="shared" si="97"/>
        <v>0</v>
      </c>
      <c r="AH69" s="328">
        <f t="shared" si="98"/>
        <v>0</v>
      </c>
      <c r="AI69" s="330"/>
      <c r="AJ69" s="330"/>
      <c r="AK69" s="330"/>
      <c r="AL69" s="330"/>
      <c r="AM69" s="330"/>
      <c r="AN69" s="330"/>
      <c r="AO69" s="331">
        <f t="shared" si="99"/>
        <v>0</v>
      </c>
      <c r="AP69" s="327">
        <v>11</v>
      </c>
      <c r="AQ69" s="328">
        <f t="shared" si="100"/>
        <v>5474</v>
      </c>
      <c r="AR69" s="328">
        <f t="shared" si="101"/>
        <v>497.63636363636363</v>
      </c>
      <c r="AS69" s="330"/>
      <c r="AT69" s="330"/>
      <c r="AU69" s="330"/>
      <c r="AV69" s="330">
        <v>5474</v>
      </c>
      <c r="AW69" s="330"/>
      <c r="AX69" s="330">
        <v>4465</v>
      </c>
      <c r="AY69" s="331">
        <f t="shared" si="102"/>
        <v>0</v>
      </c>
      <c r="AZ69" s="334">
        <v>20</v>
      </c>
      <c r="BA69" s="328">
        <f t="shared" si="103"/>
        <v>22062</v>
      </c>
      <c r="BB69" s="328">
        <f t="shared" si="104"/>
        <v>1103.0999999999999</v>
      </c>
      <c r="BC69" s="330"/>
      <c r="BD69" s="330"/>
      <c r="BE69" s="330"/>
      <c r="BF69" s="330">
        <v>22062</v>
      </c>
      <c r="BG69" s="330"/>
      <c r="BH69" s="330">
        <v>22062</v>
      </c>
      <c r="BI69" s="331">
        <f t="shared" si="105"/>
        <v>0</v>
      </c>
      <c r="BJ69" s="334">
        <v>31</v>
      </c>
      <c r="BK69" s="328">
        <f t="shared" si="106"/>
        <v>23732</v>
      </c>
      <c r="BL69" s="328">
        <f t="shared" si="107"/>
        <v>765.54838709677415</v>
      </c>
      <c r="BM69" s="330"/>
      <c r="BN69" s="330"/>
      <c r="BO69" s="330"/>
      <c r="BP69" s="330">
        <v>23732</v>
      </c>
      <c r="BQ69" s="330"/>
      <c r="BR69" s="330">
        <v>23079</v>
      </c>
      <c r="BS69" s="331">
        <f t="shared" si="108"/>
        <v>0</v>
      </c>
      <c r="BT69" s="344">
        <v>21</v>
      </c>
      <c r="BU69" s="328">
        <f t="shared" si="109"/>
        <v>12315</v>
      </c>
      <c r="BV69" s="328">
        <f t="shared" si="110"/>
        <v>586.42857142857144</v>
      </c>
      <c r="BW69" s="345"/>
      <c r="BX69" s="345"/>
      <c r="BY69" s="345"/>
      <c r="BZ69" s="345">
        <v>12315</v>
      </c>
      <c r="CA69" s="345"/>
      <c r="CB69" s="345">
        <v>12315</v>
      </c>
      <c r="CC69" s="402">
        <f t="shared" si="111"/>
        <v>0</v>
      </c>
    </row>
    <row r="70" spans="1:81" s="340" customFormat="1" ht="15.95" customHeight="1" x14ac:dyDescent="0.2">
      <c r="A70" s="342" t="s">
        <v>155</v>
      </c>
      <c r="B70" s="327"/>
      <c r="C70" s="328">
        <f t="shared" si="88"/>
        <v>0</v>
      </c>
      <c r="D70" s="328">
        <f t="shared" si="89"/>
        <v>0</v>
      </c>
      <c r="E70" s="330"/>
      <c r="F70" s="330"/>
      <c r="G70" s="330"/>
      <c r="H70" s="330"/>
      <c r="I70" s="330"/>
      <c r="J70" s="330"/>
      <c r="K70" s="331">
        <f t="shared" si="90"/>
        <v>0</v>
      </c>
      <c r="L70" s="327"/>
      <c r="M70" s="328">
        <f t="shared" si="91"/>
        <v>0</v>
      </c>
      <c r="N70" s="328">
        <f t="shared" si="92"/>
        <v>0</v>
      </c>
      <c r="O70" s="330"/>
      <c r="P70" s="330"/>
      <c r="Q70" s="330"/>
      <c r="R70" s="330"/>
      <c r="S70" s="330"/>
      <c r="T70" s="330"/>
      <c r="U70" s="331">
        <f t="shared" si="93"/>
        <v>0</v>
      </c>
      <c r="V70" s="327"/>
      <c r="W70" s="328">
        <f t="shared" si="94"/>
        <v>0</v>
      </c>
      <c r="X70" s="328">
        <f t="shared" si="95"/>
        <v>0</v>
      </c>
      <c r="Y70" s="330"/>
      <c r="Z70" s="330"/>
      <c r="AA70" s="330"/>
      <c r="AB70" s="330"/>
      <c r="AC70" s="330"/>
      <c r="AD70" s="330"/>
      <c r="AE70" s="331">
        <f t="shared" si="96"/>
        <v>0</v>
      </c>
      <c r="AF70" s="327"/>
      <c r="AG70" s="328">
        <f t="shared" si="97"/>
        <v>0</v>
      </c>
      <c r="AH70" s="328">
        <f t="shared" si="98"/>
        <v>0</v>
      </c>
      <c r="AI70" s="330"/>
      <c r="AJ70" s="330"/>
      <c r="AK70" s="330"/>
      <c r="AL70" s="330"/>
      <c r="AM70" s="330"/>
      <c r="AN70" s="330"/>
      <c r="AO70" s="331">
        <f t="shared" si="99"/>
        <v>0</v>
      </c>
      <c r="AP70" s="327">
        <v>5</v>
      </c>
      <c r="AQ70" s="328">
        <f t="shared" si="100"/>
        <v>4586</v>
      </c>
      <c r="AR70" s="328">
        <f t="shared" si="101"/>
        <v>917.2</v>
      </c>
      <c r="AS70" s="330"/>
      <c r="AT70" s="330"/>
      <c r="AU70" s="330"/>
      <c r="AV70" s="330"/>
      <c r="AW70" s="330">
        <v>4586</v>
      </c>
      <c r="AX70" s="330">
        <v>4586</v>
      </c>
      <c r="AY70" s="331">
        <f t="shared" si="102"/>
        <v>0</v>
      </c>
      <c r="AZ70" s="334">
        <v>7</v>
      </c>
      <c r="BA70" s="328">
        <f t="shared" si="103"/>
        <v>7127</v>
      </c>
      <c r="BB70" s="328">
        <f t="shared" si="104"/>
        <v>1018.1428571428571</v>
      </c>
      <c r="BC70" s="330"/>
      <c r="BD70" s="330"/>
      <c r="BE70" s="330"/>
      <c r="BF70" s="330"/>
      <c r="BG70" s="330">
        <v>7127</v>
      </c>
      <c r="BH70" s="330">
        <v>7127</v>
      </c>
      <c r="BI70" s="331">
        <f t="shared" si="105"/>
        <v>0</v>
      </c>
      <c r="BJ70" s="334">
        <v>29</v>
      </c>
      <c r="BK70" s="328">
        <f t="shared" si="106"/>
        <v>13539</v>
      </c>
      <c r="BL70" s="328">
        <f t="shared" si="107"/>
        <v>466.86206896551727</v>
      </c>
      <c r="BM70" s="330"/>
      <c r="BN70" s="330"/>
      <c r="BO70" s="330"/>
      <c r="BP70" s="330"/>
      <c r="BQ70" s="330">
        <v>13539</v>
      </c>
      <c r="BR70" s="330">
        <v>13539</v>
      </c>
      <c r="BS70" s="331">
        <f t="shared" si="108"/>
        <v>0</v>
      </c>
      <c r="BT70" s="344">
        <v>9</v>
      </c>
      <c r="BU70" s="328">
        <f t="shared" si="109"/>
        <v>6232</v>
      </c>
      <c r="BV70" s="328">
        <f t="shared" si="110"/>
        <v>692.44444444444446</v>
      </c>
      <c r="BW70" s="345"/>
      <c r="BX70" s="345"/>
      <c r="BY70" s="345"/>
      <c r="BZ70" s="345"/>
      <c r="CA70" s="345">
        <v>6232</v>
      </c>
      <c r="CB70" s="345">
        <v>6232</v>
      </c>
      <c r="CC70" s="402">
        <f t="shared" si="111"/>
        <v>0</v>
      </c>
    </row>
    <row r="71" spans="1:81" s="340" customFormat="1" ht="15.95" customHeight="1" x14ac:dyDescent="0.2">
      <c r="A71" s="346" t="s">
        <v>190</v>
      </c>
      <c r="B71" s="327"/>
      <c r="C71" s="328">
        <f t="shared" ref="C71:C76" si="112">SUM(E71:I71)</f>
        <v>0</v>
      </c>
      <c r="D71" s="328">
        <f t="shared" si="89"/>
        <v>0</v>
      </c>
      <c r="E71" s="330"/>
      <c r="F71" s="330"/>
      <c r="G71" s="330"/>
      <c r="H71" s="330"/>
      <c r="I71" s="330"/>
      <c r="J71" s="330"/>
      <c r="K71" s="331">
        <f t="shared" si="90"/>
        <v>0</v>
      </c>
      <c r="L71" s="327"/>
      <c r="M71" s="328">
        <f t="shared" ref="M71:M76" si="113">SUM(O71:S71)</f>
        <v>0</v>
      </c>
      <c r="N71" s="328">
        <f t="shared" si="92"/>
        <v>0</v>
      </c>
      <c r="O71" s="330"/>
      <c r="P71" s="330"/>
      <c r="Q71" s="330"/>
      <c r="R71" s="330"/>
      <c r="S71" s="330"/>
      <c r="T71" s="330"/>
      <c r="U71" s="331">
        <f t="shared" si="93"/>
        <v>0</v>
      </c>
      <c r="V71" s="327"/>
      <c r="W71" s="328">
        <f t="shared" ref="W71:W76" si="114">SUM(Y71:AC71)</f>
        <v>0</v>
      </c>
      <c r="X71" s="328">
        <f t="shared" si="95"/>
        <v>0</v>
      </c>
      <c r="Y71" s="330"/>
      <c r="Z71" s="330"/>
      <c r="AA71" s="330"/>
      <c r="AB71" s="330"/>
      <c r="AC71" s="330"/>
      <c r="AD71" s="330"/>
      <c r="AE71" s="331">
        <f t="shared" si="96"/>
        <v>0</v>
      </c>
      <c r="AF71" s="327"/>
      <c r="AG71" s="328">
        <f t="shared" ref="AG71:AG76" si="115">SUM(AI71:AM71)</f>
        <v>0</v>
      </c>
      <c r="AH71" s="328">
        <f t="shared" si="98"/>
        <v>0</v>
      </c>
      <c r="AI71" s="330"/>
      <c r="AJ71" s="330"/>
      <c r="AK71" s="330"/>
      <c r="AL71" s="330"/>
      <c r="AM71" s="330"/>
      <c r="AN71" s="330"/>
      <c r="AO71" s="331">
        <f t="shared" si="99"/>
        <v>0</v>
      </c>
      <c r="AP71" s="327"/>
      <c r="AQ71" s="328">
        <f t="shared" ref="AQ71:AQ76" si="116">SUM(AS71:AW71)</f>
        <v>0</v>
      </c>
      <c r="AR71" s="328">
        <f t="shared" si="101"/>
        <v>0</v>
      </c>
      <c r="AS71" s="330"/>
      <c r="AT71" s="330"/>
      <c r="AU71" s="330"/>
      <c r="AV71" s="330"/>
      <c r="AW71" s="330"/>
      <c r="AX71" s="330"/>
      <c r="AY71" s="331">
        <f t="shared" si="102"/>
        <v>0</v>
      </c>
      <c r="AZ71" s="334"/>
      <c r="BA71" s="328">
        <f t="shared" ref="BA71:BA76" si="117">SUM(BC71:BG71)</f>
        <v>0</v>
      </c>
      <c r="BB71" s="328">
        <f t="shared" si="104"/>
        <v>0</v>
      </c>
      <c r="BC71" s="330"/>
      <c r="BD71" s="330"/>
      <c r="BE71" s="330"/>
      <c r="BF71" s="330"/>
      <c r="BG71" s="330"/>
      <c r="BH71" s="330"/>
      <c r="BI71" s="331">
        <f t="shared" si="105"/>
        <v>0</v>
      </c>
      <c r="BJ71" s="334"/>
      <c r="BK71" s="328">
        <f t="shared" si="106"/>
        <v>0</v>
      </c>
      <c r="BL71" s="328">
        <f t="shared" si="107"/>
        <v>0</v>
      </c>
      <c r="BM71" s="330"/>
      <c r="BN71" s="330"/>
      <c r="BO71" s="330"/>
      <c r="BP71" s="330"/>
      <c r="BQ71" s="330"/>
      <c r="BR71" s="330"/>
      <c r="BS71" s="331">
        <f t="shared" si="108"/>
        <v>0</v>
      </c>
      <c r="BT71" s="344">
        <v>294</v>
      </c>
      <c r="BU71" s="328">
        <f t="shared" si="109"/>
        <v>8800</v>
      </c>
      <c r="BV71" s="328">
        <f t="shared" si="110"/>
        <v>29.931972789115648</v>
      </c>
      <c r="BW71" s="345"/>
      <c r="BX71" s="345"/>
      <c r="BY71" s="345"/>
      <c r="BZ71" s="345">
        <v>8800</v>
      </c>
      <c r="CA71" s="345"/>
      <c r="CB71" s="345">
        <v>8800</v>
      </c>
      <c r="CC71" s="402">
        <f t="shared" si="111"/>
        <v>0</v>
      </c>
    </row>
    <row r="72" spans="1:81" s="340" customFormat="1" ht="15.95" customHeight="1" x14ac:dyDescent="0.2">
      <c r="A72" s="346"/>
      <c r="B72" s="327"/>
      <c r="C72" s="328">
        <f t="shared" si="112"/>
        <v>0</v>
      </c>
      <c r="D72" s="328">
        <f t="shared" si="89"/>
        <v>0</v>
      </c>
      <c r="E72" s="330"/>
      <c r="F72" s="330"/>
      <c r="G72" s="330"/>
      <c r="H72" s="330"/>
      <c r="I72" s="330"/>
      <c r="J72" s="330"/>
      <c r="K72" s="331">
        <f t="shared" si="90"/>
        <v>0</v>
      </c>
      <c r="L72" s="327"/>
      <c r="M72" s="328">
        <f t="shared" si="113"/>
        <v>0</v>
      </c>
      <c r="N72" s="328">
        <f t="shared" si="92"/>
        <v>0</v>
      </c>
      <c r="O72" s="330"/>
      <c r="P72" s="330"/>
      <c r="Q72" s="330"/>
      <c r="R72" s="330"/>
      <c r="S72" s="330"/>
      <c r="T72" s="330"/>
      <c r="U72" s="331">
        <f t="shared" si="93"/>
        <v>0</v>
      </c>
      <c r="V72" s="327"/>
      <c r="W72" s="328">
        <f t="shared" si="114"/>
        <v>0</v>
      </c>
      <c r="X72" s="328">
        <f t="shared" si="95"/>
        <v>0</v>
      </c>
      <c r="Y72" s="330"/>
      <c r="Z72" s="330"/>
      <c r="AA72" s="330"/>
      <c r="AB72" s="330"/>
      <c r="AC72" s="330"/>
      <c r="AD72" s="330"/>
      <c r="AE72" s="331">
        <f t="shared" si="96"/>
        <v>0</v>
      </c>
      <c r="AF72" s="327"/>
      <c r="AG72" s="328">
        <f t="shared" si="115"/>
        <v>0</v>
      </c>
      <c r="AH72" s="328">
        <f t="shared" si="98"/>
        <v>0</v>
      </c>
      <c r="AI72" s="330"/>
      <c r="AJ72" s="330"/>
      <c r="AK72" s="330"/>
      <c r="AL72" s="330"/>
      <c r="AM72" s="330"/>
      <c r="AN72" s="330"/>
      <c r="AO72" s="331">
        <f t="shared" si="99"/>
        <v>0</v>
      </c>
      <c r="AP72" s="327"/>
      <c r="AQ72" s="328">
        <f t="shared" si="116"/>
        <v>0</v>
      </c>
      <c r="AR72" s="328">
        <f t="shared" si="101"/>
        <v>0</v>
      </c>
      <c r="AS72" s="330"/>
      <c r="AT72" s="330"/>
      <c r="AU72" s="330"/>
      <c r="AV72" s="330"/>
      <c r="AW72" s="330"/>
      <c r="AX72" s="330"/>
      <c r="AY72" s="331">
        <f t="shared" si="102"/>
        <v>0</v>
      </c>
      <c r="AZ72" s="334"/>
      <c r="BA72" s="328">
        <f t="shared" si="117"/>
        <v>0</v>
      </c>
      <c r="BB72" s="328">
        <f t="shared" si="104"/>
        <v>0</v>
      </c>
      <c r="BC72" s="330"/>
      <c r="BD72" s="330"/>
      <c r="BE72" s="330"/>
      <c r="BF72" s="330"/>
      <c r="BG72" s="330"/>
      <c r="BH72" s="330"/>
      <c r="BI72" s="331">
        <f t="shared" si="105"/>
        <v>0</v>
      </c>
      <c r="BJ72" s="334"/>
      <c r="BK72" s="328">
        <f t="shared" si="106"/>
        <v>0</v>
      </c>
      <c r="BL72" s="328">
        <f t="shared" si="107"/>
        <v>0</v>
      </c>
      <c r="BM72" s="330"/>
      <c r="BN72" s="330"/>
      <c r="BO72" s="330"/>
      <c r="BP72" s="330"/>
      <c r="BQ72" s="330"/>
      <c r="BR72" s="330"/>
      <c r="BS72" s="331">
        <f t="shared" si="108"/>
        <v>0</v>
      </c>
      <c r="BT72" s="344"/>
      <c r="BU72" s="328">
        <f t="shared" si="109"/>
        <v>0</v>
      </c>
      <c r="BV72" s="328">
        <f t="shared" si="110"/>
        <v>0</v>
      </c>
      <c r="BW72" s="345"/>
      <c r="BX72" s="345"/>
      <c r="BY72" s="345"/>
      <c r="BZ72" s="345"/>
      <c r="CA72" s="345"/>
      <c r="CB72" s="345"/>
      <c r="CC72" s="402">
        <f t="shared" si="111"/>
        <v>0</v>
      </c>
    </row>
    <row r="73" spans="1:81" s="340" customFormat="1" ht="15.95" customHeight="1" x14ac:dyDescent="0.2">
      <c r="A73" s="346"/>
      <c r="B73" s="327"/>
      <c r="C73" s="328">
        <f t="shared" si="112"/>
        <v>0</v>
      </c>
      <c r="D73" s="328">
        <f t="shared" si="89"/>
        <v>0</v>
      </c>
      <c r="E73" s="330"/>
      <c r="F73" s="330"/>
      <c r="G73" s="330"/>
      <c r="H73" s="330"/>
      <c r="I73" s="330"/>
      <c r="J73" s="330"/>
      <c r="K73" s="331">
        <f t="shared" si="90"/>
        <v>0</v>
      </c>
      <c r="L73" s="327"/>
      <c r="M73" s="328">
        <f t="shared" si="113"/>
        <v>0</v>
      </c>
      <c r="N73" s="328">
        <f t="shared" si="92"/>
        <v>0</v>
      </c>
      <c r="O73" s="330"/>
      <c r="P73" s="330"/>
      <c r="Q73" s="330"/>
      <c r="R73" s="330"/>
      <c r="S73" s="330"/>
      <c r="T73" s="330"/>
      <c r="U73" s="331">
        <f t="shared" si="93"/>
        <v>0</v>
      </c>
      <c r="V73" s="327"/>
      <c r="W73" s="328">
        <f t="shared" si="114"/>
        <v>0</v>
      </c>
      <c r="X73" s="328">
        <f t="shared" si="95"/>
        <v>0</v>
      </c>
      <c r="Y73" s="330"/>
      <c r="Z73" s="330"/>
      <c r="AA73" s="330"/>
      <c r="AB73" s="330"/>
      <c r="AC73" s="330"/>
      <c r="AD73" s="330"/>
      <c r="AE73" s="331">
        <f t="shared" si="96"/>
        <v>0</v>
      </c>
      <c r="AF73" s="327"/>
      <c r="AG73" s="328">
        <f t="shared" si="115"/>
        <v>0</v>
      </c>
      <c r="AH73" s="328">
        <f t="shared" si="98"/>
        <v>0</v>
      </c>
      <c r="AI73" s="330"/>
      <c r="AJ73" s="330"/>
      <c r="AK73" s="330"/>
      <c r="AL73" s="330"/>
      <c r="AM73" s="330"/>
      <c r="AN73" s="330"/>
      <c r="AO73" s="331">
        <f t="shared" si="99"/>
        <v>0</v>
      </c>
      <c r="AP73" s="327"/>
      <c r="AQ73" s="328">
        <f t="shared" si="116"/>
        <v>0</v>
      </c>
      <c r="AR73" s="328">
        <f t="shared" si="101"/>
        <v>0</v>
      </c>
      <c r="AS73" s="330"/>
      <c r="AT73" s="330"/>
      <c r="AU73" s="330"/>
      <c r="AV73" s="330"/>
      <c r="AW73" s="330"/>
      <c r="AX73" s="330"/>
      <c r="AY73" s="331">
        <f t="shared" si="102"/>
        <v>0</v>
      </c>
      <c r="AZ73" s="334"/>
      <c r="BA73" s="328">
        <f t="shared" si="117"/>
        <v>0</v>
      </c>
      <c r="BB73" s="328">
        <f t="shared" si="104"/>
        <v>0</v>
      </c>
      <c r="BC73" s="330"/>
      <c r="BD73" s="330"/>
      <c r="BE73" s="330"/>
      <c r="BF73" s="330"/>
      <c r="BG73" s="330"/>
      <c r="BH73" s="330"/>
      <c r="BI73" s="331">
        <f t="shared" si="105"/>
        <v>0</v>
      </c>
      <c r="BJ73" s="334"/>
      <c r="BK73" s="328">
        <f t="shared" si="106"/>
        <v>0</v>
      </c>
      <c r="BL73" s="328">
        <f t="shared" si="107"/>
        <v>0</v>
      </c>
      <c r="BM73" s="330"/>
      <c r="BN73" s="330"/>
      <c r="BO73" s="330"/>
      <c r="BP73" s="330"/>
      <c r="BQ73" s="330"/>
      <c r="BR73" s="330"/>
      <c r="BS73" s="331">
        <f t="shared" si="108"/>
        <v>0</v>
      </c>
      <c r="BT73" s="344"/>
      <c r="BU73" s="328">
        <f t="shared" si="109"/>
        <v>0</v>
      </c>
      <c r="BV73" s="328">
        <f t="shared" si="110"/>
        <v>0</v>
      </c>
      <c r="BW73" s="345"/>
      <c r="BX73" s="345"/>
      <c r="BY73" s="345"/>
      <c r="BZ73" s="345"/>
      <c r="CA73" s="345"/>
      <c r="CB73" s="345"/>
      <c r="CC73" s="402">
        <f t="shared" si="111"/>
        <v>0</v>
      </c>
    </row>
    <row r="74" spans="1:81" s="340" customFormat="1" ht="15.95" customHeight="1" x14ac:dyDescent="0.2">
      <c r="A74" s="346"/>
      <c r="B74" s="327"/>
      <c r="C74" s="328">
        <f t="shared" si="112"/>
        <v>0</v>
      </c>
      <c r="D74" s="328">
        <f t="shared" si="89"/>
        <v>0</v>
      </c>
      <c r="E74" s="330"/>
      <c r="F74" s="330"/>
      <c r="G74" s="330"/>
      <c r="H74" s="330"/>
      <c r="I74" s="330"/>
      <c r="J74" s="330"/>
      <c r="K74" s="331">
        <f t="shared" si="90"/>
        <v>0</v>
      </c>
      <c r="L74" s="327"/>
      <c r="M74" s="328">
        <f t="shared" si="113"/>
        <v>0</v>
      </c>
      <c r="N74" s="328">
        <f t="shared" si="92"/>
        <v>0</v>
      </c>
      <c r="O74" s="330"/>
      <c r="P74" s="330"/>
      <c r="Q74" s="330"/>
      <c r="R74" s="330"/>
      <c r="S74" s="330"/>
      <c r="T74" s="330"/>
      <c r="U74" s="331">
        <f t="shared" si="93"/>
        <v>0</v>
      </c>
      <c r="V74" s="327"/>
      <c r="W74" s="328">
        <f t="shared" si="114"/>
        <v>0</v>
      </c>
      <c r="X74" s="328">
        <f t="shared" si="95"/>
        <v>0</v>
      </c>
      <c r="Y74" s="330"/>
      <c r="Z74" s="330"/>
      <c r="AA74" s="330"/>
      <c r="AB74" s="330"/>
      <c r="AC74" s="330"/>
      <c r="AD74" s="330"/>
      <c r="AE74" s="331">
        <f t="shared" si="96"/>
        <v>0</v>
      </c>
      <c r="AF74" s="327"/>
      <c r="AG74" s="328">
        <f t="shared" si="115"/>
        <v>0</v>
      </c>
      <c r="AH74" s="328">
        <f t="shared" si="98"/>
        <v>0</v>
      </c>
      <c r="AI74" s="330"/>
      <c r="AJ74" s="330"/>
      <c r="AK74" s="330"/>
      <c r="AL74" s="330"/>
      <c r="AM74" s="330"/>
      <c r="AN74" s="330"/>
      <c r="AO74" s="331">
        <f t="shared" si="99"/>
        <v>0</v>
      </c>
      <c r="AP74" s="327"/>
      <c r="AQ74" s="328">
        <f t="shared" si="116"/>
        <v>0</v>
      </c>
      <c r="AR74" s="328">
        <f t="shared" si="101"/>
        <v>0</v>
      </c>
      <c r="AS74" s="330"/>
      <c r="AT74" s="330"/>
      <c r="AU74" s="330"/>
      <c r="AV74" s="330"/>
      <c r="AW74" s="330"/>
      <c r="AX74" s="330"/>
      <c r="AY74" s="331">
        <f t="shared" si="102"/>
        <v>0</v>
      </c>
      <c r="AZ74" s="334"/>
      <c r="BA74" s="328">
        <f t="shared" si="117"/>
        <v>0</v>
      </c>
      <c r="BB74" s="328">
        <f t="shared" si="104"/>
        <v>0</v>
      </c>
      <c r="BC74" s="330"/>
      <c r="BD74" s="330"/>
      <c r="BE74" s="330"/>
      <c r="BF74" s="330"/>
      <c r="BG74" s="330"/>
      <c r="BH74" s="330"/>
      <c r="BI74" s="331">
        <f t="shared" si="105"/>
        <v>0</v>
      </c>
      <c r="BJ74" s="334"/>
      <c r="BK74" s="328">
        <f t="shared" si="106"/>
        <v>0</v>
      </c>
      <c r="BL74" s="328">
        <f t="shared" si="107"/>
        <v>0</v>
      </c>
      <c r="BM74" s="330"/>
      <c r="BN74" s="330"/>
      <c r="BO74" s="330"/>
      <c r="BP74" s="330"/>
      <c r="BQ74" s="330"/>
      <c r="BR74" s="330"/>
      <c r="BS74" s="331">
        <f t="shared" si="108"/>
        <v>0</v>
      </c>
      <c r="BT74" s="344"/>
      <c r="BU74" s="328">
        <f t="shared" si="109"/>
        <v>0</v>
      </c>
      <c r="BV74" s="328">
        <f t="shared" si="110"/>
        <v>0</v>
      </c>
      <c r="BW74" s="345"/>
      <c r="BX74" s="345"/>
      <c r="BY74" s="345"/>
      <c r="BZ74" s="345"/>
      <c r="CA74" s="345"/>
      <c r="CB74" s="345"/>
      <c r="CC74" s="402">
        <f t="shared" si="111"/>
        <v>0</v>
      </c>
    </row>
    <row r="75" spans="1:81" s="340" customFormat="1" ht="15.95" customHeight="1" x14ac:dyDescent="0.2">
      <c r="A75" s="346"/>
      <c r="B75" s="327"/>
      <c r="C75" s="328">
        <f t="shared" si="112"/>
        <v>0</v>
      </c>
      <c r="D75" s="328">
        <f t="shared" si="89"/>
        <v>0</v>
      </c>
      <c r="E75" s="330"/>
      <c r="F75" s="330"/>
      <c r="G75" s="330"/>
      <c r="H75" s="330"/>
      <c r="I75" s="330"/>
      <c r="J75" s="330"/>
      <c r="K75" s="331">
        <f t="shared" si="90"/>
        <v>0</v>
      </c>
      <c r="L75" s="327"/>
      <c r="M75" s="328">
        <f t="shared" si="113"/>
        <v>0</v>
      </c>
      <c r="N75" s="328">
        <f t="shared" si="92"/>
        <v>0</v>
      </c>
      <c r="O75" s="330"/>
      <c r="P75" s="330"/>
      <c r="Q75" s="330"/>
      <c r="R75" s="330"/>
      <c r="S75" s="330"/>
      <c r="T75" s="330"/>
      <c r="U75" s="331">
        <f t="shared" si="93"/>
        <v>0</v>
      </c>
      <c r="V75" s="327"/>
      <c r="W75" s="328">
        <f t="shared" si="114"/>
        <v>0</v>
      </c>
      <c r="X75" s="328">
        <f t="shared" si="95"/>
        <v>0</v>
      </c>
      <c r="Y75" s="330"/>
      <c r="Z75" s="330"/>
      <c r="AA75" s="330"/>
      <c r="AB75" s="330"/>
      <c r="AC75" s="330"/>
      <c r="AD75" s="330"/>
      <c r="AE75" s="331">
        <f t="shared" si="96"/>
        <v>0</v>
      </c>
      <c r="AF75" s="327"/>
      <c r="AG75" s="328">
        <f t="shared" si="115"/>
        <v>0</v>
      </c>
      <c r="AH75" s="328">
        <f t="shared" si="98"/>
        <v>0</v>
      </c>
      <c r="AI75" s="330"/>
      <c r="AJ75" s="330"/>
      <c r="AK75" s="330"/>
      <c r="AL75" s="330"/>
      <c r="AM75" s="330"/>
      <c r="AN75" s="330"/>
      <c r="AO75" s="331">
        <f t="shared" si="99"/>
        <v>0</v>
      </c>
      <c r="AP75" s="327"/>
      <c r="AQ75" s="328">
        <f t="shared" si="116"/>
        <v>0</v>
      </c>
      <c r="AR75" s="328">
        <f t="shared" si="101"/>
        <v>0</v>
      </c>
      <c r="AS75" s="330"/>
      <c r="AT75" s="330"/>
      <c r="AU75" s="330"/>
      <c r="AV75" s="330"/>
      <c r="AW75" s="330"/>
      <c r="AX75" s="330"/>
      <c r="AY75" s="331">
        <f t="shared" si="102"/>
        <v>0</v>
      </c>
      <c r="AZ75" s="334"/>
      <c r="BA75" s="328">
        <f t="shared" si="117"/>
        <v>0</v>
      </c>
      <c r="BB75" s="328">
        <f t="shared" si="104"/>
        <v>0</v>
      </c>
      <c r="BC75" s="330"/>
      <c r="BD75" s="330"/>
      <c r="BE75" s="330"/>
      <c r="BF75" s="330"/>
      <c r="BG75" s="330"/>
      <c r="BH75" s="330"/>
      <c r="BI75" s="331">
        <f t="shared" si="105"/>
        <v>0</v>
      </c>
      <c r="BJ75" s="334"/>
      <c r="BK75" s="328">
        <f t="shared" si="106"/>
        <v>0</v>
      </c>
      <c r="BL75" s="328">
        <f t="shared" si="107"/>
        <v>0</v>
      </c>
      <c r="BM75" s="330"/>
      <c r="BN75" s="330"/>
      <c r="BO75" s="330"/>
      <c r="BP75" s="330"/>
      <c r="BQ75" s="330"/>
      <c r="BR75" s="330"/>
      <c r="BS75" s="331">
        <f t="shared" si="108"/>
        <v>0</v>
      </c>
      <c r="BT75" s="344"/>
      <c r="BU75" s="328">
        <f t="shared" si="109"/>
        <v>0</v>
      </c>
      <c r="BV75" s="328">
        <f t="shared" si="110"/>
        <v>0</v>
      </c>
      <c r="BW75" s="345"/>
      <c r="BX75" s="345"/>
      <c r="BY75" s="345"/>
      <c r="BZ75" s="345"/>
      <c r="CA75" s="345"/>
      <c r="CB75" s="345"/>
      <c r="CC75" s="402">
        <f t="shared" si="111"/>
        <v>0</v>
      </c>
    </row>
    <row r="76" spans="1:81" s="340" customFormat="1" ht="15.95" customHeight="1" x14ac:dyDescent="0.2">
      <c r="A76" s="346"/>
      <c r="B76" s="327"/>
      <c r="C76" s="328">
        <f t="shared" si="112"/>
        <v>0</v>
      </c>
      <c r="D76" s="328">
        <f t="shared" si="89"/>
        <v>0</v>
      </c>
      <c r="E76" s="330"/>
      <c r="F76" s="330"/>
      <c r="G76" s="330"/>
      <c r="H76" s="330"/>
      <c r="I76" s="330"/>
      <c r="J76" s="330"/>
      <c r="K76" s="331">
        <f t="shared" si="90"/>
        <v>0</v>
      </c>
      <c r="L76" s="327"/>
      <c r="M76" s="328">
        <f t="shared" si="113"/>
        <v>0</v>
      </c>
      <c r="N76" s="328">
        <f t="shared" si="92"/>
        <v>0</v>
      </c>
      <c r="O76" s="330"/>
      <c r="P76" s="330"/>
      <c r="Q76" s="330"/>
      <c r="R76" s="330"/>
      <c r="S76" s="330"/>
      <c r="T76" s="330"/>
      <c r="U76" s="331">
        <f t="shared" si="93"/>
        <v>0</v>
      </c>
      <c r="V76" s="327"/>
      <c r="W76" s="328">
        <f t="shared" si="114"/>
        <v>0</v>
      </c>
      <c r="X76" s="328">
        <f t="shared" si="95"/>
        <v>0</v>
      </c>
      <c r="Y76" s="330"/>
      <c r="Z76" s="330"/>
      <c r="AA76" s="330"/>
      <c r="AB76" s="330"/>
      <c r="AC76" s="330"/>
      <c r="AD76" s="330"/>
      <c r="AE76" s="331">
        <f t="shared" si="96"/>
        <v>0</v>
      </c>
      <c r="AF76" s="327"/>
      <c r="AG76" s="328">
        <f t="shared" si="115"/>
        <v>0</v>
      </c>
      <c r="AH76" s="328">
        <f t="shared" si="98"/>
        <v>0</v>
      </c>
      <c r="AI76" s="330"/>
      <c r="AJ76" s="330"/>
      <c r="AK76" s="330"/>
      <c r="AL76" s="330"/>
      <c r="AM76" s="330"/>
      <c r="AN76" s="330"/>
      <c r="AO76" s="331">
        <f t="shared" si="99"/>
        <v>0</v>
      </c>
      <c r="AP76" s="327"/>
      <c r="AQ76" s="328">
        <f t="shared" si="116"/>
        <v>0</v>
      </c>
      <c r="AR76" s="328">
        <f t="shared" si="101"/>
        <v>0</v>
      </c>
      <c r="AS76" s="330"/>
      <c r="AT76" s="330"/>
      <c r="AU76" s="330"/>
      <c r="AV76" s="330"/>
      <c r="AW76" s="330"/>
      <c r="AX76" s="330"/>
      <c r="AY76" s="331">
        <f t="shared" si="102"/>
        <v>0</v>
      </c>
      <c r="AZ76" s="334"/>
      <c r="BA76" s="328">
        <f t="shared" si="117"/>
        <v>0</v>
      </c>
      <c r="BB76" s="328">
        <f t="shared" si="104"/>
        <v>0</v>
      </c>
      <c r="BC76" s="330"/>
      <c r="BD76" s="330"/>
      <c r="BE76" s="330"/>
      <c r="BF76" s="330"/>
      <c r="BG76" s="330"/>
      <c r="BH76" s="330"/>
      <c r="BI76" s="331">
        <f t="shared" si="105"/>
        <v>0</v>
      </c>
      <c r="BJ76" s="334"/>
      <c r="BK76" s="328">
        <f t="shared" si="106"/>
        <v>0</v>
      </c>
      <c r="BL76" s="328">
        <f t="shared" si="107"/>
        <v>0</v>
      </c>
      <c r="BM76" s="330"/>
      <c r="BN76" s="330"/>
      <c r="BO76" s="330"/>
      <c r="BP76" s="330"/>
      <c r="BQ76" s="330"/>
      <c r="BR76" s="330"/>
      <c r="BS76" s="331">
        <f t="shared" si="108"/>
        <v>0</v>
      </c>
      <c r="BT76" s="344"/>
      <c r="BU76" s="328">
        <f t="shared" si="109"/>
        <v>0</v>
      </c>
      <c r="BV76" s="328">
        <f t="shared" si="110"/>
        <v>0</v>
      </c>
      <c r="BW76" s="345"/>
      <c r="BX76" s="345"/>
      <c r="BY76" s="345"/>
      <c r="BZ76" s="345"/>
      <c r="CA76" s="345"/>
      <c r="CB76" s="345"/>
      <c r="CC76" s="402">
        <f t="shared" si="111"/>
        <v>0</v>
      </c>
    </row>
    <row r="77" spans="1:81" s="340" customFormat="1" ht="15.95" customHeight="1" x14ac:dyDescent="0.2">
      <c r="A77" s="346"/>
      <c r="B77" s="327"/>
      <c r="C77" s="328">
        <f t="shared" si="88"/>
        <v>0</v>
      </c>
      <c r="D77" s="328">
        <f t="shared" si="89"/>
        <v>0</v>
      </c>
      <c r="E77" s="330"/>
      <c r="F77" s="330"/>
      <c r="G77" s="330"/>
      <c r="H77" s="330"/>
      <c r="I77" s="330"/>
      <c r="J77" s="330"/>
      <c r="K77" s="331">
        <f t="shared" si="90"/>
        <v>0</v>
      </c>
      <c r="L77" s="327"/>
      <c r="M77" s="328">
        <f t="shared" si="91"/>
        <v>0</v>
      </c>
      <c r="N77" s="328">
        <f t="shared" si="92"/>
        <v>0</v>
      </c>
      <c r="O77" s="330"/>
      <c r="P77" s="330"/>
      <c r="Q77" s="330"/>
      <c r="R77" s="330"/>
      <c r="S77" s="330"/>
      <c r="T77" s="330"/>
      <c r="U77" s="331">
        <f t="shared" si="93"/>
        <v>0</v>
      </c>
      <c r="V77" s="327"/>
      <c r="W77" s="328">
        <f t="shared" si="94"/>
        <v>0</v>
      </c>
      <c r="X77" s="328">
        <f t="shared" si="95"/>
        <v>0</v>
      </c>
      <c r="Y77" s="330"/>
      <c r="Z77" s="330"/>
      <c r="AA77" s="330"/>
      <c r="AB77" s="330"/>
      <c r="AC77" s="330"/>
      <c r="AD77" s="330"/>
      <c r="AE77" s="331">
        <f t="shared" si="96"/>
        <v>0</v>
      </c>
      <c r="AF77" s="327"/>
      <c r="AG77" s="328">
        <f t="shared" si="97"/>
        <v>0</v>
      </c>
      <c r="AH77" s="328">
        <f t="shared" si="98"/>
        <v>0</v>
      </c>
      <c r="AI77" s="330"/>
      <c r="AJ77" s="330"/>
      <c r="AK77" s="330"/>
      <c r="AL77" s="330"/>
      <c r="AM77" s="330"/>
      <c r="AN77" s="330"/>
      <c r="AO77" s="331">
        <f t="shared" si="99"/>
        <v>0</v>
      </c>
      <c r="AP77" s="327"/>
      <c r="AQ77" s="328">
        <f t="shared" si="100"/>
        <v>0</v>
      </c>
      <c r="AR77" s="328">
        <f t="shared" si="101"/>
        <v>0</v>
      </c>
      <c r="AS77" s="330"/>
      <c r="AT77" s="330"/>
      <c r="AU77" s="330"/>
      <c r="AV77" s="330"/>
      <c r="AW77" s="330"/>
      <c r="AX77" s="330"/>
      <c r="AY77" s="331">
        <f t="shared" si="102"/>
        <v>0</v>
      </c>
      <c r="AZ77" s="334"/>
      <c r="BA77" s="328">
        <f t="shared" si="103"/>
        <v>0</v>
      </c>
      <c r="BB77" s="328">
        <f t="shared" si="104"/>
        <v>0</v>
      </c>
      <c r="BC77" s="330"/>
      <c r="BD77" s="330"/>
      <c r="BE77" s="330"/>
      <c r="BF77" s="330"/>
      <c r="BG77" s="330"/>
      <c r="BH77" s="330"/>
      <c r="BI77" s="331">
        <f t="shared" si="105"/>
        <v>0</v>
      </c>
      <c r="BJ77" s="334"/>
      <c r="BK77" s="328">
        <f t="shared" si="106"/>
        <v>0</v>
      </c>
      <c r="BL77" s="328">
        <f t="shared" si="107"/>
        <v>0</v>
      </c>
      <c r="BM77" s="330"/>
      <c r="BN77" s="330"/>
      <c r="BO77" s="330"/>
      <c r="BP77" s="330"/>
      <c r="BQ77" s="330"/>
      <c r="BR77" s="330"/>
      <c r="BS77" s="331">
        <f t="shared" si="108"/>
        <v>0</v>
      </c>
      <c r="BT77" s="344"/>
      <c r="BU77" s="328">
        <f t="shared" si="109"/>
        <v>0</v>
      </c>
      <c r="BV77" s="328">
        <f t="shared" si="110"/>
        <v>0</v>
      </c>
      <c r="BW77" s="345"/>
      <c r="BX77" s="345"/>
      <c r="BY77" s="345"/>
      <c r="BZ77" s="345"/>
      <c r="CA77" s="345"/>
      <c r="CB77" s="345"/>
      <c r="CC77" s="402">
        <f t="shared" si="111"/>
        <v>0</v>
      </c>
    </row>
    <row r="78" spans="1:81" s="340" customFormat="1" ht="15.95" customHeight="1" x14ac:dyDescent="0.2">
      <c r="A78" s="347" t="s">
        <v>139</v>
      </c>
      <c r="B78" s="327"/>
      <c r="C78" s="328"/>
      <c r="D78" s="328"/>
      <c r="E78" s="330"/>
      <c r="F78" s="330"/>
      <c r="G78" s="330"/>
      <c r="H78" s="330"/>
      <c r="I78" s="330"/>
      <c r="J78" s="330"/>
      <c r="K78" s="331"/>
      <c r="L78" s="327"/>
      <c r="M78" s="328"/>
      <c r="N78" s="328"/>
      <c r="O78" s="330"/>
      <c r="P78" s="330"/>
      <c r="Q78" s="330"/>
      <c r="R78" s="330"/>
      <c r="S78" s="330"/>
      <c r="T78" s="330"/>
      <c r="U78" s="331"/>
      <c r="V78" s="327"/>
      <c r="W78" s="328"/>
      <c r="X78" s="328"/>
      <c r="Y78" s="330"/>
      <c r="Z78" s="330"/>
      <c r="AA78" s="330"/>
      <c r="AB78" s="330"/>
      <c r="AC78" s="330"/>
      <c r="AD78" s="330"/>
      <c r="AE78" s="331"/>
      <c r="AF78" s="327"/>
      <c r="AG78" s="328"/>
      <c r="AH78" s="328"/>
      <c r="AI78" s="330"/>
      <c r="AJ78" s="330"/>
      <c r="AK78" s="330"/>
      <c r="AL78" s="330"/>
      <c r="AM78" s="330"/>
      <c r="AN78" s="330"/>
      <c r="AO78" s="331"/>
      <c r="AP78" s="327"/>
      <c r="AQ78" s="328"/>
      <c r="AR78" s="328"/>
      <c r="AS78" s="330"/>
      <c r="AT78" s="330"/>
      <c r="AU78" s="330"/>
      <c r="AV78" s="330"/>
      <c r="AW78" s="330"/>
      <c r="AX78" s="330"/>
      <c r="AY78" s="331"/>
      <c r="AZ78" s="334"/>
      <c r="BA78" s="328"/>
      <c r="BB78" s="328"/>
      <c r="BC78" s="330"/>
      <c r="BD78" s="330"/>
      <c r="BE78" s="330"/>
      <c r="BF78" s="330"/>
      <c r="BG78" s="330"/>
      <c r="BH78" s="330"/>
      <c r="BI78" s="331"/>
      <c r="BJ78" s="334"/>
      <c r="BK78" s="328"/>
      <c r="BL78" s="328"/>
      <c r="BM78" s="330"/>
      <c r="BN78" s="330"/>
      <c r="BO78" s="330"/>
      <c r="BP78" s="330"/>
      <c r="BQ78" s="330"/>
      <c r="BR78" s="330"/>
      <c r="BS78" s="331"/>
      <c r="BT78" s="334"/>
      <c r="BU78" s="328"/>
      <c r="BV78" s="328"/>
      <c r="BW78" s="330"/>
      <c r="BX78" s="330"/>
      <c r="BY78" s="330"/>
      <c r="BZ78" s="330"/>
      <c r="CA78" s="330"/>
      <c r="CB78" s="330"/>
      <c r="CC78" s="331"/>
    </row>
    <row r="79" spans="1:81" s="340" customFormat="1" ht="15.95" customHeight="1" x14ac:dyDescent="0.2">
      <c r="A79" s="348" t="s">
        <v>156</v>
      </c>
      <c r="B79" s="349">
        <f>SUM(B$61:B78)</f>
        <v>653</v>
      </c>
      <c r="C79" s="328">
        <f>SUM(C$61:C78)</f>
        <v>395491</v>
      </c>
      <c r="D79" s="328">
        <f>IFERROR(C79/B79,0)</f>
        <v>605.65237366003066</v>
      </c>
      <c r="E79" s="350">
        <f>SUM(E$61:E78)</f>
        <v>350288</v>
      </c>
      <c r="F79" s="350">
        <f>SUM(F$61:F78)</f>
        <v>0</v>
      </c>
      <c r="G79" s="350">
        <f>SUM(G$61:G78)</f>
        <v>0</v>
      </c>
      <c r="H79" s="350">
        <f>SUM(H$61:H78)</f>
        <v>0</v>
      </c>
      <c r="I79" s="350">
        <f>SUM(I$61:I78)</f>
        <v>45203</v>
      </c>
      <c r="J79" s="350">
        <f>SUM(J$61:J78)</f>
        <v>372616</v>
      </c>
      <c r="K79" s="350">
        <f>SUM(K$61:K78)</f>
        <v>327413</v>
      </c>
      <c r="L79" s="349">
        <f>SUM(L$61:L78)</f>
        <v>613</v>
      </c>
      <c r="M79" s="328">
        <f>SUM(M$61:M78)</f>
        <v>450977</v>
      </c>
      <c r="N79" s="328">
        <f>IFERROR(M79/L79,0)</f>
        <v>735.68841761827082</v>
      </c>
      <c r="O79" s="350">
        <f>SUM(O$61:O78)</f>
        <v>389042</v>
      </c>
      <c r="P79" s="350">
        <f>SUM(P$61:P78)</f>
        <v>0</v>
      </c>
      <c r="Q79" s="350">
        <f>SUM(Q$61:Q78)</f>
        <v>0</v>
      </c>
      <c r="R79" s="350">
        <f>SUM(R$61:R78)</f>
        <v>0</v>
      </c>
      <c r="S79" s="350">
        <f>SUM(S$61:S78)</f>
        <v>61935</v>
      </c>
      <c r="T79" s="350">
        <f>SUM(T$61:T78)</f>
        <v>430935</v>
      </c>
      <c r="U79" s="350">
        <f>SUM(U$61:U78)</f>
        <v>369000</v>
      </c>
      <c r="V79" s="349">
        <f>SUM(V$61:V78)</f>
        <v>667</v>
      </c>
      <c r="W79" s="328">
        <f>SUM(W$61:W78)</f>
        <v>494304</v>
      </c>
      <c r="X79" s="328">
        <f>IFERROR(W79/V79,0)</f>
        <v>741.08545727136436</v>
      </c>
      <c r="Y79" s="350">
        <f>SUM(Y$61:Y78)</f>
        <v>428742</v>
      </c>
      <c r="Z79" s="350">
        <f>SUM(Z$61:Z78)</f>
        <v>0</v>
      </c>
      <c r="AA79" s="350">
        <f>SUM(AA$61:AA78)</f>
        <v>0</v>
      </c>
      <c r="AB79" s="350">
        <f>SUM(AB$61:AB78)</f>
        <v>0</v>
      </c>
      <c r="AC79" s="350">
        <f>SUM(AC$61:AC78)</f>
        <v>65562</v>
      </c>
      <c r="AD79" s="350">
        <f>SUM(AD$61:AD78)</f>
        <v>410265</v>
      </c>
      <c r="AE79" s="350">
        <f>SUM(AE$61:AE78)</f>
        <v>410265</v>
      </c>
      <c r="AF79" s="349">
        <f>SUM(AF$61:AF78)</f>
        <v>568</v>
      </c>
      <c r="AG79" s="328">
        <f>SUM(AG$61:AG78)</f>
        <v>616031</v>
      </c>
      <c r="AH79" s="328">
        <f>IFERROR(AG79/AF79,0)</f>
        <v>1084.5616197183099</v>
      </c>
      <c r="AI79" s="350">
        <f>SUM(AI$61:AI78)</f>
        <v>540245</v>
      </c>
      <c r="AJ79" s="350">
        <f>SUM(AJ$61:AJ78)</f>
        <v>0</v>
      </c>
      <c r="AK79" s="350">
        <f>SUM(AK$61:AK78)</f>
        <v>0</v>
      </c>
      <c r="AL79" s="350">
        <f>SUM(AL$61:AL78)</f>
        <v>0</v>
      </c>
      <c r="AM79" s="350">
        <f>SUM(AM$61:AM78)</f>
        <v>75786</v>
      </c>
      <c r="AN79" s="350">
        <f>SUM(AN$61:AN78)</f>
        <v>598714</v>
      </c>
      <c r="AO79" s="350">
        <f>SUM(AO$61:AO78)</f>
        <v>522928</v>
      </c>
      <c r="AP79" s="349">
        <f>SUM(AP$61:AP78)</f>
        <v>736</v>
      </c>
      <c r="AQ79" s="328">
        <f>SUM(AQ$61:AQ78)</f>
        <v>603184.44999999995</v>
      </c>
      <c r="AR79" s="328">
        <f>IFERROR(AQ79/AP79,0)</f>
        <v>819.54408967391294</v>
      </c>
      <c r="AS79" s="350">
        <f>SUM(AS$61:AS78)</f>
        <v>530156.44999999995</v>
      </c>
      <c r="AT79" s="350">
        <f>SUM(AT$61:AT78)</f>
        <v>0</v>
      </c>
      <c r="AU79" s="350">
        <f>SUM(AU$61:AU78)</f>
        <v>0</v>
      </c>
      <c r="AV79" s="350">
        <f>SUM(AV$61:AV78)</f>
        <v>5474</v>
      </c>
      <c r="AW79" s="350">
        <f>SUM(AW$61:AW78)</f>
        <v>67554</v>
      </c>
      <c r="AX79" s="350">
        <f>SUM(AX$61:AX78)</f>
        <v>582714</v>
      </c>
      <c r="AY79" s="350">
        <f>SUM(AY$61:AY78)</f>
        <v>510695</v>
      </c>
      <c r="AZ79" s="351">
        <f>SUM(AZ$61:AZ78)</f>
        <v>471</v>
      </c>
      <c r="BA79" s="328">
        <f>SUM(BA$61:BA78)</f>
        <v>486720</v>
      </c>
      <c r="BB79" s="328">
        <f>IFERROR(BA79/AZ79,0)</f>
        <v>1033.375796178344</v>
      </c>
      <c r="BC79" s="350">
        <f>SUM(BC$61:BC78)</f>
        <v>428834</v>
      </c>
      <c r="BD79" s="350">
        <f>SUM(BD$61:BD78)</f>
        <v>0</v>
      </c>
      <c r="BE79" s="350">
        <f>SUM(BE$61:BE78)</f>
        <v>0</v>
      </c>
      <c r="BF79" s="350">
        <f>SUM(BF$61:BF78)</f>
        <v>22062</v>
      </c>
      <c r="BG79" s="350">
        <f>SUM(BG$61:BG78)</f>
        <v>35824</v>
      </c>
      <c r="BH79" s="350">
        <f>SUM(BH$61:BH78)</f>
        <v>468926</v>
      </c>
      <c r="BI79" s="331">
        <f>SUM(BI$61:BI78)</f>
        <v>411040</v>
      </c>
      <c r="BJ79" s="351">
        <f>SUM(BJ$61:BJ78)</f>
        <v>539</v>
      </c>
      <c r="BK79" s="328">
        <f>SUM(BK$61:BK78)</f>
        <v>528441</v>
      </c>
      <c r="BL79" s="328">
        <f>IFERROR(BK79/BJ79,0)</f>
        <v>980.41001855287573</v>
      </c>
      <c r="BM79" s="350">
        <f>SUM(BM$61:BM78)</f>
        <v>457426</v>
      </c>
      <c r="BN79" s="350">
        <f>SUM(BN$61:BN78)</f>
        <v>0</v>
      </c>
      <c r="BO79" s="350">
        <f>SUM(BO$61:BO78)</f>
        <v>0</v>
      </c>
      <c r="BP79" s="350">
        <f>SUM(BP$61:BP78)</f>
        <v>23732</v>
      </c>
      <c r="BQ79" s="350">
        <f>SUM(BQ$61:BQ78)</f>
        <v>47283</v>
      </c>
      <c r="BR79" s="350">
        <f>SUM(BR$61:BR78)</f>
        <v>486781</v>
      </c>
      <c r="BS79" s="331">
        <f>SUM(BS$61:BS78)</f>
        <v>416419</v>
      </c>
      <c r="BT79" s="351">
        <f>SUM(BT$61:BT78)</f>
        <v>746</v>
      </c>
      <c r="BU79" s="328">
        <f>SUM(BU$61:BU78)</f>
        <v>492845</v>
      </c>
      <c r="BV79" s="328">
        <f>IFERROR(BU79/BT79,0)</f>
        <v>660.65013404825743</v>
      </c>
      <c r="BW79" s="350">
        <f>SUM(BW$61:BW78)</f>
        <v>459633</v>
      </c>
      <c r="BX79" s="350">
        <f>SUM(BX$61:BX78)</f>
        <v>0</v>
      </c>
      <c r="BY79" s="350">
        <f>SUM(BY$61:BY78)</f>
        <v>0</v>
      </c>
      <c r="BZ79" s="350">
        <f>SUM(BZ$61:BZ78)</f>
        <v>21115</v>
      </c>
      <c r="CA79" s="350">
        <f>SUM(CA$61:CA78)</f>
        <v>12097</v>
      </c>
      <c r="CB79" s="350">
        <f>SUM(CB$61:CB78)</f>
        <v>460672</v>
      </c>
      <c r="CC79" s="331">
        <f>SUM(CC$61:CC78)</f>
        <v>427854</v>
      </c>
    </row>
    <row r="80" spans="1:81" s="340" customFormat="1" ht="15.95" customHeight="1" x14ac:dyDescent="0.2">
      <c r="A80" s="339"/>
      <c r="B80" s="327"/>
      <c r="C80" s="328"/>
      <c r="D80" s="328"/>
      <c r="E80" s="330"/>
      <c r="F80" s="330"/>
      <c r="G80" s="330"/>
      <c r="H80" s="330"/>
      <c r="I80" s="330"/>
      <c r="J80" s="330"/>
      <c r="K80" s="350"/>
      <c r="L80" s="327"/>
      <c r="M80" s="328"/>
      <c r="N80" s="328"/>
      <c r="O80" s="330"/>
      <c r="P80" s="330"/>
      <c r="Q80" s="330"/>
      <c r="R80" s="330"/>
      <c r="S80" s="330"/>
      <c r="T80" s="330"/>
      <c r="U80" s="350"/>
      <c r="V80" s="327"/>
      <c r="W80" s="328"/>
      <c r="X80" s="328"/>
      <c r="Y80" s="330"/>
      <c r="Z80" s="330"/>
      <c r="AA80" s="330"/>
      <c r="AB80" s="330"/>
      <c r="AC80" s="330"/>
      <c r="AD80" s="330"/>
      <c r="AE80" s="350"/>
      <c r="AF80" s="327"/>
      <c r="AG80" s="328"/>
      <c r="AH80" s="328"/>
      <c r="AI80" s="330"/>
      <c r="AJ80" s="330"/>
      <c r="AK80" s="330"/>
      <c r="AL80" s="330"/>
      <c r="AM80" s="330"/>
      <c r="AN80" s="330"/>
      <c r="AO80" s="350"/>
      <c r="AP80" s="327"/>
      <c r="AQ80" s="328"/>
      <c r="AR80" s="328"/>
      <c r="AS80" s="330"/>
      <c r="AT80" s="330"/>
      <c r="AU80" s="330"/>
      <c r="AV80" s="330"/>
      <c r="AW80" s="330"/>
      <c r="AX80" s="330"/>
      <c r="AY80" s="350"/>
      <c r="AZ80" s="334"/>
      <c r="BA80" s="328"/>
      <c r="BB80" s="328"/>
      <c r="BC80" s="330"/>
      <c r="BD80" s="330"/>
      <c r="BE80" s="330"/>
      <c r="BF80" s="330"/>
      <c r="BG80" s="330"/>
      <c r="BH80" s="330"/>
      <c r="BI80" s="331"/>
      <c r="BJ80" s="334"/>
      <c r="BK80" s="328"/>
      <c r="BL80" s="328"/>
      <c r="BM80" s="330"/>
      <c r="BN80" s="330"/>
      <c r="BO80" s="330"/>
      <c r="BP80" s="330"/>
      <c r="BQ80" s="330"/>
      <c r="BR80" s="330"/>
      <c r="BS80" s="331"/>
      <c r="BT80" s="334"/>
      <c r="BU80" s="328"/>
      <c r="BV80" s="328"/>
      <c r="BW80" s="330"/>
      <c r="BX80" s="330"/>
      <c r="BY80" s="330"/>
      <c r="BZ80" s="330"/>
      <c r="CA80" s="330"/>
      <c r="CB80" s="330"/>
      <c r="CC80" s="331"/>
    </row>
    <row r="81" spans="1:81" s="340" customFormat="1" ht="15.95" customHeight="1" x14ac:dyDescent="0.2">
      <c r="A81" s="348" t="s">
        <v>157</v>
      </c>
      <c r="B81" s="349">
        <f>SUM(B45+B59+B79)</f>
        <v>15602</v>
      </c>
      <c r="C81" s="328">
        <f>SUM(C45+C59+C79)</f>
        <v>24494413</v>
      </c>
      <c r="D81" s="328">
        <f>IFERROR(C81/B81,0)</f>
        <v>1569.9534034098192</v>
      </c>
      <c r="E81" s="350">
        <f t="shared" ref="E81:M81" si="118">SUM(E45+E59+E79)</f>
        <v>2423086</v>
      </c>
      <c r="F81" s="350">
        <f t="shared" si="118"/>
        <v>0</v>
      </c>
      <c r="G81" s="350">
        <f t="shared" si="118"/>
        <v>1166158</v>
      </c>
      <c r="H81" s="350">
        <f t="shared" si="118"/>
        <v>20647175</v>
      </c>
      <c r="I81" s="350">
        <f t="shared" si="118"/>
        <v>257994</v>
      </c>
      <c r="J81" s="350">
        <f t="shared" si="118"/>
        <v>23262434</v>
      </c>
      <c r="K81" s="350">
        <f t="shared" si="118"/>
        <v>2359924</v>
      </c>
      <c r="L81" s="349">
        <f t="shared" si="118"/>
        <v>14437</v>
      </c>
      <c r="M81" s="328">
        <f t="shared" si="118"/>
        <v>23520692</v>
      </c>
      <c r="N81" s="328">
        <f>IFERROR(M81/L81,0)</f>
        <v>1629.1952621735818</v>
      </c>
      <c r="O81" s="350">
        <f t="shared" ref="O81:W81" si="119">SUM(O45+O59+O79)</f>
        <v>2112624</v>
      </c>
      <c r="P81" s="350">
        <f t="shared" si="119"/>
        <v>0</v>
      </c>
      <c r="Q81" s="350">
        <f t="shared" si="119"/>
        <v>1028758</v>
      </c>
      <c r="R81" s="350">
        <f t="shared" si="119"/>
        <v>20009651</v>
      </c>
      <c r="S81" s="350">
        <f t="shared" si="119"/>
        <v>369659</v>
      </c>
      <c r="T81" s="350">
        <f t="shared" si="119"/>
        <v>22372192</v>
      </c>
      <c r="U81" s="350">
        <f t="shared" si="119"/>
        <v>2070162</v>
      </c>
      <c r="V81" s="349">
        <f t="shared" si="119"/>
        <v>14972</v>
      </c>
      <c r="W81" s="328">
        <f t="shared" si="119"/>
        <v>24759847.149999999</v>
      </c>
      <c r="X81" s="328">
        <f>IFERROR(W81/V81,0)</f>
        <v>1653.743464467005</v>
      </c>
      <c r="Y81" s="350">
        <f t="shared" ref="Y81:AG81" si="120">SUM(Y45+Y59+Y79)</f>
        <v>2210859</v>
      </c>
      <c r="Z81" s="350">
        <f t="shared" si="120"/>
        <v>0</v>
      </c>
      <c r="AA81" s="350">
        <f t="shared" si="120"/>
        <v>1045598</v>
      </c>
      <c r="AB81" s="350">
        <f t="shared" si="120"/>
        <v>21118733</v>
      </c>
      <c r="AC81" s="350">
        <f t="shared" si="120"/>
        <v>384657.15</v>
      </c>
      <c r="AD81" s="350">
        <f t="shared" si="120"/>
        <v>23465876</v>
      </c>
      <c r="AE81" s="350">
        <f t="shared" si="120"/>
        <v>2125969</v>
      </c>
      <c r="AF81" s="349">
        <f t="shared" si="120"/>
        <v>14293</v>
      </c>
      <c r="AG81" s="328">
        <f t="shared" si="120"/>
        <v>24898133</v>
      </c>
      <c r="AH81" s="328">
        <f>IFERROR(AG81/AF81,0)</f>
        <v>1741.9808997411321</v>
      </c>
      <c r="AI81" s="350">
        <f t="shared" ref="AI81:AQ81" si="121">SUM(AI45+AI59+AI79)</f>
        <v>2089456</v>
      </c>
      <c r="AJ81" s="350">
        <f t="shared" si="121"/>
        <v>0</v>
      </c>
      <c r="AK81" s="350">
        <f t="shared" si="121"/>
        <v>1604842</v>
      </c>
      <c r="AL81" s="350">
        <f t="shared" si="121"/>
        <v>20472942</v>
      </c>
      <c r="AM81" s="350">
        <f t="shared" si="121"/>
        <v>730893</v>
      </c>
      <c r="AN81" s="350">
        <f t="shared" si="121"/>
        <v>23408200</v>
      </c>
      <c r="AO81" s="350">
        <f t="shared" si="121"/>
        <v>2009584</v>
      </c>
      <c r="AP81" s="349">
        <f t="shared" si="121"/>
        <v>16418</v>
      </c>
      <c r="AQ81" s="328">
        <f t="shared" si="121"/>
        <v>24380979.449999999</v>
      </c>
      <c r="AR81" s="328">
        <f>IFERROR(AQ81/AP81,0)</f>
        <v>1485.0151936898526</v>
      </c>
      <c r="AS81" s="350">
        <f t="shared" ref="AS81:BA81" si="122">SUM(AS45+AS59+AS79)</f>
        <v>1995876.45</v>
      </c>
      <c r="AT81" s="350">
        <f t="shared" si="122"/>
        <v>0</v>
      </c>
      <c r="AU81" s="350">
        <f t="shared" si="122"/>
        <v>1699487</v>
      </c>
      <c r="AV81" s="350">
        <f t="shared" si="122"/>
        <v>20038324</v>
      </c>
      <c r="AW81" s="350">
        <f t="shared" si="122"/>
        <v>647292</v>
      </c>
      <c r="AX81" s="350">
        <f t="shared" si="122"/>
        <v>23496662</v>
      </c>
      <c r="AY81" s="350">
        <f t="shared" si="122"/>
        <v>1962227</v>
      </c>
      <c r="AZ81" s="351">
        <f t="shared" si="122"/>
        <v>22625</v>
      </c>
      <c r="BA81" s="328">
        <f t="shared" si="122"/>
        <v>27585582</v>
      </c>
      <c r="BB81" s="328">
        <f>IFERROR(BA81/AZ81,0)</f>
        <v>1219.2522430939227</v>
      </c>
      <c r="BC81" s="350">
        <f t="shared" ref="BC81:BK81" si="123">SUM(BC45+BC59+BC79)</f>
        <v>1617709</v>
      </c>
      <c r="BD81" s="350">
        <f t="shared" si="123"/>
        <v>0</v>
      </c>
      <c r="BE81" s="350">
        <f t="shared" si="123"/>
        <v>4709076</v>
      </c>
      <c r="BF81" s="350">
        <f t="shared" si="123"/>
        <v>20624100</v>
      </c>
      <c r="BG81" s="350">
        <f t="shared" si="123"/>
        <v>634697</v>
      </c>
      <c r="BH81" s="350">
        <f t="shared" si="123"/>
        <v>25990091.32</v>
      </c>
      <c r="BI81" s="331">
        <f t="shared" si="123"/>
        <v>1577701</v>
      </c>
      <c r="BJ81" s="351">
        <f t="shared" si="123"/>
        <v>23349</v>
      </c>
      <c r="BK81" s="328">
        <f t="shared" si="123"/>
        <v>37323565</v>
      </c>
      <c r="BL81" s="328">
        <f>IFERROR(BK81/BJ81,0)</f>
        <v>1598.5080731508845</v>
      </c>
      <c r="BM81" s="350">
        <f t="shared" ref="BM81:BU81" si="124">SUM(BM45+BM59+BM79)</f>
        <v>2243578</v>
      </c>
      <c r="BN81" s="350">
        <f t="shared" si="124"/>
        <v>0</v>
      </c>
      <c r="BO81" s="350">
        <f t="shared" si="124"/>
        <v>1860730</v>
      </c>
      <c r="BP81" s="350">
        <f t="shared" si="124"/>
        <v>32367635</v>
      </c>
      <c r="BQ81" s="350">
        <f t="shared" si="124"/>
        <v>851622</v>
      </c>
      <c r="BR81" s="350">
        <f t="shared" si="124"/>
        <v>33977693</v>
      </c>
      <c r="BS81" s="331">
        <f t="shared" si="124"/>
        <v>2193330</v>
      </c>
      <c r="BT81" s="351">
        <f t="shared" si="124"/>
        <v>16025</v>
      </c>
      <c r="BU81" s="328">
        <f t="shared" si="124"/>
        <v>25540050.18</v>
      </c>
      <c r="BV81" s="328">
        <f>IFERROR(BU81/BT81,0)</f>
        <v>1593.7628817472698</v>
      </c>
      <c r="BW81" s="350">
        <f t="shared" ref="BW81:CC81" si="125">SUM(BW45+BW59+BW79)</f>
        <v>2634894.1800000002</v>
      </c>
      <c r="BX81" s="350">
        <f t="shared" si="125"/>
        <v>0</v>
      </c>
      <c r="BY81" s="350">
        <f t="shared" si="125"/>
        <v>4292456</v>
      </c>
      <c r="BZ81" s="350">
        <f t="shared" si="125"/>
        <v>17515618</v>
      </c>
      <c r="CA81" s="350">
        <f t="shared" si="125"/>
        <v>1097082</v>
      </c>
      <c r="CB81" s="350">
        <f t="shared" si="125"/>
        <v>24104993</v>
      </c>
      <c r="CC81" s="331">
        <f t="shared" si="125"/>
        <v>2595855</v>
      </c>
    </row>
    <row r="82" spans="1:81" s="340" customFormat="1" ht="15.95" customHeight="1" x14ac:dyDescent="0.2">
      <c r="A82" s="339"/>
      <c r="B82" s="327"/>
      <c r="C82" s="328"/>
      <c r="D82" s="328"/>
      <c r="E82" s="330"/>
      <c r="F82" s="330"/>
      <c r="G82" s="330"/>
      <c r="H82" s="330"/>
      <c r="I82" s="330"/>
      <c r="J82" s="330"/>
      <c r="K82" s="331"/>
      <c r="L82" s="327"/>
      <c r="M82" s="328"/>
      <c r="N82" s="328"/>
      <c r="O82" s="330"/>
      <c r="P82" s="330"/>
      <c r="Q82" s="330"/>
      <c r="R82" s="330"/>
      <c r="S82" s="330"/>
      <c r="T82" s="330"/>
      <c r="U82" s="331"/>
      <c r="V82" s="327"/>
      <c r="W82" s="328"/>
      <c r="X82" s="328"/>
      <c r="Y82" s="330"/>
      <c r="Z82" s="330"/>
      <c r="AA82" s="330"/>
      <c r="AB82" s="330"/>
      <c r="AC82" s="330"/>
      <c r="AD82" s="330"/>
      <c r="AE82" s="331"/>
      <c r="AF82" s="327"/>
      <c r="AG82" s="328"/>
      <c r="AH82" s="328"/>
      <c r="AI82" s="330"/>
      <c r="AJ82" s="330"/>
      <c r="AK82" s="330"/>
      <c r="AL82" s="330"/>
      <c r="AM82" s="330"/>
      <c r="AN82" s="330"/>
      <c r="AO82" s="331"/>
      <c r="AP82" s="327"/>
      <c r="AQ82" s="328"/>
      <c r="AR82" s="328"/>
      <c r="AS82" s="330"/>
      <c r="AT82" s="330"/>
      <c r="AU82" s="330"/>
      <c r="AV82" s="330"/>
      <c r="AW82" s="330"/>
      <c r="AX82" s="330"/>
      <c r="AY82" s="331"/>
      <c r="AZ82" s="334"/>
      <c r="BA82" s="328"/>
      <c r="BB82" s="328"/>
      <c r="BC82" s="330"/>
      <c r="BD82" s="330"/>
      <c r="BE82" s="330"/>
      <c r="BF82" s="330"/>
      <c r="BG82" s="330"/>
      <c r="BH82" s="330"/>
      <c r="BI82" s="331"/>
      <c r="BJ82" s="334"/>
      <c r="BK82" s="328"/>
      <c r="BL82" s="328"/>
      <c r="BM82" s="330"/>
      <c r="BN82" s="330"/>
      <c r="BO82" s="330"/>
      <c r="BP82" s="330"/>
      <c r="BQ82" s="330"/>
      <c r="BR82" s="330"/>
      <c r="BS82" s="331"/>
      <c r="BT82" s="334"/>
      <c r="BU82" s="328"/>
      <c r="BV82" s="328"/>
      <c r="BW82" s="330"/>
      <c r="BX82" s="330"/>
      <c r="BY82" s="330"/>
      <c r="BZ82" s="330"/>
      <c r="CA82" s="330"/>
      <c r="CB82" s="330"/>
      <c r="CC82" s="331"/>
    </row>
    <row r="83" spans="1:81" ht="15.95" customHeight="1" x14ac:dyDescent="0.3">
      <c r="A83" s="335" t="s">
        <v>158</v>
      </c>
      <c r="B83" s="327"/>
      <c r="C83" s="328"/>
      <c r="D83" s="328"/>
      <c r="E83" s="330"/>
      <c r="F83" s="330"/>
      <c r="G83" s="330"/>
      <c r="H83" s="330"/>
      <c r="I83" s="330"/>
      <c r="J83" s="330"/>
      <c r="K83" s="331"/>
      <c r="L83" s="332"/>
      <c r="M83" s="333"/>
      <c r="N83" s="328"/>
      <c r="O83" s="330"/>
      <c r="P83" s="330"/>
      <c r="Q83" s="330"/>
      <c r="R83" s="330"/>
      <c r="S83" s="330"/>
      <c r="T83" s="330"/>
      <c r="U83" s="331"/>
      <c r="V83" s="327"/>
      <c r="W83" s="328"/>
      <c r="X83" s="328"/>
      <c r="Y83" s="330"/>
      <c r="Z83" s="330"/>
      <c r="AA83" s="330"/>
      <c r="AB83" s="330"/>
      <c r="AC83" s="330"/>
      <c r="AD83" s="330"/>
      <c r="AE83" s="331"/>
      <c r="AF83" s="327"/>
      <c r="AG83" s="328"/>
      <c r="AH83" s="328"/>
      <c r="AI83" s="330"/>
      <c r="AJ83" s="330"/>
      <c r="AK83" s="330"/>
      <c r="AL83" s="330"/>
      <c r="AM83" s="330"/>
      <c r="AN83" s="330"/>
      <c r="AO83" s="331"/>
      <c r="AP83" s="327"/>
      <c r="AQ83" s="328"/>
      <c r="AR83" s="328"/>
      <c r="AS83" s="330"/>
      <c r="AT83" s="330"/>
      <c r="AU83" s="330"/>
      <c r="AV83" s="330"/>
      <c r="AW83" s="330"/>
      <c r="AX83" s="330"/>
      <c r="AY83" s="331"/>
      <c r="AZ83" s="334"/>
      <c r="BA83" s="328"/>
      <c r="BB83" s="328"/>
      <c r="BC83" s="330"/>
      <c r="BD83" s="330"/>
      <c r="BE83" s="330"/>
      <c r="BF83" s="330"/>
      <c r="BG83" s="330"/>
      <c r="BH83" s="330"/>
      <c r="BI83" s="331"/>
      <c r="BJ83" s="334"/>
      <c r="BK83" s="328"/>
      <c r="BL83" s="328"/>
      <c r="BM83" s="330"/>
      <c r="BN83" s="330"/>
      <c r="BO83" s="330"/>
      <c r="BP83" s="330"/>
      <c r="BQ83" s="330"/>
      <c r="BR83" s="330"/>
      <c r="BS83" s="331"/>
      <c r="BT83" s="334"/>
      <c r="BU83" s="328"/>
      <c r="BV83" s="328"/>
      <c r="BW83" s="330"/>
      <c r="BX83" s="330"/>
      <c r="BY83" s="330"/>
      <c r="BZ83" s="330"/>
      <c r="CA83" s="330"/>
      <c r="CB83" s="330"/>
      <c r="CC83" s="331"/>
    </row>
    <row r="84" spans="1:81" s="340" customFormat="1" ht="15.95" customHeight="1" x14ac:dyDescent="0.2">
      <c r="A84" s="339"/>
      <c r="B84" s="327"/>
      <c r="C84" s="328"/>
      <c r="D84" s="328"/>
      <c r="E84" s="330"/>
      <c r="F84" s="330"/>
      <c r="G84" s="330"/>
      <c r="H84" s="330"/>
      <c r="I84" s="330"/>
      <c r="J84" s="330"/>
      <c r="K84" s="331"/>
      <c r="L84" s="327"/>
      <c r="M84" s="328"/>
      <c r="N84" s="328"/>
      <c r="O84" s="330"/>
      <c r="P84" s="330"/>
      <c r="Q84" s="330"/>
      <c r="R84" s="330"/>
      <c r="S84" s="330"/>
      <c r="T84" s="330"/>
      <c r="U84" s="331"/>
      <c r="V84" s="327"/>
      <c r="W84" s="328"/>
      <c r="X84" s="328"/>
      <c r="Y84" s="330"/>
      <c r="Z84" s="330"/>
      <c r="AA84" s="330"/>
      <c r="AB84" s="330"/>
      <c r="AC84" s="330"/>
      <c r="AD84" s="330"/>
      <c r="AE84" s="331"/>
      <c r="AF84" s="327"/>
      <c r="AG84" s="328"/>
      <c r="AH84" s="328"/>
      <c r="AI84" s="330"/>
      <c r="AJ84" s="330"/>
      <c r="AK84" s="330"/>
      <c r="AL84" s="330"/>
      <c r="AM84" s="330"/>
      <c r="AN84" s="330"/>
      <c r="AO84" s="331"/>
      <c r="AP84" s="327"/>
      <c r="AQ84" s="328"/>
      <c r="AR84" s="328"/>
      <c r="AS84" s="330"/>
      <c r="AT84" s="330"/>
      <c r="AU84" s="330"/>
      <c r="AV84" s="330"/>
      <c r="AW84" s="330"/>
      <c r="AX84" s="330"/>
      <c r="AY84" s="331"/>
      <c r="AZ84" s="334"/>
      <c r="BA84" s="328"/>
      <c r="BB84" s="328"/>
      <c r="BC84" s="330"/>
      <c r="BD84" s="330"/>
      <c r="BE84" s="330"/>
      <c r="BF84" s="330"/>
      <c r="BG84" s="330"/>
      <c r="BH84" s="330"/>
      <c r="BI84" s="331"/>
      <c r="BJ84" s="334"/>
      <c r="BK84" s="328"/>
      <c r="BL84" s="328"/>
      <c r="BM84" s="330"/>
      <c r="BN84" s="330"/>
      <c r="BO84" s="330"/>
      <c r="BP84" s="330"/>
      <c r="BQ84" s="330"/>
      <c r="BR84" s="330"/>
      <c r="BS84" s="331"/>
      <c r="BT84" s="334"/>
      <c r="BU84" s="328"/>
      <c r="BV84" s="328"/>
      <c r="BW84" s="330"/>
      <c r="BX84" s="330"/>
      <c r="BY84" s="330"/>
      <c r="BZ84" s="330"/>
      <c r="CA84" s="330"/>
      <c r="CB84" s="330"/>
      <c r="CC84" s="331"/>
    </row>
    <row r="85" spans="1:81" s="340" customFormat="1" ht="15.95" customHeight="1" x14ac:dyDescent="0.2">
      <c r="A85" s="341" t="s">
        <v>113</v>
      </c>
      <c r="B85" s="327"/>
      <c r="C85" s="328"/>
      <c r="D85" s="328"/>
      <c r="E85" s="330"/>
      <c r="F85" s="330"/>
      <c r="G85" s="330"/>
      <c r="H85" s="330"/>
      <c r="I85" s="330"/>
      <c r="J85" s="330"/>
      <c r="K85" s="331"/>
      <c r="L85" s="327"/>
      <c r="M85" s="328"/>
      <c r="N85" s="328"/>
      <c r="O85" s="330"/>
      <c r="P85" s="330"/>
      <c r="Q85" s="330"/>
      <c r="R85" s="330"/>
      <c r="S85" s="330"/>
      <c r="T85" s="330"/>
      <c r="U85" s="331"/>
      <c r="V85" s="327"/>
      <c r="W85" s="328"/>
      <c r="X85" s="328"/>
      <c r="Y85" s="330"/>
      <c r="Z85" s="330"/>
      <c r="AA85" s="330"/>
      <c r="AB85" s="330"/>
      <c r="AC85" s="330"/>
      <c r="AD85" s="330"/>
      <c r="AE85" s="331"/>
      <c r="AF85" s="327"/>
      <c r="AG85" s="328"/>
      <c r="AH85" s="328"/>
      <c r="AI85" s="330"/>
      <c r="AJ85" s="330"/>
      <c r="AK85" s="330"/>
      <c r="AL85" s="330"/>
      <c r="AM85" s="330"/>
      <c r="AN85" s="330"/>
      <c r="AO85" s="331"/>
      <c r="AP85" s="327"/>
      <c r="AQ85" s="328"/>
      <c r="AR85" s="328"/>
      <c r="AS85" s="330"/>
      <c r="AT85" s="330"/>
      <c r="AU85" s="330"/>
      <c r="AV85" s="330"/>
      <c r="AW85" s="330"/>
      <c r="AX85" s="330"/>
      <c r="AY85" s="331"/>
      <c r="AZ85" s="334"/>
      <c r="BA85" s="328"/>
      <c r="BB85" s="328"/>
      <c r="BC85" s="330"/>
      <c r="BD85" s="330"/>
      <c r="BE85" s="330"/>
      <c r="BF85" s="330"/>
      <c r="BG85" s="330"/>
      <c r="BH85" s="330"/>
      <c r="BI85" s="331"/>
      <c r="BJ85" s="334"/>
      <c r="BK85" s="328"/>
      <c r="BL85" s="328"/>
      <c r="BM85" s="330"/>
      <c r="BN85" s="330"/>
      <c r="BO85" s="330"/>
      <c r="BP85" s="330"/>
      <c r="BQ85" s="330"/>
      <c r="BR85" s="330"/>
      <c r="BS85" s="331"/>
      <c r="BT85" s="334"/>
      <c r="BU85" s="328"/>
      <c r="BV85" s="328"/>
      <c r="BW85" s="330"/>
      <c r="BX85" s="330"/>
      <c r="BY85" s="330"/>
      <c r="BZ85" s="330"/>
      <c r="CA85" s="330"/>
      <c r="CB85" s="330"/>
      <c r="CC85" s="331"/>
    </row>
    <row r="86" spans="1:81" s="340" customFormat="1" ht="15.95" customHeight="1" x14ac:dyDescent="0.2">
      <c r="A86" s="342" t="s">
        <v>159</v>
      </c>
      <c r="B86" s="327">
        <v>76</v>
      </c>
      <c r="C86" s="328">
        <f>SUM(E86:I86)</f>
        <v>203886</v>
      </c>
      <c r="D86" s="328">
        <f>IFERROR(C86/B86,0)</f>
        <v>2682.7105263157896</v>
      </c>
      <c r="E86" s="330"/>
      <c r="F86" s="330"/>
      <c r="G86" s="330"/>
      <c r="H86" s="330">
        <v>203886</v>
      </c>
      <c r="I86" s="330"/>
      <c r="J86" s="330">
        <v>201651</v>
      </c>
      <c r="K86" s="331">
        <f t="shared" ref="K86:K91" si="126">IF(J86=0,0,(IF(E86&lt;=J86,E86,J86)))</f>
        <v>0</v>
      </c>
      <c r="L86" s="327">
        <v>112</v>
      </c>
      <c r="M86" s="328">
        <f>SUM(O86:S86)</f>
        <v>210073</v>
      </c>
      <c r="N86" s="328">
        <f>IFERROR(M86/L86,0)</f>
        <v>1875.6517857142858</v>
      </c>
      <c r="O86" s="330"/>
      <c r="P86" s="330"/>
      <c r="Q86" s="330"/>
      <c r="R86" s="330">
        <v>210073</v>
      </c>
      <c r="S86" s="330"/>
      <c r="T86" s="330">
        <v>210073</v>
      </c>
      <c r="U86" s="331">
        <f t="shared" ref="U86:U91" si="127">IF(T86=0,0,(IF(O86&lt;=T86,O86,T86)))</f>
        <v>0</v>
      </c>
      <c r="V86" s="327">
        <v>96</v>
      </c>
      <c r="W86" s="328">
        <f>SUM(Y86:AC86)</f>
        <v>218279</v>
      </c>
      <c r="X86" s="328">
        <f>IFERROR(W86/V86,0)</f>
        <v>2273.7395833333335</v>
      </c>
      <c r="Y86" s="330"/>
      <c r="Z86" s="330"/>
      <c r="AA86" s="330"/>
      <c r="AB86" s="330">
        <v>218279</v>
      </c>
      <c r="AC86" s="330"/>
      <c r="AD86" s="330">
        <v>218279</v>
      </c>
      <c r="AE86" s="331">
        <f t="shared" ref="AE86:AE91" si="128">IF(AD86=0,0,(IF(Y86&lt;=AD86,Y86,AD86)))</f>
        <v>0</v>
      </c>
      <c r="AF86" s="327">
        <v>92</v>
      </c>
      <c r="AG86" s="328">
        <f>SUM(AI86:AM86)</f>
        <v>205820</v>
      </c>
      <c r="AH86" s="328">
        <f>IFERROR(AG86/AF86,0)</f>
        <v>2237.1739130434785</v>
      </c>
      <c r="AI86" s="330"/>
      <c r="AJ86" s="330"/>
      <c r="AK86" s="330"/>
      <c r="AL86" s="330">
        <v>205820</v>
      </c>
      <c r="AM86" s="330"/>
      <c r="AN86" s="330">
        <f>205820-1890</f>
        <v>203930</v>
      </c>
      <c r="AO86" s="331">
        <f t="shared" ref="AO86:AO91" si="129">IF(AN86=0,0,(IF(AI86&lt;=AN86,AI86,AN86)))</f>
        <v>0</v>
      </c>
      <c r="AP86" s="327">
        <v>63</v>
      </c>
      <c r="AQ86" s="328">
        <f>SUM(AS86:AW86)</f>
        <v>130718</v>
      </c>
      <c r="AR86" s="328">
        <f>IFERROR(AQ86/AP86,0)</f>
        <v>2074.8888888888887</v>
      </c>
      <c r="AS86" s="330"/>
      <c r="AT86" s="330"/>
      <c r="AU86" s="330"/>
      <c r="AV86" s="330">
        <v>130718</v>
      </c>
      <c r="AW86" s="330"/>
      <c r="AX86" s="330">
        <v>125707</v>
      </c>
      <c r="AY86" s="331">
        <f t="shared" ref="AY86:AY91" si="130">IF(AX86=0,0,(IF(AS86&lt;=AX86,AS86,AX86)))</f>
        <v>0</v>
      </c>
      <c r="AZ86" s="334">
        <v>43</v>
      </c>
      <c r="BA86" s="328">
        <f>SUM(BC86:BG86)</f>
        <v>82876</v>
      </c>
      <c r="BB86" s="328">
        <f>IFERROR(BA86/AZ86,0)</f>
        <v>1927.3488372093022</v>
      </c>
      <c r="BC86" s="330"/>
      <c r="BD86" s="330"/>
      <c r="BE86" s="330"/>
      <c r="BF86" s="330">
        <f>46585+36291</f>
        <v>82876</v>
      </c>
      <c r="BG86" s="330"/>
      <c r="BH86" s="330">
        <f>82876-1071</f>
        <v>81805</v>
      </c>
      <c r="BI86" s="331">
        <f t="shared" ref="BI86:BI91" si="131">IF(BH86=0,0,(IF(BC86&lt;=BH86,BC86,BH86)))</f>
        <v>0</v>
      </c>
      <c r="BJ86" s="334"/>
      <c r="BK86" s="328">
        <f t="shared" ref="BK86:BK91" si="132">SUM(BM86:BQ86)</f>
        <v>156369</v>
      </c>
      <c r="BL86" s="328">
        <f t="shared" ref="BL86:BL91" si="133">IFERROR(BK86/BJ86,0)</f>
        <v>0</v>
      </c>
      <c r="BM86" s="330"/>
      <c r="BN86" s="330"/>
      <c r="BO86" s="330"/>
      <c r="BP86" s="330">
        <v>156369</v>
      </c>
      <c r="BQ86" s="330"/>
      <c r="BR86" s="330"/>
      <c r="BS86" s="331">
        <f t="shared" ref="BS86:BS91" si="134">IF(BR86=0,0,(IF(BM86&lt;=BR86,BM86,BR86)))</f>
        <v>0</v>
      </c>
      <c r="BT86" s="344">
        <v>921</v>
      </c>
      <c r="BU86" s="328">
        <f t="shared" ref="BU86:BU91" si="135">SUM(BW86:CA86)</f>
        <v>600908</v>
      </c>
      <c r="BV86" s="328">
        <f t="shared" ref="BV86:BV91" si="136">IFERROR(BU86/BT86,0)</f>
        <v>652.45168295331166</v>
      </c>
      <c r="BW86" s="345"/>
      <c r="BX86" s="345"/>
      <c r="BY86" s="345"/>
      <c r="BZ86" s="345">
        <v>600908</v>
      </c>
      <c r="CA86" s="345"/>
      <c r="CB86" s="345">
        <v>600908</v>
      </c>
      <c r="CC86" s="402">
        <f t="shared" ref="CC86:CC91" si="137">IF(CB86=0,0,(IF(BW86&lt;=CB86,BW86,CB86)))</f>
        <v>0</v>
      </c>
    </row>
    <row r="87" spans="1:81" s="340" customFormat="1" ht="15.95" customHeight="1" x14ac:dyDescent="0.2">
      <c r="A87" s="346"/>
      <c r="B87" s="327"/>
      <c r="C87" s="328">
        <f t="shared" ref="C87:C91" si="138">SUM(E87:I87)</f>
        <v>0</v>
      </c>
      <c r="D87" s="328">
        <f t="shared" ref="D87:D91" si="139">IFERROR(C87/B87,0)</f>
        <v>0</v>
      </c>
      <c r="E87" s="330"/>
      <c r="F87" s="330"/>
      <c r="G87" s="330"/>
      <c r="H87" s="330"/>
      <c r="I87" s="330"/>
      <c r="J87" s="330"/>
      <c r="K87" s="331">
        <f t="shared" si="126"/>
        <v>0</v>
      </c>
      <c r="L87" s="327"/>
      <c r="M87" s="328">
        <f t="shared" ref="M87:M89" si="140">SUM(O87:S87)</f>
        <v>0</v>
      </c>
      <c r="N87" s="328">
        <f t="shared" ref="N87:N91" si="141">IFERROR(M87/L87,0)</f>
        <v>0</v>
      </c>
      <c r="O87" s="330"/>
      <c r="P87" s="330"/>
      <c r="Q87" s="330"/>
      <c r="R87" s="330"/>
      <c r="S87" s="330"/>
      <c r="T87" s="330"/>
      <c r="U87" s="331">
        <f t="shared" si="127"/>
        <v>0</v>
      </c>
      <c r="V87" s="327"/>
      <c r="W87" s="328">
        <f t="shared" ref="W87:W89" si="142">SUM(Y87:AC87)</f>
        <v>0</v>
      </c>
      <c r="X87" s="328">
        <f t="shared" ref="X87:X91" si="143">IFERROR(W87/V87,0)</f>
        <v>0</v>
      </c>
      <c r="Y87" s="330"/>
      <c r="Z87" s="330"/>
      <c r="AA87" s="330"/>
      <c r="AB87" s="330"/>
      <c r="AC87" s="330"/>
      <c r="AD87" s="330"/>
      <c r="AE87" s="331">
        <f t="shared" si="128"/>
        <v>0</v>
      </c>
      <c r="AF87" s="327"/>
      <c r="AG87" s="328">
        <f t="shared" ref="AG87:AG89" si="144">SUM(AI87:AM87)</f>
        <v>0</v>
      </c>
      <c r="AH87" s="328">
        <f t="shared" ref="AH87:AH91" si="145">IFERROR(AG87/AF87,0)</f>
        <v>0</v>
      </c>
      <c r="AI87" s="330"/>
      <c r="AJ87" s="330"/>
      <c r="AK87" s="330"/>
      <c r="AL87" s="330"/>
      <c r="AM87" s="330"/>
      <c r="AN87" s="330"/>
      <c r="AO87" s="331">
        <f t="shared" si="129"/>
        <v>0</v>
      </c>
      <c r="AP87" s="327"/>
      <c r="AQ87" s="328">
        <f t="shared" ref="AQ87:AQ89" si="146">SUM(AS87:AW87)</f>
        <v>0</v>
      </c>
      <c r="AR87" s="328">
        <f t="shared" ref="AR87:AR91" si="147">IFERROR(AQ87/AP87,0)</f>
        <v>0</v>
      </c>
      <c r="AS87" s="330"/>
      <c r="AT87" s="330"/>
      <c r="AU87" s="330"/>
      <c r="AV87" s="330"/>
      <c r="AW87" s="330"/>
      <c r="AX87" s="330"/>
      <c r="AY87" s="331">
        <f t="shared" si="130"/>
        <v>0</v>
      </c>
      <c r="AZ87" s="334"/>
      <c r="BA87" s="328">
        <f t="shared" ref="BA87:BA89" si="148">SUM(BC87:BG87)</f>
        <v>0</v>
      </c>
      <c r="BB87" s="328">
        <f t="shared" ref="BB87:BB91" si="149">IFERROR(BA87/AZ87,0)</f>
        <v>0</v>
      </c>
      <c r="BC87" s="330"/>
      <c r="BD87" s="330"/>
      <c r="BE87" s="330"/>
      <c r="BF87" s="330"/>
      <c r="BG87" s="330"/>
      <c r="BH87" s="330"/>
      <c r="BI87" s="331">
        <f t="shared" si="131"/>
        <v>0</v>
      </c>
      <c r="BJ87" s="334"/>
      <c r="BK87" s="328">
        <f t="shared" si="132"/>
        <v>0</v>
      </c>
      <c r="BL87" s="328">
        <f t="shared" si="133"/>
        <v>0</v>
      </c>
      <c r="BM87" s="330"/>
      <c r="BN87" s="330"/>
      <c r="BO87" s="330"/>
      <c r="BP87" s="330"/>
      <c r="BQ87" s="330"/>
      <c r="BR87" s="330"/>
      <c r="BS87" s="331">
        <f t="shared" si="134"/>
        <v>0</v>
      </c>
      <c r="BT87" s="344"/>
      <c r="BU87" s="328">
        <f t="shared" si="135"/>
        <v>0</v>
      </c>
      <c r="BV87" s="328">
        <f t="shared" si="136"/>
        <v>0</v>
      </c>
      <c r="BW87" s="345"/>
      <c r="BX87" s="345"/>
      <c r="BY87" s="345"/>
      <c r="BZ87" s="345"/>
      <c r="CA87" s="345"/>
      <c r="CB87" s="345"/>
      <c r="CC87" s="402">
        <f t="shared" si="137"/>
        <v>0</v>
      </c>
    </row>
    <row r="88" spans="1:81" s="340" customFormat="1" ht="15.95" customHeight="1" x14ac:dyDescent="0.2">
      <c r="A88" s="346"/>
      <c r="B88" s="327"/>
      <c r="C88" s="328">
        <f t="shared" si="138"/>
        <v>0</v>
      </c>
      <c r="D88" s="328">
        <f t="shared" si="139"/>
        <v>0</v>
      </c>
      <c r="E88" s="330"/>
      <c r="F88" s="330"/>
      <c r="G88" s="330"/>
      <c r="H88" s="330"/>
      <c r="I88" s="330"/>
      <c r="J88" s="330"/>
      <c r="K88" s="331">
        <f t="shared" si="126"/>
        <v>0</v>
      </c>
      <c r="L88" s="327"/>
      <c r="M88" s="328">
        <f t="shared" si="140"/>
        <v>0</v>
      </c>
      <c r="N88" s="328">
        <f t="shared" si="141"/>
        <v>0</v>
      </c>
      <c r="O88" s="330"/>
      <c r="P88" s="330"/>
      <c r="Q88" s="330"/>
      <c r="R88" s="330"/>
      <c r="S88" s="330"/>
      <c r="T88" s="330"/>
      <c r="U88" s="331">
        <f t="shared" si="127"/>
        <v>0</v>
      </c>
      <c r="V88" s="327"/>
      <c r="W88" s="328">
        <f t="shared" si="142"/>
        <v>0</v>
      </c>
      <c r="X88" s="328">
        <f t="shared" si="143"/>
        <v>0</v>
      </c>
      <c r="Y88" s="330"/>
      <c r="Z88" s="330"/>
      <c r="AA88" s="330"/>
      <c r="AB88" s="330"/>
      <c r="AC88" s="330"/>
      <c r="AD88" s="330"/>
      <c r="AE88" s="331">
        <f t="shared" si="128"/>
        <v>0</v>
      </c>
      <c r="AF88" s="327"/>
      <c r="AG88" s="328">
        <f t="shared" si="144"/>
        <v>0</v>
      </c>
      <c r="AH88" s="328">
        <f t="shared" si="145"/>
        <v>0</v>
      </c>
      <c r="AI88" s="330"/>
      <c r="AJ88" s="330"/>
      <c r="AK88" s="330"/>
      <c r="AL88" s="330"/>
      <c r="AM88" s="330"/>
      <c r="AN88" s="330"/>
      <c r="AO88" s="331">
        <f t="shared" si="129"/>
        <v>0</v>
      </c>
      <c r="AP88" s="327"/>
      <c r="AQ88" s="328">
        <f t="shared" si="146"/>
        <v>0</v>
      </c>
      <c r="AR88" s="328">
        <f t="shared" si="147"/>
        <v>0</v>
      </c>
      <c r="AS88" s="330"/>
      <c r="AT88" s="330"/>
      <c r="AU88" s="330"/>
      <c r="AV88" s="330"/>
      <c r="AW88" s="330"/>
      <c r="AX88" s="330"/>
      <c r="AY88" s="331">
        <f t="shared" si="130"/>
        <v>0</v>
      </c>
      <c r="AZ88" s="334"/>
      <c r="BA88" s="328">
        <f t="shared" si="148"/>
        <v>0</v>
      </c>
      <c r="BB88" s="328">
        <f t="shared" si="149"/>
        <v>0</v>
      </c>
      <c r="BC88" s="330"/>
      <c r="BD88" s="330"/>
      <c r="BE88" s="330"/>
      <c r="BF88" s="330"/>
      <c r="BG88" s="330"/>
      <c r="BH88" s="330"/>
      <c r="BI88" s="331">
        <f t="shared" si="131"/>
        <v>0</v>
      </c>
      <c r="BJ88" s="334"/>
      <c r="BK88" s="328">
        <f t="shared" si="132"/>
        <v>0</v>
      </c>
      <c r="BL88" s="328">
        <f t="shared" si="133"/>
        <v>0</v>
      </c>
      <c r="BM88" s="330"/>
      <c r="BN88" s="330"/>
      <c r="BO88" s="330"/>
      <c r="BP88" s="330"/>
      <c r="BQ88" s="330"/>
      <c r="BR88" s="330"/>
      <c r="BS88" s="331">
        <f t="shared" si="134"/>
        <v>0</v>
      </c>
      <c r="BT88" s="344"/>
      <c r="BU88" s="328">
        <f t="shared" si="135"/>
        <v>0</v>
      </c>
      <c r="BV88" s="328">
        <f t="shared" si="136"/>
        <v>0</v>
      </c>
      <c r="BW88" s="345"/>
      <c r="BX88" s="345"/>
      <c r="BY88" s="345"/>
      <c r="BZ88" s="345"/>
      <c r="CA88" s="345"/>
      <c r="CB88" s="345"/>
      <c r="CC88" s="402">
        <f t="shared" si="137"/>
        <v>0</v>
      </c>
    </row>
    <row r="89" spans="1:81" s="340" customFormat="1" ht="15.95" customHeight="1" x14ac:dyDescent="0.2">
      <c r="A89" s="346"/>
      <c r="B89" s="327"/>
      <c r="C89" s="328">
        <f t="shared" si="138"/>
        <v>0</v>
      </c>
      <c r="D89" s="328">
        <f t="shared" si="139"/>
        <v>0</v>
      </c>
      <c r="E89" s="330"/>
      <c r="F89" s="330"/>
      <c r="G89" s="330"/>
      <c r="H89" s="330"/>
      <c r="I89" s="330"/>
      <c r="J89" s="330"/>
      <c r="K89" s="331">
        <f t="shared" si="126"/>
        <v>0</v>
      </c>
      <c r="L89" s="327"/>
      <c r="M89" s="328">
        <f t="shared" si="140"/>
        <v>0</v>
      </c>
      <c r="N89" s="328">
        <f t="shared" si="141"/>
        <v>0</v>
      </c>
      <c r="O89" s="330"/>
      <c r="P89" s="330"/>
      <c r="Q89" s="330"/>
      <c r="R89" s="330"/>
      <c r="S89" s="330"/>
      <c r="T89" s="330"/>
      <c r="U89" s="331">
        <f t="shared" si="127"/>
        <v>0</v>
      </c>
      <c r="V89" s="327"/>
      <c r="W89" s="328">
        <f t="shared" si="142"/>
        <v>0</v>
      </c>
      <c r="X89" s="328">
        <f t="shared" si="143"/>
        <v>0</v>
      </c>
      <c r="Y89" s="330"/>
      <c r="Z89" s="330"/>
      <c r="AA89" s="330"/>
      <c r="AB89" s="330"/>
      <c r="AC89" s="330"/>
      <c r="AD89" s="330"/>
      <c r="AE89" s="331">
        <f t="shared" si="128"/>
        <v>0</v>
      </c>
      <c r="AF89" s="327"/>
      <c r="AG89" s="328">
        <f t="shared" si="144"/>
        <v>0</v>
      </c>
      <c r="AH89" s="328">
        <f t="shared" si="145"/>
        <v>0</v>
      </c>
      <c r="AI89" s="330"/>
      <c r="AJ89" s="330"/>
      <c r="AK89" s="330"/>
      <c r="AL89" s="330"/>
      <c r="AM89" s="330"/>
      <c r="AN89" s="330"/>
      <c r="AO89" s="331">
        <f t="shared" si="129"/>
        <v>0</v>
      </c>
      <c r="AP89" s="327"/>
      <c r="AQ89" s="328">
        <f t="shared" si="146"/>
        <v>0</v>
      </c>
      <c r="AR89" s="328">
        <f t="shared" si="147"/>
        <v>0</v>
      </c>
      <c r="AS89" s="330"/>
      <c r="AT89" s="330"/>
      <c r="AU89" s="330"/>
      <c r="AV89" s="330"/>
      <c r="AW89" s="330"/>
      <c r="AX89" s="330"/>
      <c r="AY89" s="331">
        <f t="shared" si="130"/>
        <v>0</v>
      </c>
      <c r="AZ89" s="334"/>
      <c r="BA89" s="328">
        <f t="shared" si="148"/>
        <v>0</v>
      </c>
      <c r="BB89" s="328">
        <f t="shared" si="149"/>
        <v>0</v>
      </c>
      <c r="BC89" s="330"/>
      <c r="BD89" s="330"/>
      <c r="BE89" s="330"/>
      <c r="BF89" s="330"/>
      <c r="BG89" s="330"/>
      <c r="BH89" s="330"/>
      <c r="BI89" s="331">
        <f t="shared" si="131"/>
        <v>0</v>
      </c>
      <c r="BJ89" s="334"/>
      <c r="BK89" s="328">
        <f t="shared" si="132"/>
        <v>0</v>
      </c>
      <c r="BL89" s="328">
        <f t="shared" si="133"/>
        <v>0</v>
      </c>
      <c r="BM89" s="330"/>
      <c r="BN89" s="330"/>
      <c r="BO89" s="330"/>
      <c r="BP89" s="330"/>
      <c r="BQ89" s="330"/>
      <c r="BR89" s="330"/>
      <c r="BS89" s="331">
        <f t="shared" si="134"/>
        <v>0</v>
      </c>
      <c r="BT89" s="344"/>
      <c r="BU89" s="328">
        <f t="shared" si="135"/>
        <v>0</v>
      </c>
      <c r="BV89" s="328">
        <f t="shared" si="136"/>
        <v>0</v>
      </c>
      <c r="BW89" s="345"/>
      <c r="BX89" s="345"/>
      <c r="BY89" s="345"/>
      <c r="BZ89" s="345"/>
      <c r="CA89" s="345"/>
      <c r="CB89" s="345"/>
      <c r="CC89" s="402">
        <f t="shared" si="137"/>
        <v>0</v>
      </c>
    </row>
    <row r="90" spans="1:81" s="340" customFormat="1" ht="15.95" customHeight="1" x14ac:dyDescent="0.2">
      <c r="A90" s="346"/>
      <c r="B90" s="327"/>
      <c r="C90" s="328">
        <f t="shared" si="138"/>
        <v>0</v>
      </c>
      <c r="D90" s="328">
        <f t="shared" si="139"/>
        <v>0</v>
      </c>
      <c r="E90" s="330"/>
      <c r="F90" s="330"/>
      <c r="G90" s="330"/>
      <c r="H90" s="330"/>
      <c r="I90" s="330"/>
      <c r="J90" s="330"/>
      <c r="K90" s="331">
        <f t="shared" si="126"/>
        <v>0</v>
      </c>
      <c r="L90" s="327"/>
      <c r="M90" s="328">
        <f t="shared" ref="M90:M91" si="150">SUM(O90:S90)</f>
        <v>0</v>
      </c>
      <c r="N90" s="328">
        <f t="shared" si="141"/>
        <v>0</v>
      </c>
      <c r="O90" s="330"/>
      <c r="P90" s="330"/>
      <c r="Q90" s="330"/>
      <c r="R90" s="330"/>
      <c r="S90" s="330"/>
      <c r="T90" s="330"/>
      <c r="U90" s="331">
        <f t="shared" si="127"/>
        <v>0</v>
      </c>
      <c r="V90" s="327"/>
      <c r="W90" s="328">
        <f t="shared" ref="W90:W91" si="151">SUM(Y90:AC90)</f>
        <v>0</v>
      </c>
      <c r="X90" s="328">
        <f t="shared" si="143"/>
        <v>0</v>
      </c>
      <c r="Y90" s="330"/>
      <c r="Z90" s="330"/>
      <c r="AA90" s="330"/>
      <c r="AB90" s="330"/>
      <c r="AC90" s="330"/>
      <c r="AD90" s="330"/>
      <c r="AE90" s="331">
        <f t="shared" si="128"/>
        <v>0</v>
      </c>
      <c r="AF90" s="327"/>
      <c r="AG90" s="328">
        <f t="shared" ref="AG90:AG91" si="152">SUM(AI90:AM90)</f>
        <v>0</v>
      </c>
      <c r="AH90" s="328">
        <f t="shared" si="145"/>
        <v>0</v>
      </c>
      <c r="AI90" s="330"/>
      <c r="AJ90" s="330"/>
      <c r="AK90" s="330"/>
      <c r="AL90" s="330"/>
      <c r="AM90" s="330"/>
      <c r="AN90" s="330"/>
      <c r="AO90" s="331">
        <f t="shared" si="129"/>
        <v>0</v>
      </c>
      <c r="AP90" s="327"/>
      <c r="AQ90" s="328">
        <f t="shared" ref="AQ90:AQ91" si="153">SUM(AS90:AW90)</f>
        <v>0</v>
      </c>
      <c r="AR90" s="328">
        <f t="shared" si="147"/>
        <v>0</v>
      </c>
      <c r="AS90" s="330"/>
      <c r="AT90" s="330"/>
      <c r="AU90" s="330"/>
      <c r="AV90" s="330"/>
      <c r="AW90" s="330"/>
      <c r="AX90" s="330"/>
      <c r="AY90" s="331">
        <f t="shared" si="130"/>
        <v>0</v>
      </c>
      <c r="AZ90" s="334"/>
      <c r="BA90" s="328">
        <f t="shared" ref="BA90:BA91" si="154">SUM(BC90:BG90)</f>
        <v>0</v>
      </c>
      <c r="BB90" s="328">
        <f t="shared" si="149"/>
        <v>0</v>
      </c>
      <c r="BC90" s="330"/>
      <c r="BD90" s="330"/>
      <c r="BE90" s="330"/>
      <c r="BF90" s="330"/>
      <c r="BG90" s="330"/>
      <c r="BH90" s="330"/>
      <c r="BI90" s="331">
        <f t="shared" si="131"/>
        <v>0</v>
      </c>
      <c r="BJ90" s="334"/>
      <c r="BK90" s="328">
        <f t="shared" si="132"/>
        <v>0</v>
      </c>
      <c r="BL90" s="328">
        <f t="shared" si="133"/>
        <v>0</v>
      </c>
      <c r="BM90" s="330"/>
      <c r="BN90" s="330"/>
      <c r="BO90" s="330"/>
      <c r="BP90" s="330"/>
      <c r="BQ90" s="330"/>
      <c r="BR90" s="330"/>
      <c r="BS90" s="331">
        <f t="shared" si="134"/>
        <v>0</v>
      </c>
      <c r="BT90" s="344"/>
      <c r="BU90" s="328">
        <f t="shared" si="135"/>
        <v>0</v>
      </c>
      <c r="BV90" s="328">
        <f t="shared" si="136"/>
        <v>0</v>
      </c>
      <c r="BW90" s="345"/>
      <c r="BX90" s="345"/>
      <c r="BY90" s="345"/>
      <c r="BZ90" s="345"/>
      <c r="CA90" s="345"/>
      <c r="CB90" s="345"/>
      <c r="CC90" s="402">
        <f t="shared" si="137"/>
        <v>0</v>
      </c>
    </row>
    <row r="91" spans="1:81" s="340" customFormat="1" ht="15.95" customHeight="1" x14ac:dyDescent="0.2">
      <c r="A91" s="346"/>
      <c r="B91" s="327"/>
      <c r="C91" s="328">
        <f t="shared" si="138"/>
        <v>0</v>
      </c>
      <c r="D91" s="328">
        <f t="shared" si="139"/>
        <v>0</v>
      </c>
      <c r="E91" s="330"/>
      <c r="F91" s="330"/>
      <c r="G91" s="330"/>
      <c r="H91" s="330"/>
      <c r="I91" s="330"/>
      <c r="J91" s="330"/>
      <c r="K91" s="331">
        <f t="shared" si="126"/>
        <v>0</v>
      </c>
      <c r="L91" s="327"/>
      <c r="M91" s="328">
        <f t="shared" si="150"/>
        <v>0</v>
      </c>
      <c r="N91" s="328">
        <f t="shared" si="141"/>
        <v>0</v>
      </c>
      <c r="O91" s="330"/>
      <c r="P91" s="330"/>
      <c r="Q91" s="330"/>
      <c r="R91" s="330"/>
      <c r="S91" s="330"/>
      <c r="T91" s="330"/>
      <c r="U91" s="331">
        <f t="shared" si="127"/>
        <v>0</v>
      </c>
      <c r="V91" s="327"/>
      <c r="W91" s="328">
        <f t="shared" si="151"/>
        <v>0</v>
      </c>
      <c r="X91" s="328">
        <f t="shared" si="143"/>
        <v>0</v>
      </c>
      <c r="Y91" s="330"/>
      <c r="Z91" s="330"/>
      <c r="AA91" s="330"/>
      <c r="AB91" s="330"/>
      <c r="AC91" s="330"/>
      <c r="AD91" s="330"/>
      <c r="AE91" s="331">
        <f t="shared" si="128"/>
        <v>0</v>
      </c>
      <c r="AF91" s="327"/>
      <c r="AG91" s="328">
        <f t="shared" si="152"/>
        <v>0</v>
      </c>
      <c r="AH91" s="328">
        <f t="shared" si="145"/>
        <v>0</v>
      </c>
      <c r="AI91" s="330"/>
      <c r="AJ91" s="330"/>
      <c r="AK91" s="330"/>
      <c r="AL91" s="330"/>
      <c r="AM91" s="330"/>
      <c r="AN91" s="330"/>
      <c r="AO91" s="331">
        <f t="shared" si="129"/>
        <v>0</v>
      </c>
      <c r="AP91" s="327"/>
      <c r="AQ91" s="328">
        <f t="shared" si="153"/>
        <v>0</v>
      </c>
      <c r="AR91" s="328">
        <f t="shared" si="147"/>
        <v>0</v>
      </c>
      <c r="AS91" s="330"/>
      <c r="AT91" s="330"/>
      <c r="AU91" s="330"/>
      <c r="AV91" s="330"/>
      <c r="AW91" s="330"/>
      <c r="AX91" s="330"/>
      <c r="AY91" s="331">
        <f t="shared" si="130"/>
        <v>0</v>
      </c>
      <c r="AZ91" s="334"/>
      <c r="BA91" s="328">
        <f t="shared" si="154"/>
        <v>0</v>
      </c>
      <c r="BB91" s="328">
        <f t="shared" si="149"/>
        <v>0</v>
      </c>
      <c r="BC91" s="330"/>
      <c r="BD91" s="330"/>
      <c r="BE91" s="330"/>
      <c r="BF91" s="330"/>
      <c r="BG91" s="330"/>
      <c r="BH91" s="330"/>
      <c r="BI91" s="331">
        <f t="shared" si="131"/>
        <v>0</v>
      </c>
      <c r="BJ91" s="334"/>
      <c r="BK91" s="328">
        <f t="shared" si="132"/>
        <v>0</v>
      </c>
      <c r="BL91" s="328">
        <f t="shared" si="133"/>
        <v>0</v>
      </c>
      <c r="BM91" s="330"/>
      <c r="BN91" s="330"/>
      <c r="BO91" s="330"/>
      <c r="BP91" s="330"/>
      <c r="BQ91" s="330"/>
      <c r="BR91" s="330"/>
      <c r="BS91" s="331">
        <f t="shared" si="134"/>
        <v>0</v>
      </c>
      <c r="BT91" s="344"/>
      <c r="BU91" s="328">
        <f t="shared" si="135"/>
        <v>0</v>
      </c>
      <c r="BV91" s="328">
        <f t="shared" si="136"/>
        <v>0</v>
      </c>
      <c r="BW91" s="345"/>
      <c r="BX91" s="345"/>
      <c r="BY91" s="345"/>
      <c r="BZ91" s="345"/>
      <c r="CA91" s="345"/>
      <c r="CB91" s="345"/>
      <c r="CC91" s="402">
        <f t="shared" si="137"/>
        <v>0</v>
      </c>
    </row>
    <row r="92" spans="1:81" s="340" customFormat="1" ht="15.95" customHeight="1" x14ac:dyDescent="0.2">
      <c r="A92" s="347" t="s">
        <v>139</v>
      </c>
      <c r="B92" s="327"/>
      <c r="C92" s="328"/>
      <c r="D92" s="328"/>
      <c r="E92" s="330"/>
      <c r="F92" s="330"/>
      <c r="G92" s="330"/>
      <c r="H92" s="330"/>
      <c r="I92" s="330"/>
      <c r="J92" s="330"/>
      <c r="K92" s="331"/>
      <c r="L92" s="327"/>
      <c r="M92" s="328"/>
      <c r="N92" s="328"/>
      <c r="O92" s="330"/>
      <c r="P92" s="330"/>
      <c r="Q92" s="330"/>
      <c r="R92" s="330"/>
      <c r="S92" s="330"/>
      <c r="T92" s="330"/>
      <c r="U92" s="331"/>
      <c r="V92" s="327"/>
      <c r="W92" s="328"/>
      <c r="X92" s="328"/>
      <c r="Y92" s="330"/>
      <c r="Z92" s="330"/>
      <c r="AA92" s="330"/>
      <c r="AB92" s="330"/>
      <c r="AC92" s="330"/>
      <c r="AD92" s="330"/>
      <c r="AE92" s="331"/>
      <c r="AF92" s="327"/>
      <c r="AG92" s="328"/>
      <c r="AH92" s="328"/>
      <c r="AI92" s="330"/>
      <c r="AJ92" s="330"/>
      <c r="AK92" s="330"/>
      <c r="AL92" s="330"/>
      <c r="AM92" s="330"/>
      <c r="AN92" s="330"/>
      <c r="AO92" s="331"/>
      <c r="AP92" s="327"/>
      <c r="AQ92" s="328"/>
      <c r="AR92" s="328"/>
      <c r="AS92" s="330"/>
      <c r="AT92" s="330"/>
      <c r="AU92" s="330"/>
      <c r="AV92" s="330"/>
      <c r="AW92" s="330"/>
      <c r="AX92" s="330"/>
      <c r="AY92" s="331"/>
      <c r="AZ92" s="334"/>
      <c r="BA92" s="328"/>
      <c r="BB92" s="328"/>
      <c r="BC92" s="330"/>
      <c r="BD92" s="330"/>
      <c r="BE92" s="330"/>
      <c r="BF92" s="330"/>
      <c r="BG92" s="330"/>
      <c r="BH92" s="330"/>
      <c r="BI92" s="331"/>
      <c r="BJ92" s="334"/>
      <c r="BK92" s="328"/>
      <c r="BL92" s="328"/>
      <c r="BM92" s="330"/>
      <c r="BN92" s="330"/>
      <c r="BO92" s="330"/>
      <c r="BP92" s="330"/>
      <c r="BQ92" s="330"/>
      <c r="BR92" s="330"/>
      <c r="BS92" s="331"/>
      <c r="BT92" s="334"/>
      <c r="BU92" s="328"/>
      <c r="BV92" s="328"/>
      <c r="BW92" s="330"/>
      <c r="BX92" s="330"/>
      <c r="BY92" s="330"/>
      <c r="BZ92" s="330"/>
      <c r="CA92" s="330"/>
      <c r="CB92" s="330"/>
      <c r="CC92" s="331"/>
    </row>
    <row r="93" spans="1:81" s="340" customFormat="1" ht="15.95" customHeight="1" x14ac:dyDescent="0.2">
      <c r="A93" s="348" t="s">
        <v>140</v>
      </c>
      <c r="B93" s="349">
        <f>SUM(B$85:B92)</f>
        <v>76</v>
      </c>
      <c r="C93" s="328">
        <f>SUM(C$85:C92)</f>
        <v>203886</v>
      </c>
      <c r="D93" s="328">
        <f>IFERROR(C93/B93,0)</f>
        <v>2682.7105263157896</v>
      </c>
      <c r="E93" s="350">
        <f>SUM(E$85:E92)</f>
        <v>0</v>
      </c>
      <c r="F93" s="350">
        <f>SUM(F$85:F92)</f>
        <v>0</v>
      </c>
      <c r="G93" s="350">
        <f>SUM(G$85:G92)</f>
        <v>0</v>
      </c>
      <c r="H93" s="350">
        <f>SUM(H$85:H92)</f>
        <v>203886</v>
      </c>
      <c r="I93" s="350">
        <f>SUM(I$85:I92)</f>
        <v>0</v>
      </c>
      <c r="J93" s="350">
        <f>SUM(J$85:J92)</f>
        <v>201651</v>
      </c>
      <c r="K93" s="350">
        <f>SUM(K$85:K92)</f>
        <v>0</v>
      </c>
      <c r="L93" s="349">
        <f>SUM(L$85:L92)</f>
        <v>112</v>
      </c>
      <c r="M93" s="328">
        <f>SUM(M$85:M92)</f>
        <v>210073</v>
      </c>
      <c r="N93" s="328">
        <f>IFERROR(M93/L93,0)</f>
        <v>1875.6517857142858</v>
      </c>
      <c r="O93" s="350">
        <f>SUM(O$85:O92)</f>
        <v>0</v>
      </c>
      <c r="P93" s="350">
        <f>SUM(P$85:P92)</f>
        <v>0</v>
      </c>
      <c r="Q93" s="350">
        <f>SUM(Q$85:Q92)</f>
        <v>0</v>
      </c>
      <c r="R93" s="350">
        <f>SUM(R$85:R92)</f>
        <v>210073</v>
      </c>
      <c r="S93" s="350">
        <f>SUM(S$85:S92)</f>
        <v>0</v>
      </c>
      <c r="T93" s="350">
        <f>SUM(T$85:T92)</f>
        <v>210073</v>
      </c>
      <c r="U93" s="350">
        <f>SUM(U$85:U92)</f>
        <v>0</v>
      </c>
      <c r="V93" s="349">
        <f>SUM(V$85:V92)</f>
        <v>96</v>
      </c>
      <c r="W93" s="328">
        <f>SUM(W$85:W92)</f>
        <v>218279</v>
      </c>
      <c r="X93" s="328">
        <f>IFERROR(W93/V93,0)</f>
        <v>2273.7395833333335</v>
      </c>
      <c r="Y93" s="350">
        <f>SUM(Y$85:Y92)</f>
        <v>0</v>
      </c>
      <c r="Z93" s="350">
        <f>SUM(Z$85:Z92)</f>
        <v>0</v>
      </c>
      <c r="AA93" s="350">
        <f>SUM(AA$85:AA92)</f>
        <v>0</v>
      </c>
      <c r="AB93" s="350">
        <f>SUM(AB$85:AB92)</f>
        <v>218279</v>
      </c>
      <c r="AC93" s="350">
        <f>SUM(AC$85:AC92)</f>
        <v>0</v>
      </c>
      <c r="AD93" s="350">
        <f>SUM(AD$85:AD92)</f>
        <v>218279</v>
      </c>
      <c r="AE93" s="350">
        <f>SUM(AE$85:AE92)</f>
        <v>0</v>
      </c>
      <c r="AF93" s="349">
        <f>SUM(AF$85:AF92)</f>
        <v>92</v>
      </c>
      <c r="AG93" s="328">
        <f>SUM(AG$85:AG92)</f>
        <v>205820</v>
      </c>
      <c r="AH93" s="328">
        <f>IFERROR(AG93/AF93,0)</f>
        <v>2237.1739130434785</v>
      </c>
      <c r="AI93" s="350">
        <f>SUM(AI$85:AI92)</f>
        <v>0</v>
      </c>
      <c r="AJ93" s="350">
        <f>SUM(AJ$85:AJ92)</f>
        <v>0</v>
      </c>
      <c r="AK93" s="350">
        <f>SUM(AK$85:AK92)</f>
        <v>0</v>
      </c>
      <c r="AL93" s="350">
        <f>SUM(AL$85:AL92)</f>
        <v>205820</v>
      </c>
      <c r="AM93" s="350">
        <f>SUM(AM$85:AM92)</f>
        <v>0</v>
      </c>
      <c r="AN93" s="350">
        <f>SUM(AN$85:AN92)</f>
        <v>203930</v>
      </c>
      <c r="AO93" s="350">
        <f>SUM(AO$85:AO92)</f>
        <v>0</v>
      </c>
      <c r="AP93" s="349">
        <f>SUM(AP$85:AP92)</f>
        <v>63</v>
      </c>
      <c r="AQ93" s="328">
        <f>SUM(AQ$85:AQ92)</f>
        <v>130718</v>
      </c>
      <c r="AR93" s="328">
        <f>IFERROR(AQ93/AP93,0)</f>
        <v>2074.8888888888887</v>
      </c>
      <c r="AS93" s="350">
        <f>SUM(AS$85:AS92)</f>
        <v>0</v>
      </c>
      <c r="AT93" s="350">
        <f>SUM(AT$85:AT92)</f>
        <v>0</v>
      </c>
      <c r="AU93" s="350">
        <f>SUM(AU$85:AU92)</f>
        <v>0</v>
      </c>
      <c r="AV93" s="350">
        <f>SUM(AV$85:AV92)</f>
        <v>130718</v>
      </c>
      <c r="AW93" s="350">
        <f>SUM(AW$85:AW92)</f>
        <v>0</v>
      </c>
      <c r="AX93" s="350">
        <f>SUM(AX$85:AX92)</f>
        <v>125707</v>
      </c>
      <c r="AY93" s="350">
        <f>SUM(AY$85:AY92)</f>
        <v>0</v>
      </c>
      <c r="AZ93" s="351">
        <f>SUM(AZ$85:AZ92)</f>
        <v>43</v>
      </c>
      <c r="BA93" s="328">
        <f>SUM(BA$85:BA92)</f>
        <v>82876</v>
      </c>
      <c r="BB93" s="328">
        <f>IFERROR(BA93/AZ93,0)</f>
        <v>1927.3488372093022</v>
      </c>
      <c r="BC93" s="350">
        <f>SUM(BC$85:BC92)</f>
        <v>0</v>
      </c>
      <c r="BD93" s="350">
        <f>SUM(BD$85:BD92)</f>
        <v>0</v>
      </c>
      <c r="BE93" s="350">
        <f>SUM(BE$85:BE92)</f>
        <v>0</v>
      </c>
      <c r="BF93" s="350">
        <f>SUM(BF$85:BF92)</f>
        <v>82876</v>
      </c>
      <c r="BG93" s="350">
        <f>SUM(BG$85:BG92)</f>
        <v>0</v>
      </c>
      <c r="BH93" s="350">
        <f>SUM(BH$85:BH92)</f>
        <v>81805</v>
      </c>
      <c r="BI93" s="331">
        <f>SUM(BI$85:BI92)</f>
        <v>0</v>
      </c>
      <c r="BJ93" s="351">
        <f>SUM(BJ$85:BJ92)</f>
        <v>0</v>
      </c>
      <c r="BK93" s="328">
        <f>SUM(BK$85:BK92)</f>
        <v>156369</v>
      </c>
      <c r="BL93" s="328">
        <f>IFERROR(BK93/BJ93,0)</f>
        <v>0</v>
      </c>
      <c r="BM93" s="350">
        <f>SUM(BM$85:BM92)</f>
        <v>0</v>
      </c>
      <c r="BN93" s="350">
        <f>SUM(BN$85:BN92)</f>
        <v>0</v>
      </c>
      <c r="BO93" s="350">
        <f>SUM(BO$85:BO92)</f>
        <v>0</v>
      </c>
      <c r="BP93" s="350">
        <f>SUM(BP$85:BP92)</f>
        <v>156369</v>
      </c>
      <c r="BQ93" s="350">
        <f>SUM(BQ$85:BQ92)</f>
        <v>0</v>
      </c>
      <c r="BR93" s="350">
        <f>SUM(BR$85:BR92)</f>
        <v>0</v>
      </c>
      <c r="BS93" s="331">
        <f>SUM(BS$85:BS92)</f>
        <v>0</v>
      </c>
      <c r="BT93" s="351">
        <f>SUM(BT$85:BT92)</f>
        <v>921</v>
      </c>
      <c r="BU93" s="328">
        <f>SUM(BU$85:BU92)</f>
        <v>600908</v>
      </c>
      <c r="BV93" s="328">
        <f>IFERROR(BU93/BT93,0)</f>
        <v>652.45168295331166</v>
      </c>
      <c r="BW93" s="350">
        <f>SUM(BW$85:BW92)</f>
        <v>0</v>
      </c>
      <c r="BX93" s="350">
        <f>SUM(BX$85:BX92)</f>
        <v>0</v>
      </c>
      <c r="BY93" s="350">
        <f>SUM(BY$85:BY92)</f>
        <v>0</v>
      </c>
      <c r="BZ93" s="350">
        <f>SUM(BZ$85:BZ92)</f>
        <v>600908</v>
      </c>
      <c r="CA93" s="350">
        <f>SUM(CA$85:CA92)</f>
        <v>0</v>
      </c>
      <c r="CB93" s="350">
        <f>SUM(CB$85:CB92)</f>
        <v>600908</v>
      </c>
      <c r="CC93" s="331">
        <f>SUM(CC$85:CC92)</f>
        <v>0</v>
      </c>
    </row>
    <row r="94" spans="1:81" s="340" customFormat="1" ht="15.95" customHeight="1" x14ac:dyDescent="0.2">
      <c r="A94" s="339"/>
      <c r="B94" s="327"/>
      <c r="C94" s="328"/>
      <c r="D94" s="328"/>
      <c r="E94" s="330"/>
      <c r="F94" s="330"/>
      <c r="G94" s="330"/>
      <c r="H94" s="330"/>
      <c r="I94" s="330"/>
      <c r="J94" s="330"/>
      <c r="K94" s="331"/>
      <c r="L94" s="327"/>
      <c r="M94" s="328"/>
      <c r="N94" s="328"/>
      <c r="O94" s="330"/>
      <c r="P94" s="330"/>
      <c r="Q94" s="330"/>
      <c r="R94" s="330"/>
      <c r="S94" s="330"/>
      <c r="T94" s="330"/>
      <c r="U94" s="331"/>
      <c r="V94" s="327"/>
      <c r="W94" s="328"/>
      <c r="X94" s="328"/>
      <c r="Y94" s="330"/>
      <c r="Z94" s="330"/>
      <c r="AA94" s="330"/>
      <c r="AB94" s="330"/>
      <c r="AC94" s="330"/>
      <c r="AD94" s="330"/>
      <c r="AE94" s="331"/>
      <c r="AF94" s="327"/>
      <c r="AG94" s="328"/>
      <c r="AH94" s="328"/>
      <c r="AI94" s="330"/>
      <c r="AJ94" s="330"/>
      <c r="AK94" s="330"/>
      <c r="AL94" s="330"/>
      <c r="AM94" s="330"/>
      <c r="AN94" s="330"/>
      <c r="AO94" s="331"/>
      <c r="AP94" s="327"/>
      <c r="AQ94" s="328"/>
      <c r="AR94" s="328"/>
      <c r="AS94" s="330"/>
      <c r="AT94" s="330"/>
      <c r="AU94" s="330"/>
      <c r="AV94" s="330"/>
      <c r="AW94" s="330"/>
      <c r="AX94" s="330"/>
      <c r="AY94" s="331"/>
      <c r="AZ94" s="334"/>
      <c r="BA94" s="328"/>
      <c r="BB94" s="328"/>
      <c r="BC94" s="330"/>
      <c r="BD94" s="330"/>
      <c r="BE94" s="330"/>
      <c r="BF94" s="330"/>
      <c r="BG94" s="330"/>
      <c r="BH94" s="330"/>
      <c r="BI94" s="331"/>
      <c r="BJ94" s="334"/>
      <c r="BK94" s="328"/>
      <c r="BL94" s="328"/>
      <c r="BM94" s="330"/>
      <c r="BN94" s="330"/>
      <c r="BO94" s="330"/>
      <c r="BP94" s="330"/>
      <c r="BQ94" s="330"/>
      <c r="BR94" s="330"/>
      <c r="BS94" s="331"/>
      <c r="BT94" s="334"/>
      <c r="BU94" s="328"/>
      <c r="BV94" s="328"/>
      <c r="BW94" s="330"/>
      <c r="BX94" s="330"/>
      <c r="BY94" s="330"/>
      <c r="BZ94" s="330"/>
      <c r="CA94" s="330"/>
      <c r="CB94" s="330"/>
      <c r="CC94" s="331"/>
    </row>
    <row r="95" spans="1:81" s="340" customFormat="1" ht="15.95" customHeight="1" x14ac:dyDescent="0.2">
      <c r="A95" s="341" t="s">
        <v>141</v>
      </c>
      <c r="B95" s="327"/>
      <c r="C95" s="328"/>
      <c r="D95" s="328"/>
      <c r="E95" s="330"/>
      <c r="F95" s="330"/>
      <c r="G95" s="330"/>
      <c r="H95" s="330"/>
      <c r="I95" s="330"/>
      <c r="J95" s="330"/>
      <c r="K95" s="331"/>
      <c r="L95" s="327"/>
      <c r="M95" s="328"/>
      <c r="N95" s="328"/>
      <c r="O95" s="330"/>
      <c r="P95" s="330"/>
      <c r="Q95" s="330"/>
      <c r="R95" s="330"/>
      <c r="S95" s="330"/>
      <c r="T95" s="330"/>
      <c r="U95" s="331"/>
      <c r="V95" s="327"/>
      <c r="W95" s="328"/>
      <c r="X95" s="328"/>
      <c r="Y95" s="330"/>
      <c r="Z95" s="330"/>
      <c r="AA95" s="330"/>
      <c r="AB95" s="330"/>
      <c r="AC95" s="330"/>
      <c r="AD95" s="330"/>
      <c r="AE95" s="331"/>
      <c r="AF95" s="327"/>
      <c r="AG95" s="328"/>
      <c r="AH95" s="328"/>
      <c r="AI95" s="330"/>
      <c r="AJ95" s="330"/>
      <c r="AK95" s="330"/>
      <c r="AL95" s="330"/>
      <c r="AM95" s="330"/>
      <c r="AN95" s="330"/>
      <c r="AO95" s="331"/>
      <c r="AP95" s="327"/>
      <c r="AQ95" s="328"/>
      <c r="AR95" s="328"/>
      <c r="AS95" s="330"/>
      <c r="AT95" s="330"/>
      <c r="AU95" s="330"/>
      <c r="AV95" s="330"/>
      <c r="AW95" s="330"/>
      <c r="AX95" s="330"/>
      <c r="AY95" s="331"/>
      <c r="AZ95" s="334"/>
      <c r="BA95" s="328"/>
      <c r="BB95" s="328"/>
      <c r="BC95" s="330"/>
      <c r="BD95" s="330"/>
      <c r="BE95" s="330"/>
      <c r="BF95" s="330"/>
      <c r="BG95" s="330"/>
      <c r="BH95" s="330"/>
      <c r="BI95" s="331"/>
      <c r="BJ95" s="334"/>
      <c r="BK95" s="328"/>
      <c r="BL95" s="328"/>
      <c r="BM95" s="330"/>
      <c r="BN95" s="330"/>
      <c r="BO95" s="330"/>
      <c r="BP95" s="330"/>
      <c r="BQ95" s="330"/>
      <c r="BR95" s="330"/>
      <c r="BS95" s="331"/>
      <c r="BT95" s="334"/>
      <c r="BU95" s="328"/>
      <c r="BV95" s="328"/>
      <c r="BW95" s="330"/>
      <c r="BX95" s="330"/>
      <c r="BY95" s="330"/>
      <c r="BZ95" s="330"/>
      <c r="CA95" s="330"/>
      <c r="CB95" s="330"/>
      <c r="CC95" s="331"/>
    </row>
    <row r="96" spans="1:81" s="340" customFormat="1" ht="15.95" customHeight="1" x14ac:dyDescent="0.2">
      <c r="A96" s="346"/>
      <c r="B96" s="327"/>
      <c r="C96" s="328">
        <f t="shared" ref="C96" si="155">SUM(E96:I96)</f>
        <v>0</v>
      </c>
      <c r="D96" s="328">
        <f t="shared" ref="D96:D98" si="156">IFERROR(C96/B96,0)</f>
        <v>0</v>
      </c>
      <c r="E96" s="330"/>
      <c r="F96" s="330"/>
      <c r="G96" s="330"/>
      <c r="H96" s="330"/>
      <c r="I96" s="330"/>
      <c r="J96" s="330"/>
      <c r="K96" s="331">
        <f t="shared" ref="K96:K98" si="157">IF(J96=0,0,(IF(E96&lt;=J96,E96,J96)))</f>
        <v>0</v>
      </c>
      <c r="L96" s="327"/>
      <c r="M96" s="328">
        <f t="shared" ref="M96:M98" si="158">SUM(O96:S96)</f>
        <v>0</v>
      </c>
      <c r="N96" s="328">
        <f t="shared" ref="N96:N98" si="159">IFERROR(M96/L96,0)</f>
        <v>0</v>
      </c>
      <c r="O96" s="330"/>
      <c r="P96" s="330"/>
      <c r="Q96" s="330"/>
      <c r="R96" s="330"/>
      <c r="S96" s="330"/>
      <c r="T96" s="330"/>
      <c r="U96" s="331">
        <f t="shared" ref="U96:U98" si="160">IF(T96=0,0,(IF(O96&lt;=T96,O96,T96)))</f>
        <v>0</v>
      </c>
      <c r="V96" s="327"/>
      <c r="W96" s="328">
        <f t="shared" ref="W96:W98" si="161">SUM(Y96:AC96)</f>
        <v>0</v>
      </c>
      <c r="X96" s="328">
        <f t="shared" ref="X96:X98" si="162">IFERROR(W96/V96,0)</f>
        <v>0</v>
      </c>
      <c r="Y96" s="330"/>
      <c r="Z96" s="330"/>
      <c r="AA96" s="330"/>
      <c r="AB96" s="330"/>
      <c r="AC96" s="330"/>
      <c r="AD96" s="330"/>
      <c r="AE96" s="331">
        <f t="shared" ref="AE96:AE98" si="163">IF(AD96=0,0,(IF(Y96&lt;=AD96,Y96,AD96)))</f>
        <v>0</v>
      </c>
      <c r="AF96" s="327"/>
      <c r="AG96" s="328">
        <f t="shared" ref="AG96:AG98" si="164">SUM(AI96:AM96)</f>
        <v>0</v>
      </c>
      <c r="AH96" s="328">
        <f t="shared" ref="AH96:AH98" si="165">IFERROR(AG96/AF96,0)</f>
        <v>0</v>
      </c>
      <c r="AI96" s="330"/>
      <c r="AJ96" s="330"/>
      <c r="AK96" s="330"/>
      <c r="AL96" s="330"/>
      <c r="AM96" s="330"/>
      <c r="AN96" s="330"/>
      <c r="AO96" s="331">
        <f t="shared" ref="AO96:AO98" si="166">IF(AN96=0,0,(IF(AI96&lt;=AN96,AI96,AN96)))</f>
        <v>0</v>
      </c>
      <c r="AP96" s="327"/>
      <c r="AQ96" s="328">
        <f t="shared" ref="AQ96:AQ98" si="167">SUM(AS96:AW96)</f>
        <v>0</v>
      </c>
      <c r="AR96" s="328">
        <f t="shared" ref="AR96:AR98" si="168">IFERROR(AQ96/AP96,0)</f>
        <v>0</v>
      </c>
      <c r="AS96" s="330"/>
      <c r="AT96" s="330"/>
      <c r="AU96" s="330"/>
      <c r="AV96" s="330"/>
      <c r="AW96" s="330"/>
      <c r="AX96" s="330"/>
      <c r="AY96" s="331">
        <f t="shared" ref="AY96:AY98" si="169">IF(AX96=0,0,(IF(AS96&lt;=AX96,AS96,AX96)))</f>
        <v>0</v>
      </c>
      <c r="AZ96" s="334"/>
      <c r="BA96" s="328">
        <f t="shared" ref="BA96:BA98" si="170">SUM(BC96:BG96)</f>
        <v>0</v>
      </c>
      <c r="BB96" s="328">
        <f t="shared" ref="BB96:BB98" si="171">IFERROR(BA96/AZ96,0)</f>
        <v>0</v>
      </c>
      <c r="BC96" s="330"/>
      <c r="BD96" s="330"/>
      <c r="BE96" s="330"/>
      <c r="BF96" s="330"/>
      <c r="BG96" s="330"/>
      <c r="BH96" s="330"/>
      <c r="BI96" s="331">
        <f t="shared" ref="BI96:BI98" si="172">IF(BH96=0,0,(IF(BC96&lt;=BH96,BC96,BH96)))</f>
        <v>0</v>
      </c>
      <c r="BJ96" s="334"/>
      <c r="BK96" s="328">
        <f t="shared" ref="BK96:BK98" si="173">SUM(BM96:BQ96)</f>
        <v>0</v>
      </c>
      <c r="BL96" s="328">
        <f t="shared" ref="BL96:BL98" si="174">IFERROR(BK96/BJ96,0)</f>
        <v>0</v>
      </c>
      <c r="BM96" s="330"/>
      <c r="BN96" s="330"/>
      <c r="BO96" s="330"/>
      <c r="BP96" s="330"/>
      <c r="BQ96" s="330"/>
      <c r="BR96" s="330"/>
      <c r="BS96" s="331">
        <f t="shared" ref="BS96:BS98" si="175">IF(BR96=0,0,(IF(BM96&lt;=BR96,BM96,BR96)))</f>
        <v>0</v>
      </c>
      <c r="BT96" s="344"/>
      <c r="BU96" s="328">
        <f t="shared" ref="BU96:BU98" si="176">SUM(BW96:CA96)</f>
        <v>0</v>
      </c>
      <c r="BV96" s="328">
        <f t="shared" ref="BV96:BV98" si="177">IFERROR(BU96/BT96,0)</f>
        <v>0</v>
      </c>
      <c r="BW96" s="345"/>
      <c r="BX96" s="345"/>
      <c r="BY96" s="345"/>
      <c r="BZ96" s="345"/>
      <c r="CA96" s="345"/>
      <c r="CB96" s="345"/>
      <c r="CC96" s="402">
        <f t="shared" ref="CC96:CC98" si="178">IF(CB96=0,0,(IF(BW96&lt;=CB96,BW96,CB96)))</f>
        <v>0</v>
      </c>
    </row>
    <row r="97" spans="1:81" s="340" customFormat="1" ht="15.95" customHeight="1" x14ac:dyDescent="0.2">
      <c r="A97" s="346"/>
      <c r="B97" s="327"/>
      <c r="C97" s="328">
        <f t="shared" ref="C97:C98" si="179">SUM(E97:I97)</f>
        <v>0</v>
      </c>
      <c r="D97" s="328">
        <f t="shared" si="156"/>
        <v>0</v>
      </c>
      <c r="E97" s="330"/>
      <c r="F97" s="330"/>
      <c r="G97" s="330"/>
      <c r="H97" s="330"/>
      <c r="I97" s="330"/>
      <c r="J97" s="330"/>
      <c r="K97" s="331">
        <f t="shared" si="157"/>
        <v>0</v>
      </c>
      <c r="L97" s="327"/>
      <c r="M97" s="328">
        <f t="shared" si="158"/>
        <v>0</v>
      </c>
      <c r="N97" s="328">
        <f t="shared" si="159"/>
        <v>0</v>
      </c>
      <c r="O97" s="330"/>
      <c r="P97" s="330"/>
      <c r="Q97" s="330"/>
      <c r="R97" s="330"/>
      <c r="S97" s="330"/>
      <c r="T97" s="330"/>
      <c r="U97" s="331">
        <f t="shared" si="160"/>
        <v>0</v>
      </c>
      <c r="V97" s="327"/>
      <c r="W97" s="328">
        <f t="shared" si="161"/>
        <v>0</v>
      </c>
      <c r="X97" s="328">
        <f t="shared" si="162"/>
        <v>0</v>
      </c>
      <c r="Y97" s="330"/>
      <c r="Z97" s="330"/>
      <c r="AA97" s="330"/>
      <c r="AB97" s="330"/>
      <c r="AC97" s="330"/>
      <c r="AD97" s="330"/>
      <c r="AE97" s="331">
        <f t="shared" si="163"/>
        <v>0</v>
      </c>
      <c r="AF97" s="327"/>
      <c r="AG97" s="328">
        <f t="shared" si="164"/>
        <v>0</v>
      </c>
      <c r="AH97" s="328">
        <f t="shared" si="165"/>
        <v>0</v>
      </c>
      <c r="AI97" s="330"/>
      <c r="AJ97" s="330"/>
      <c r="AK97" s="330"/>
      <c r="AL97" s="330"/>
      <c r="AM97" s="330"/>
      <c r="AN97" s="330"/>
      <c r="AO97" s="331">
        <f t="shared" si="166"/>
        <v>0</v>
      </c>
      <c r="AP97" s="327"/>
      <c r="AQ97" s="328">
        <f t="shared" si="167"/>
        <v>0</v>
      </c>
      <c r="AR97" s="328">
        <f t="shared" si="168"/>
        <v>0</v>
      </c>
      <c r="AS97" s="330"/>
      <c r="AT97" s="330"/>
      <c r="AU97" s="330"/>
      <c r="AV97" s="330"/>
      <c r="AW97" s="330"/>
      <c r="AX97" s="330"/>
      <c r="AY97" s="331">
        <f t="shared" si="169"/>
        <v>0</v>
      </c>
      <c r="AZ97" s="334"/>
      <c r="BA97" s="328">
        <f t="shared" si="170"/>
        <v>0</v>
      </c>
      <c r="BB97" s="328">
        <f t="shared" si="171"/>
        <v>0</v>
      </c>
      <c r="BC97" s="330"/>
      <c r="BD97" s="330"/>
      <c r="BE97" s="330"/>
      <c r="BF97" s="330"/>
      <c r="BG97" s="330"/>
      <c r="BH97" s="330"/>
      <c r="BI97" s="331">
        <f t="shared" si="172"/>
        <v>0</v>
      </c>
      <c r="BJ97" s="334"/>
      <c r="BK97" s="328">
        <f t="shared" si="173"/>
        <v>0</v>
      </c>
      <c r="BL97" s="328">
        <f t="shared" si="174"/>
        <v>0</v>
      </c>
      <c r="BM97" s="330"/>
      <c r="BN97" s="330"/>
      <c r="BO97" s="330"/>
      <c r="BP97" s="330"/>
      <c r="BQ97" s="330"/>
      <c r="BR97" s="330"/>
      <c r="BS97" s="331">
        <f t="shared" si="175"/>
        <v>0</v>
      </c>
      <c r="BT97" s="344"/>
      <c r="BU97" s="328">
        <f t="shared" si="176"/>
        <v>0</v>
      </c>
      <c r="BV97" s="328">
        <f t="shared" si="177"/>
        <v>0</v>
      </c>
      <c r="BW97" s="345"/>
      <c r="BX97" s="345"/>
      <c r="BY97" s="345"/>
      <c r="BZ97" s="345"/>
      <c r="CA97" s="345"/>
      <c r="CB97" s="345"/>
      <c r="CC97" s="402">
        <f t="shared" si="178"/>
        <v>0</v>
      </c>
    </row>
    <row r="98" spans="1:81" s="340" customFormat="1" ht="15.95" customHeight="1" x14ac:dyDescent="0.2">
      <c r="A98" s="346"/>
      <c r="B98" s="327"/>
      <c r="C98" s="328">
        <f t="shared" si="179"/>
        <v>0</v>
      </c>
      <c r="D98" s="328">
        <f t="shared" si="156"/>
        <v>0</v>
      </c>
      <c r="E98" s="330"/>
      <c r="F98" s="330"/>
      <c r="G98" s="330"/>
      <c r="H98" s="330"/>
      <c r="I98" s="330"/>
      <c r="J98" s="330"/>
      <c r="K98" s="331">
        <f t="shared" si="157"/>
        <v>0</v>
      </c>
      <c r="L98" s="327"/>
      <c r="M98" s="328">
        <f t="shared" si="158"/>
        <v>0</v>
      </c>
      <c r="N98" s="328">
        <f t="shared" si="159"/>
        <v>0</v>
      </c>
      <c r="O98" s="330"/>
      <c r="P98" s="330"/>
      <c r="Q98" s="330"/>
      <c r="R98" s="330"/>
      <c r="S98" s="330"/>
      <c r="T98" s="330"/>
      <c r="U98" s="331">
        <f t="shared" si="160"/>
        <v>0</v>
      </c>
      <c r="V98" s="327"/>
      <c r="W98" s="328">
        <f t="shared" si="161"/>
        <v>0</v>
      </c>
      <c r="X98" s="328">
        <f t="shared" si="162"/>
        <v>0</v>
      </c>
      <c r="Y98" s="330"/>
      <c r="Z98" s="330"/>
      <c r="AA98" s="330"/>
      <c r="AB98" s="330"/>
      <c r="AC98" s="330"/>
      <c r="AD98" s="330"/>
      <c r="AE98" s="331">
        <f t="shared" si="163"/>
        <v>0</v>
      </c>
      <c r="AF98" s="327"/>
      <c r="AG98" s="328">
        <f t="shared" si="164"/>
        <v>0</v>
      </c>
      <c r="AH98" s="328">
        <f t="shared" si="165"/>
        <v>0</v>
      </c>
      <c r="AI98" s="330"/>
      <c r="AJ98" s="330"/>
      <c r="AK98" s="330"/>
      <c r="AL98" s="330"/>
      <c r="AM98" s="330"/>
      <c r="AN98" s="330"/>
      <c r="AO98" s="331">
        <f t="shared" si="166"/>
        <v>0</v>
      </c>
      <c r="AP98" s="327"/>
      <c r="AQ98" s="328">
        <f t="shared" si="167"/>
        <v>0</v>
      </c>
      <c r="AR98" s="328">
        <f t="shared" si="168"/>
        <v>0</v>
      </c>
      <c r="AS98" s="330"/>
      <c r="AT98" s="330"/>
      <c r="AU98" s="330"/>
      <c r="AV98" s="330"/>
      <c r="AW98" s="330"/>
      <c r="AX98" s="330"/>
      <c r="AY98" s="331">
        <f t="shared" si="169"/>
        <v>0</v>
      </c>
      <c r="AZ98" s="334"/>
      <c r="BA98" s="328">
        <f t="shared" si="170"/>
        <v>0</v>
      </c>
      <c r="BB98" s="328">
        <f t="shared" si="171"/>
        <v>0</v>
      </c>
      <c r="BC98" s="330"/>
      <c r="BD98" s="330"/>
      <c r="BE98" s="330"/>
      <c r="BF98" s="330"/>
      <c r="BG98" s="330"/>
      <c r="BH98" s="330"/>
      <c r="BI98" s="331">
        <f t="shared" si="172"/>
        <v>0</v>
      </c>
      <c r="BJ98" s="334"/>
      <c r="BK98" s="328">
        <f t="shared" si="173"/>
        <v>0</v>
      </c>
      <c r="BL98" s="328">
        <f t="shared" si="174"/>
        <v>0</v>
      </c>
      <c r="BM98" s="330"/>
      <c r="BN98" s="330"/>
      <c r="BO98" s="330"/>
      <c r="BP98" s="330"/>
      <c r="BQ98" s="330"/>
      <c r="BR98" s="330"/>
      <c r="BS98" s="331">
        <f t="shared" si="175"/>
        <v>0</v>
      </c>
      <c r="BT98" s="344"/>
      <c r="BU98" s="328">
        <f t="shared" si="176"/>
        <v>0</v>
      </c>
      <c r="BV98" s="328">
        <f t="shared" si="177"/>
        <v>0</v>
      </c>
      <c r="BW98" s="345"/>
      <c r="BX98" s="345"/>
      <c r="BY98" s="345"/>
      <c r="BZ98" s="345"/>
      <c r="CA98" s="345"/>
      <c r="CB98" s="345"/>
      <c r="CC98" s="402">
        <f t="shared" si="178"/>
        <v>0</v>
      </c>
    </row>
    <row r="99" spans="1:81" s="340" customFormat="1" ht="15.95" customHeight="1" x14ac:dyDescent="0.2">
      <c r="A99" s="347" t="s">
        <v>139</v>
      </c>
      <c r="B99" s="327"/>
      <c r="C99" s="328"/>
      <c r="D99" s="328"/>
      <c r="E99" s="330"/>
      <c r="F99" s="330"/>
      <c r="G99" s="330"/>
      <c r="H99" s="330"/>
      <c r="I99" s="330"/>
      <c r="J99" s="330"/>
      <c r="K99" s="331"/>
      <c r="L99" s="327"/>
      <c r="M99" s="328"/>
      <c r="N99" s="328"/>
      <c r="O99" s="330"/>
      <c r="P99" s="330"/>
      <c r="Q99" s="330"/>
      <c r="R99" s="330"/>
      <c r="S99" s="330"/>
      <c r="T99" s="330"/>
      <c r="U99" s="331"/>
      <c r="V99" s="327"/>
      <c r="W99" s="328"/>
      <c r="X99" s="328"/>
      <c r="Y99" s="330"/>
      <c r="Z99" s="330"/>
      <c r="AA99" s="330"/>
      <c r="AB99" s="330"/>
      <c r="AC99" s="330"/>
      <c r="AD99" s="330"/>
      <c r="AE99" s="331"/>
      <c r="AF99" s="327"/>
      <c r="AG99" s="328"/>
      <c r="AH99" s="328"/>
      <c r="AI99" s="330"/>
      <c r="AJ99" s="330"/>
      <c r="AK99" s="330"/>
      <c r="AL99" s="330"/>
      <c r="AM99" s="330"/>
      <c r="AN99" s="330"/>
      <c r="AO99" s="331"/>
      <c r="AP99" s="327"/>
      <c r="AQ99" s="328"/>
      <c r="AR99" s="328"/>
      <c r="AS99" s="330"/>
      <c r="AT99" s="330"/>
      <c r="AU99" s="330"/>
      <c r="AV99" s="330"/>
      <c r="AW99" s="330"/>
      <c r="AX99" s="330"/>
      <c r="AY99" s="331"/>
      <c r="AZ99" s="334"/>
      <c r="BA99" s="328"/>
      <c r="BB99" s="328"/>
      <c r="BC99" s="330"/>
      <c r="BD99" s="330"/>
      <c r="BE99" s="330"/>
      <c r="BF99" s="330"/>
      <c r="BG99" s="330"/>
      <c r="BH99" s="330"/>
      <c r="BI99" s="331"/>
      <c r="BJ99" s="334"/>
      <c r="BK99" s="328"/>
      <c r="BL99" s="328"/>
      <c r="BM99" s="330"/>
      <c r="BN99" s="330"/>
      <c r="BO99" s="330"/>
      <c r="BP99" s="330"/>
      <c r="BQ99" s="330"/>
      <c r="BR99" s="330"/>
      <c r="BS99" s="331"/>
      <c r="BT99" s="334"/>
      <c r="BU99" s="328"/>
      <c r="BV99" s="328"/>
      <c r="BW99" s="330"/>
      <c r="BX99" s="330"/>
      <c r="BY99" s="330"/>
      <c r="BZ99" s="330"/>
      <c r="CA99" s="330"/>
      <c r="CB99" s="330"/>
      <c r="CC99" s="331"/>
    </row>
    <row r="100" spans="1:81" s="340" customFormat="1" ht="15.95" customHeight="1" x14ac:dyDescent="0.2">
      <c r="A100" s="348" t="s">
        <v>145</v>
      </c>
      <c r="B100" s="349">
        <f>SUM(B$95:B99)</f>
        <v>0</v>
      </c>
      <c r="C100" s="328">
        <f>SUM(C$95:C99)</f>
        <v>0</v>
      </c>
      <c r="D100" s="328">
        <f>IFERROR(C100/B100,0)</f>
        <v>0</v>
      </c>
      <c r="E100" s="350">
        <f>SUM(E$95:E99)</f>
        <v>0</v>
      </c>
      <c r="F100" s="350">
        <f>SUM(F$95:F99)</f>
        <v>0</v>
      </c>
      <c r="G100" s="350">
        <f>SUM(G$95:G99)</f>
        <v>0</v>
      </c>
      <c r="H100" s="350">
        <f>SUM(H$95:H99)</f>
        <v>0</v>
      </c>
      <c r="I100" s="350">
        <f>SUM(I$95:I99)</f>
        <v>0</v>
      </c>
      <c r="J100" s="350">
        <f>SUM(J$95:J99)</f>
        <v>0</v>
      </c>
      <c r="K100" s="350">
        <f>SUM(K$95:K99)</f>
        <v>0</v>
      </c>
      <c r="L100" s="349">
        <f>SUM(L$95:L99)</f>
        <v>0</v>
      </c>
      <c r="M100" s="328">
        <f>SUM(M$95:M99)</f>
        <v>0</v>
      </c>
      <c r="N100" s="328">
        <f>IFERROR(M100/L100,0)</f>
        <v>0</v>
      </c>
      <c r="O100" s="350">
        <f>SUM(O$95:O99)</f>
        <v>0</v>
      </c>
      <c r="P100" s="350">
        <f>SUM(P$95:P99)</f>
        <v>0</v>
      </c>
      <c r="Q100" s="350">
        <f>SUM(Q$95:Q99)</f>
        <v>0</v>
      </c>
      <c r="R100" s="350">
        <f>SUM(R$95:R99)</f>
        <v>0</v>
      </c>
      <c r="S100" s="350">
        <f>SUM(S$95:S99)</f>
        <v>0</v>
      </c>
      <c r="T100" s="350">
        <f>SUM(T$95:T99)</f>
        <v>0</v>
      </c>
      <c r="U100" s="350">
        <f>SUM(U$95:U99)</f>
        <v>0</v>
      </c>
      <c r="V100" s="349">
        <f>SUM(V$95:V99)</f>
        <v>0</v>
      </c>
      <c r="W100" s="328">
        <f>SUM(W$95:W99)</f>
        <v>0</v>
      </c>
      <c r="X100" s="328">
        <f>IFERROR(W100/V100,0)</f>
        <v>0</v>
      </c>
      <c r="Y100" s="350">
        <f>SUM(Y$95:Y99)</f>
        <v>0</v>
      </c>
      <c r="Z100" s="350">
        <f>SUM(Z$95:Z99)</f>
        <v>0</v>
      </c>
      <c r="AA100" s="350">
        <f>SUM(AA$95:AA99)</f>
        <v>0</v>
      </c>
      <c r="AB100" s="350">
        <f>SUM(AB$95:AB99)</f>
        <v>0</v>
      </c>
      <c r="AC100" s="350">
        <f>SUM(AC$95:AC99)</f>
        <v>0</v>
      </c>
      <c r="AD100" s="350">
        <f>SUM(AD$95:AD99)</f>
        <v>0</v>
      </c>
      <c r="AE100" s="350">
        <f>SUM(AE$95:AE99)</f>
        <v>0</v>
      </c>
      <c r="AF100" s="349">
        <f>SUM(AF$95:AF99)</f>
        <v>0</v>
      </c>
      <c r="AG100" s="328">
        <f>SUM(AG$95:AG99)</f>
        <v>0</v>
      </c>
      <c r="AH100" s="328">
        <f>IFERROR(AG100/AF100,0)</f>
        <v>0</v>
      </c>
      <c r="AI100" s="350">
        <f>SUM(AI$95:AI99)</f>
        <v>0</v>
      </c>
      <c r="AJ100" s="350">
        <f>SUM(AJ$95:AJ99)</f>
        <v>0</v>
      </c>
      <c r="AK100" s="350">
        <f>SUM(AK$95:AK99)</f>
        <v>0</v>
      </c>
      <c r="AL100" s="350">
        <f>SUM(AL$95:AL99)</f>
        <v>0</v>
      </c>
      <c r="AM100" s="350">
        <f>SUM(AM$95:AM99)</f>
        <v>0</v>
      </c>
      <c r="AN100" s="350">
        <f>SUM(AN$95:AN99)</f>
        <v>0</v>
      </c>
      <c r="AO100" s="350">
        <f>SUM(AO$95:AO99)</f>
        <v>0</v>
      </c>
      <c r="AP100" s="349">
        <f>SUM(AP$95:AP99)</f>
        <v>0</v>
      </c>
      <c r="AQ100" s="328">
        <f>SUM(AQ$95:AQ99)</f>
        <v>0</v>
      </c>
      <c r="AR100" s="328">
        <f>IFERROR(AQ100/AP100,0)</f>
        <v>0</v>
      </c>
      <c r="AS100" s="350">
        <f>SUM(AS$95:AS99)</f>
        <v>0</v>
      </c>
      <c r="AT100" s="350">
        <f>SUM(AT$95:AT99)</f>
        <v>0</v>
      </c>
      <c r="AU100" s="350">
        <f>SUM(AU$95:AU99)</f>
        <v>0</v>
      </c>
      <c r="AV100" s="350">
        <f>SUM(AV$95:AV99)</f>
        <v>0</v>
      </c>
      <c r="AW100" s="350">
        <f>SUM(AW$95:AW99)</f>
        <v>0</v>
      </c>
      <c r="AX100" s="350">
        <f>SUM(AX$95:AX99)</f>
        <v>0</v>
      </c>
      <c r="AY100" s="350">
        <f>SUM(AY$95:AY99)</f>
        <v>0</v>
      </c>
      <c r="AZ100" s="351">
        <f>SUM(AZ$95:AZ99)</f>
        <v>0</v>
      </c>
      <c r="BA100" s="328">
        <f>SUM(BA$95:BA99)</f>
        <v>0</v>
      </c>
      <c r="BB100" s="328">
        <f>IFERROR(BA100/AZ100,0)</f>
        <v>0</v>
      </c>
      <c r="BC100" s="350">
        <f>SUM(BC$95:BC99)</f>
        <v>0</v>
      </c>
      <c r="BD100" s="350">
        <f>SUM(BD$95:BD99)</f>
        <v>0</v>
      </c>
      <c r="BE100" s="350">
        <f>SUM(BE$95:BE99)</f>
        <v>0</v>
      </c>
      <c r="BF100" s="350">
        <f>SUM(BF$95:BF99)</f>
        <v>0</v>
      </c>
      <c r="BG100" s="350">
        <f>SUM(BG$95:BG99)</f>
        <v>0</v>
      </c>
      <c r="BH100" s="350">
        <f>SUM(BH$95:BH99)</f>
        <v>0</v>
      </c>
      <c r="BI100" s="331">
        <f>SUM(BI$95:BI99)</f>
        <v>0</v>
      </c>
      <c r="BJ100" s="351">
        <f>SUM(BJ$95:BJ99)</f>
        <v>0</v>
      </c>
      <c r="BK100" s="328">
        <f>SUM(BK$95:BK99)</f>
        <v>0</v>
      </c>
      <c r="BL100" s="328">
        <f>IFERROR(BK100/BJ100,0)</f>
        <v>0</v>
      </c>
      <c r="BM100" s="350">
        <f>SUM(BM$95:BM99)</f>
        <v>0</v>
      </c>
      <c r="BN100" s="350">
        <f>SUM(BN$95:BN99)</f>
        <v>0</v>
      </c>
      <c r="BO100" s="350">
        <f>SUM(BO$95:BO99)</f>
        <v>0</v>
      </c>
      <c r="BP100" s="350">
        <f>SUM(BP$95:BP99)</f>
        <v>0</v>
      </c>
      <c r="BQ100" s="350">
        <f>SUM(BQ$95:BQ99)</f>
        <v>0</v>
      </c>
      <c r="BR100" s="350">
        <f>SUM(BR$95:BR99)</f>
        <v>0</v>
      </c>
      <c r="BS100" s="331">
        <f>SUM(BS$95:BS99)</f>
        <v>0</v>
      </c>
      <c r="BT100" s="351">
        <f>SUM(BT$95:BT99)</f>
        <v>0</v>
      </c>
      <c r="BU100" s="328">
        <f>SUM(BU$95:BU99)</f>
        <v>0</v>
      </c>
      <c r="BV100" s="328">
        <f>IFERROR(BU100/BT100,0)</f>
        <v>0</v>
      </c>
      <c r="BW100" s="350">
        <f>SUM(BW$95:BW99)</f>
        <v>0</v>
      </c>
      <c r="BX100" s="350">
        <f>SUM(BX$95:BX99)</f>
        <v>0</v>
      </c>
      <c r="BY100" s="350">
        <f>SUM(BY$95:BY99)</f>
        <v>0</v>
      </c>
      <c r="BZ100" s="350">
        <f>SUM(BZ$95:BZ99)</f>
        <v>0</v>
      </c>
      <c r="CA100" s="350">
        <f>SUM(CA$95:CA99)</f>
        <v>0</v>
      </c>
      <c r="CB100" s="350">
        <f>SUM(CB$95:CB99)</f>
        <v>0</v>
      </c>
      <c r="CC100" s="331">
        <f>SUM(CC$95:CC99)</f>
        <v>0</v>
      </c>
    </row>
    <row r="101" spans="1:81" s="340" customFormat="1" ht="15.95" customHeight="1" x14ac:dyDescent="0.2">
      <c r="A101" s="339"/>
      <c r="B101" s="327"/>
      <c r="C101" s="328"/>
      <c r="D101" s="328"/>
      <c r="E101" s="330"/>
      <c r="F101" s="330"/>
      <c r="G101" s="330"/>
      <c r="H101" s="330"/>
      <c r="I101" s="330"/>
      <c r="J101" s="330"/>
      <c r="K101" s="350"/>
      <c r="L101" s="327"/>
      <c r="M101" s="328"/>
      <c r="N101" s="328"/>
      <c r="O101" s="330"/>
      <c r="P101" s="330"/>
      <c r="Q101" s="330"/>
      <c r="R101" s="330"/>
      <c r="S101" s="330"/>
      <c r="T101" s="330"/>
      <c r="U101" s="350"/>
      <c r="V101" s="327"/>
      <c r="W101" s="328"/>
      <c r="X101" s="328"/>
      <c r="Y101" s="330"/>
      <c r="Z101" s="330"/>
      <c r="AA101" s="330"/>
      <c r="AB101" s="330"/>
      <c r="AC101" s="330"/>
      <c r="AD101" s="330"/>
      <c r="AE101" s="350"/>
      <c r="AF101" s="327"/>
      <c r="AG101" s="328"/>
      <c r="AH101" s="328"/>
      <c r="AI101" s="330"/>
      <c r="AJ101" s="330"/>
      <c r="AK101" s="330"/>
      <c r="AL101" s="330"/>
      <c r="AM101" s="330"/>
      <c r="AN101" s="330"/>
      <c r="AO101" s="350"/>
      <c r="AP101" s="327"/>
      <c r="AQ101" s="328"/>
      <c r="AR101" s="328"/>
      <c r="AS101" s="330"/>
      <c r="AT101" s="330"/>
      <c r="AU101" s="330"/>
      <c r="AV101" s="330"/>
      <c r="AW101" s="330"/>
      <c r="AX101" s="330"/>
      <c r="AY101" s="350"/>
      <c r="AZ101" s="334"/>
      <c r="BA101" s="328"/>
      <c r="BB101" s="328"/>
      <c r="BC101" s="330"/>
      <c r="BD101" s="330"/>
      <c r="BE101" s="330"/>
      <c r="BF101" s="330"/>
      <c r="BG101" s="330"/>
      <c r="BH101" s="330"/>
      <c r="BI101" s="331"/>
      <c r="BJ101" s="334"/>
      <c r="BK101" s="328"/>
      <c r="BL101" s="328"/>
      <c r="BM101" s="330"/>
      <c r="BN101" s="330"/>
      <c r="BO101" s="330"/>
      <c r="BP101" s="330"/>
      <c r="BQ101" s="330"/>
      <c r="BR101" s="330"/>
      <c r="BS101" s="331"/>
      <c r="BT101" s="334"/>
      <c r="BU101" s="328"/>
      <c r="BV101" s="328"/>
      <c r="BW101" s="330"/>
      <c r="BX101" s="330"/>
      <c r="BY101" s="330"/>
      <c r="BZ101" s="330"/>
      <c r="CA101" s="330"/>
      <c r="CB101" s="330"/>
      <c r="CC101" s="331"/>
    </row>
    <row r="102" spans="1:81" s="340" customFormat="1" ht="15.95" customHeight="1" x14ac:dyDescent="0.2">
      <c r="A102" s="348" t="s">
        <v>160</v>
      </c>
      <c r="B102" s="349">
        <f>SUM(B100,B93)</f>
        <v>76</v>
      </c>
      <c r="C102" s="328">
        <f>SUM(C100,C93)</f>
        <v>203886</v>
      </c>
      <c r="D102" s="328">
        <f>IFERROR(C102/B102,0)</f>
        <v>2682.7105263157896</v>
      </c>
      <c r="E102" s="350">
        <f t="shared" ref="E102:M102" si="180">SUM(E100,E93)</f>
        <v>0</v>
      </c>
      <c r="F102" s="350">
        <f t="shared" si="180"/>
        <v>0</v>
      </c>
      <c r="G102" s="350">
        <f t="shared" si="180"/>
        <v>0</v>
      </c>
      <c r="H102" s="350">
        <f t="shared" si="180"/>
        <v>203886</v>
      </c>
      <c r="I102" s="350">
        <f t="shared" si="180"/>
        <v>0</v>
      </c>
      <c r="J102" s="350">
        <f t="shared" si="180"/>
        <v>201651</v>
      </c>
      <c r="K102" s="350">
        <f t="shared" si="180"/>
        <v>0</v>
      </c>
      <c r="L102" s="349">
        <f t="shared" si="180"/>
        <v>112</v>
      </c>
      <c r="M102" s="328">
        <f t="shared" si="180"/>
        <v>210073</v>
      </c>
      <c r="N102" s="328">
        <f>IFERROR(M102/L102,0)</f>
        <v>1875.6517857142858</v>
      </c>
      <c r="O102" s="350">
        <f t="shared" ref="O102:W102" si="181">SUM(O100,O93)</f>
        <v>0</v>
      </c>
      <c r="P102" s="350">
        <f t="shared" si="181"/>
        <v>0</v>
      </c>
      <c r="Q102" s="350">
        <f t="shared" si="181"/>
        <v>0</v>
      </c>
      <c r="R102" s="350">
        <f t="shared" si="181"/>
        <v>210073</v>
      </c>
      <c r="S102" s="350">
        <f t="shared" si="181"/>
        <v>0</v>
      </c>
      <c r="T102" s="350">
        <f t="shared" si="181"/>
        <v>210073</v>
      </c>
      <c r="U102" s="350">
        <f t="shared" si="181"/>
        <v>0</v>
      </c>
      <c r="V102" s="349">
        <f t="shared" si="181"/>
        <v>96</v>
      </c>
      <c r="W102" s="328">
        <f t="shared" si="181"/>
        <v>218279</v>
      </c>
      <c r="X102" s="328">
        <f>IFERROR(W102/V102,0)</f>
        <v>2273.7395833333335</v>
      </c>
      <c r="Y102" s="350">
        <f t="shared" ref="Y102:AG102" si="182">SUM(Y100,Y93)</f>
        <v>0</v>
      </c>
      <c r="Z102" s="350">
        <f t="shared" si="182"/>
        <v>0</v>
      </c>
      <c r="AA102" s="350">
        <f t="shared" si="182"/>
        <v>0</v>
      </c>
      <c r="AB102" s="350">
        <f t="shared" si="182"/>
        <v>218279</v>
      </c>
      <c r="AC102" s="350">
        <f t="shared" si="182"/>
        <v>0</v>
      </c>
      <c r="AD102" s="350">
        <f t="shared" si="182"/>
        <v>218279</v>
      </c>
      <c r="AE102" s="350">
        <f t="shared" si="182"/>
        <v>0</v>
      </c>
      <c r="AF102" s="349">
        <f t="shared" si="182"/>
        <v>92</v>
      </c>
      <c r="AG102" s="328">
        <f t="shared" si="182"/>
        <v>205820</v>
      </c>
      <c r="AH102" s="328">
        <f>IFERROR(AG102/AF102,0)</f>
        <v>2237.1739130434785</v>
      </c>
      <c r="AI102" s="350">
        <f t="shared" ref="AI102:AQ102" si="183">SUM(AI100,AI93)</f>
        <v>0</v>
      </c>
      <c r="AJ102" s="350">
        <f t="shared" si="183"/>
        <v>0</v>
      </c>
      <c r="AK102" s="350">
        <f t="shared" si="183"/>
        <v>0</v>
      </c>
      <c r="AL102" s="350">
        <f t="shared" si="183"/>
        <v>205820</v>
      </c>
      <c r="AM102" s="350">
        <f t="shared" si="183"/>
        <v>0</v>
      </c>
      <c r="AN102" s="350">
        <f t="shared" si="183"/>
        <v>203930</v>
      </c>
      <c r="AO102" s="350">
        <f t="shared" si="183"/>
        <v>0</v>
      </c>
      <c r="AP102" s="349">
        <f t="shared" si="183"/>
        <v>63</v>
      </c>
      <c r="AQ102" s="328">
        <f t="shared" si="183"/>
        <v>130718</v>
      </c>
      <c r="AR102" s="328">
        <f>IFERROR(AQ102/AP102,0)</f>
        <v>2074.8888888888887</v>
      </c>
      <c r="AS102" s="350">
        <f t="shared" ref="AS102:BA102" si="184">SUM(AS100,AS93)</f>
        <v>0</v>
      </c>
      <c r="AT102" s="350">
        <f t="shared" si="184"/>
        <v>0</v>
      </c>
      <c r="AU102" s="350">
        <f t="shared" si="184"/>
        <v>0</v>
      </c>
      <c r="AV102" s="350">
        <f t="shared" si="184"/>
        <v>130718</v>
      </c>
      <c r="AW102" s="350">
        <f t="shared" si="184"/>
        <v>0</v>
      </c>
      <c r="AX102" s="350">
        <f t="shared" si="184"/>
        <v>125707</v>
      </c>
      <c r="AY102" s="350">
        <f t="shared" si="184"/>
        <v>0</v>
      </c>
      <c r="AZ102" s="351">
        <f t="shared" si="184"/>
        <v>43</v>
      </c>
      <c r="BA102" s="328">
        <f t="shared" si="184"/>
        <v>82876</v>
      </c>
      <c r="BB102" s="328">
        <f>IFERROR(BA102/AZ102,0)</f>
        <v>1927.3488372093022</v>
      </c>
      <c r="BC102" s="350">
        <f t="shared" ref="BC102:BK102" si="185">SUM(BC100,BC93)</f>
        <v>0</v>
      </c>
      <c r="BD102" s="350">
        <f t="shared" si="185"/>
        <v>0</v>
      </c>
      <c r="BE102" s="350">
        <f t="shared" si="185"/>
        <v>0</v>
      </c>
      <c r="BF102" s="350">
        <f t="shared" si="185"/>
        <v>82876</v>
      </c>
      <c r="BG102" s="350">
        <f t="shared" si="185"/>
        <v>0</v>
      </c>
      <c r="BH102" s="350">
        <f t="shared" si="185"/>
        <v>81805</v>
      </c>
      <c r="BI102" s="331">
        <f t="shared" si="185"/>
        <v>0</v>
      </c>
      <c r="BJ102" s="351">
        <f t="shared" si="185"/>
        <v>0</v>
      </c>
      <c r="BK102" s="328">
        <f t="shared" si="185"/>
        <v>156369</v>
      </c>
      <c r="BL102" s="328">
        <f>IFERROR(BK102/BJ102,0)</f>
        <v>0</v>
      </c>
      <c r="BM102" s="350">
        <f t="shared" ref="BM102:BU102" si="186">SUM(BM100,BM93)</f>
        <v>0</v>
      </c>
      <c r="BN102" s="350">
        <f t="shared" si="186"/>
        <v>0</v>
      </c>
      <c r="BO102" s="350">
        <f t="shared" si="186"/>
        <v>0</v>
      </c>
      <c r="BP102" s="350">
        <f t="shared" si="186"/>
        <v>156369</v>
      </c>
      <c r="BQ102" s="350">
        <f t="shared" si="186"/>
        <v>0</v>
      </c>
      <c r="BR102" s="350">
        <f t="shared" si="186"/>
        <v>0</v>
      </c>
      <c r="BS102" s="331">
        <f t="shared" si="186"/>
        <v>0</v>
      </c>
      <c r="BT102" s="351">
        <f t="shared" si="186"/>
        <v>921</v>
      </c>
      <c r="BU102" s="328">
        <f t="shared" si="186"/>
        <v>600908</v>
      </c>
      <c r="BV102" s="328">
        <f>IFERROR(BU102/BT102,0)</f>
        <v>652.45168295331166</v>
      </c>
      <c r="BW102" s="350">
        <f t="shared" ref="BW102:CC102" si="187">SUM(BW100,BW93)</f>
        <v>0</v>
      </c>
      <c r="BX102" s="350">
        <f t="shared" si="187"/>
        <v>0</v>
      </c>
      <c r="BY102" s="350">
        <f t="shared" si="187"/>
        <v>0</v>
      </c>
      <c r="BZ102" s="350">
        <f t="shared" si="187"/>
        <v>600908</v>
      </c>
      <c r="CA102" s="350">
        <f t="shared" si="187"/>
        <v>0</v>
      </c>
      <c r="CB102" s="350">
        <f t="shared" si="187"/>
        <v>600908</v>
      </c>
      <c r="CC102" s="331">
        <f t="shared" si="187"/>
        <v>0</v>
      </c>
    </row>
    <row r="103" spans="1:81" s="340" customFormat="1" ht="15.95" customHeight="1" x14ac:dyDescent="0.2">
      <c r="A103" s="339"/>
      <c r="B103" s="327"/>
      <c r="C103" s="328"/>
      <c r="D103" s="328"/>
      <c r="E103" s="330"/>
      <c r="F103" s="330"/>
      <c r="G103" s="330"/>
      <c r="H103" s="330"/>
      <c r="I103" s="330"/>
      <c r="J103" s="330"/>
      <c r="K103" s="331"/>
      <c r="L103" s="327"/>
      <c r="M103" s="328"/>
      <c r="N103" s="328"/>
      <c r="O103" s="330"/>
      <c r="P103" s="330"/>
      <c r="Q103" s="330"/>
      <c r="R103" s="330"/>
      <c r="S103" s="330"/>
      <c r="T103" s="330"/>
      <c r="U103" s="331"/>
      <c r="V103" s="327"/>
      <c r="W103" s="328"/>
      <c r="X103" s="328"/>
      <c r="Y103" s="330"/>
      <c r="Z103" s="330"/>
      <c r="AA103" s="330"/>
      <c r="AB103" s="330"/>
      <c r="AC103" s="330"/>
      <c r="AD103" s="330"/>
      <c r="AE103" s="331"/>
      <c r="AF103" s="327"/>
      <c r="AG103" s="328"/>
      <c r="AH103" s="328"/>
      <c r="AI103" s="330"/>
      <c r="AJ103" s="330"/>
      <c r="AK103" s="330"/>
      <c r="AL103" s="330"/>
      <c r="AM103" s="330"/>
      <c r="AN103" s="330"/>
      <c r="AO103" s="331"/>
      <c r="AP103" s="327"/>
      <c r="AQ103" s="328"/>
      <c r="AR103" s="328"/>
      <c r="AS103" s="330"/>
      <c r="AT103" s="330"/>
      <c r="AU103" s="330"/>
      <c r="AV103" s="330"/>
      <c r="AW103" s="330"/>
      <c r="AX103" s="330"/>
      <c r="AY103" s="331"/>
      <c r="AZ103" s="334"/>
      <c r="BA103" s="328"/>
      <c r="BB103" s="328"/>
      <c r="BC103" s="330"/>
      <c r="BD103" s="330"/>
      <c r="BE103" s="330"/>
      <c r="BF103" s="330"/>
      <c r="BG103" s="330"/>
      <c r="BH103" s="330"/>
      <c r="BI103" s="331"/>
      <c r="BJ103" s="334"/>
      <c r="BK103" s="328"/>
      <c r="BL103" s="328"/>
      <c r="BM103" s="330"/>
      <c r="BN103" s="330"/>
      <c r="BO103" s="330"/>
      <c r="BP103" s="330"/>
      <c r="BQ103" s="330"/>
      <c r="BR103" s="330"/>
      <c r="BS103" s="331"/>
      <c r="BT103" s="334"/>
      <c r="BU103" s="328"/>
      <c r="BV103" s="328"/>
      <c r="BW103" s="330"/>
      <c r="BX103" s="330"/>
      <c r="BY103" s="330"/>
      <c r="BZ103" s="330"/>
      <c r="CA103" s="330"/>
      <c r="CB103" s="330"/>
      <c r="CC103" s="331"/>
    </row>
    <row r="104" spans="1:81" ht="15.95" customHeight="1" x14ac:dyDescent="0.3">
      <c r="A104" s="335" t="s">
        <v>144</v>
      </c>
      <c r="B104" s="327"/>
      <c r="C104" s="328"/>
      <c r="D104" s="328"/>
      <c r="E104" s="330"/>
      <c r="F104" s="330"/>
      <c r="G104" s="330"/>
      <c r="H104" s="330"/>
      <c r="I104" s="330"/>
      <c r="J104" s="330"/>
      <c r="K104" s="331"/>
      <c r="L104" s="332"/>
      <c r="M104" s="333"/>
      <c r="N104" s="328"/>
      <c r="O104" s="330"/>
      <c r="P104" s="330"/>
      <c r="Q104" s="330"/>
      <c r="R104" s="330"/>
      <c r="S104" s="330"/>
      <c r="T104" s="330"/>
      <c r="U104" s="331"/>
      <c r="V104" s="327"/>
      <c r="W104" s="328"/>
      <c r="X104" s="328"/>
      <c r="Y104" s="330"/>
      <c r="Z104" s="330"/>
      <c r="AA104" s="330"/>
      <c r="AB104" s="330"/>
      <c r="AC104" s="330"/>
      <c r="AD104" s="330"/>
      <c r="AE104" s="331"/>
      <c r="AF104" s="327"/>
      <c r="AG104" s="328"/>
      <c r="AH104" s="328"/>
      <c r="AI104" s="330"/>
      <c r="AJ104" s="330"/>
      <c r="AK104" s="330"/>
      <c r="AL104" s="330"/>
      <c r="AM104" s="330"/>
      <c r="AN104" s="330"/>
      <c r="AO104" s="331"/>
      <c r="AP104" s="327"/>
      <c r="AQ104" s="328"/>
      <c r="AR104" s="328"/>
      <c r="AS104" s="330"/>
      <c r="AT104" s="330"/>
      <c r="AU104" s="330"/>
      <c r="AV104" s="330"/>
      <c r="AW104" s="330"/>
      <c r="AX104" s="330"/>
      <c r="AY104" s="331"/>
      <c r="AZ104" s="334"/>
      <c r="BA104" s="328"/>
      <c r="BB104" s="328"/>
      <c r="BC104" s="330"/>
      <c r="BD104" s="330"/>
      <c r="BE104" s="330"/>
      <c r="BF104" s="330"/>
      <c r="BG104" s="330"/>
      <c r="BH104" s="330"/>
      <c r="BI104" s="331"/>
      <c r="BJ104" s="334"/>
      <c r="BK104" s="328"/>
      <c r="BL104" s="328"/>
      <c r="BM104" s="330"/>
      <c r="BN104" s="330"/>
      <c r="BO104" s="330"/>
      <c r="BP104" s="330"/>
      <c r="BQ104" s="330"/>
      <c r="BR104" s="330"/>
      <c r="BS104" s="331"/>
      <c r="BT104" s="334"/>
      <c r="BU104" s="328"/>
      <c r="BV104" s="328"/>
      <c r="BW104" s="330"/>
      <c r="BX104" s="330"/>
      <c r="BY104" s="330"/>
      <c r="BZ104" s="330"/>
      <c r="CA104" s="330"/>
      <c r="CB104" s="330"/>
      <c r="CC104" s="331"/>
    </row>
    <row r="105" spans="1:81" s="340" customFormat="1" ht="15.95" customHeight="1" x14ac:dyDescent="0.2">
      <c r="A105" s="342" t="s">
        <v>161</v>
      </c>
      <c r="B105" s="327">
        <v>1767</v>
      </c>
      <c r="C105" s="328">
        <f>SUM(E105:I105)</f>
        <v>4185562</v>
      </c>
      <c r="D105" s="328">
        <f>IFERROR(C105/B105,0)</f>
        <v>2368.7391058290887</v>
      </c>
      <c r="E105" s="330"/>
      <c r="F105" s="330"/>
      <c r="G105" s="330"/>
      <c r="H105" s="330">
        <v>4185562</v>
      </c>
      <c r="I105" s="330"/>
      <c r="J105" s="330">
        <v>3909691</v>
      </c>
      <c r="K105" s="331">
        <f t="shared" ref="K105:K112" si="188">IF(J105=0,0,(IF(E105&lt;=J105,E105,J105)))</f>
        <v>0</v>
      </c>
      <c r="L105" s="327">
        <v>1752</v>
      </c>
      <c r="M105" s="328">
        <f>SUM(O105:S105)</f>
        <v>4212362</v>
      </c>
      <c r="N105" s="328">
        <f>IFERROR(M105/L105,0)</f>
        <v>2404.316210045662</v>
      </c>
      <c r="O105" s="330"/>
      <c r="P105" s="330"/>
      <c r="Q105" s="330"/>
      <c r="R105" s="330">
        <v>4212362</v>
      </c>
      <c r="S105" s="330"/>
      <c r="T105" s="330">
        <v>3846646</v>
      </c>
      <c r="U105" s="331">
        <f t="shared" ref="U105:U112" si="189">IF(T105=0,0,(IF(O105&lt;=T105,O105,T105)))</f>
        <v>0</v>
      </c>
      <c r="V105" s="327">
        <v>1804</v>
      </c>
      <c r="W105" s="328">
        <f>SUM(Y105:AC105)</f>
        <v>4046296</v>
      </c>
      <c r="X105" s="328">
        <f>IFERROR(W105/V105,0)</f>
        <v>2242.9578713968958</v>
      </c>
      <c r="Y105" s="330"/>
      <c r="Z105" s="330"/>
      <c r="AA105" s="330"/>
      <c r="AB105" s="330">
        <f>3613340+432956</f>
        <v>4046296</v>
      </c>
      <c r="AC105" s="330"/>
      <c r="AD105" s="330">
        <v>3671757</v>
      </c>
      <c r="AE105" s="331">
        <f t="shared" ref="AE105:AE112" si="190">IF(AD105=0,0,(IF(Y105&lt;=AD105,Y105,AD105)))</f>
        <v>0</v>
      </c>
      <c r="AF105" s="327">
        <v>1678</v>
      </c>
      <c r="AG105" s="328">
        <f>SUM(AI105:AM105)</f>
        <v>3781484</v>
      </c>
      <c r="AH105" s="328">
        <f>IFERROR(AG105/AF105,0)</f>
        <v>2253.5661501787845</v>
      </c>
      <c r="AI105" s="330"/>
      <c r="AJ105" s="330"/>
      <c r="AK105" s="330"/>
      <c r="AL105" s="330">
        <f>3837253-434310+378541</f>
        <v>3781484</v>
      </c>
      <c r="AM105" s="330"/>
      <c r="AN105" s="330">
        <v>3379346</v>
      </c>
      <c r="AO105" s="331">
        <f t="shared" ref="AO105:AO112" si="191">IF(AN105=0,0,(IF(AI105&lt;=AN105,AI105,AN105)))</f>
        <v>0</v>
      </c>
      <c r="AP105" s="327">
        <v>1770</v>
      </c>
      <c r="AQ105" s="328">
        <f>SUM(AS105:AW105)</f>
        <v>3001679</v>
      </c>
      <c r="AR105" s="328">
        <f>IFERROR(AQ105/AP105,0)</f>
        <v>1695.8638418079097</v>
      </c>
      <c r="AS105" s="330"/>
      <c r="AT105" s="330"/>
      <c r="AU105" s="330"/>
      <c r="AV105" s="330">
        <f>2702879+298800</f>
        <v>3001679</v>
      </c>
      <c r="AW105" s="330"/>
      <c r="AX105" s="330">
        <v>2788122</v>
      </c>
      <c r="AY105" s="331">
        <f t="shared" ref="AY105:AY112" si="192">IF(AX105=0,0,(IF(AS105&lt;=AX105,AS105,AX105)))</f>
        <v>0</v>
      </c>
      <c r="AZ105" s="334">
        <v>1325</v>
      </c>
      <c r="BA105" s="328">
        <f>SUM(BC105:BG105)</f>
        <v>2441698</v>
      </c>
      <c r="BB105" s="328">
        <f>IFERROR(BA105/AZ105,0)</f>
        <v>1842.7909433962263</v>
      </c>
      <c r="BC105" s="330"/>
      <c r="BD105" s="330"/>
      <c r="BE105" s="330"/>
      <c r="BF105" s="330">
        <f>2219850+221848</f>
        <v>2441698</v>
      </c>
      <c r="BG105" s="330"/>
      <c r="BH105" s="330">
        <v>2191287</v>
      </c>
      <c r="BI105" s="331">
        <f t="shared" ref="BI105:BI112" si="193">IF(BH105=0,0,(IF(BC105&lt;=BH105,BC105,BH105)))</f>
        <v>0</v>
      </c>
      <c r="BJ105" s="334">
        <v>1189</v>
      </c>
      <c r="BK105" s="328">
        <f t="shared" ref="BK105:BK112" si="194">SUM(BM105:BQ105)</f>
        <v>2256657</v>
      </c>
      <c r="BL105" s="328">
        <f t="shared" ref="BL105:BL112" si="195">IFERROR(BK105/BJ105,0)</f>
        <v>1897.9453322119427</v>
      </c>
      <c r="BM105" s="330"/>
      <c r="BN105" s="330"/>
      <c r="BO105" s="330"/>
      <c r="BP105" s="330">
        <v>2256657</v>
      </c>
      <c r="BQ105" s="330"/>
      <c r="BR105" s="330">
        <v>2064914</v>
      </c>
      <c r="BS105" s="331">
        <f t="shared" ref="BS105:BS112" si="196">IF(BR105=0,0,(IF(BM105&lt;=BR105,BM105,BR105)))</f>
        <v>0</v>
      </c>
      <c r="BT105" s="344">
        <v>1236</v>
      </c>
      <c r="BU105" s="328">
        <f t="shared" ref="BU105:BU112" si="197">SUM(BW105:CA105)</f>
        <v>2544515</v>
      </c>
      <c r="BV105" s="328">
        <f t="shared" ref="BV105:BV112" si="198">IFERROR(BU105/BT105,0)</f>
        <v>2058.6690938511329</v>
      </c>
      <c r="BW105" s="345"/>
      <c r="BX105" s="345"/>
      <c r="BY105" s="345"/>
      <c r="BZ105" s="345">
        <v>2544515</v>
      </c>
      <c r="CA105" s="345"/>
      <c r="CB105" s="345">
        <v>2328313</v>
      </c>
      <c r="CC105" s="402">
        <f t="shared" ref="CC105:CC112" si="199">IF(CB105=0,0,(IF(BW105&lt;=CB105,BW105,CB105)))</f>
        <v>0</v>
      </c>
    </row>
    <row r="106" spans="1:81" s="340" customFormat="1" ht="15.95" customHeight="1" x14ac:dyDescent="0.2">
      <c r="A106" s="342" t="s">
        <v>162</v>
      </c>
      <c r="B106" s="327">
        <v>3</v>
      </c>
      <c r="C106" s="328">
        <f>SUM(E106:I106)</f>
        <v>11812</v>
      </c>
      <c r="D106" s="328">
        <f>IFERROR(C106/B106,0)</f>
        <v>3937.3333333333335</v>
      </c>
      <c r="E106" s="330"/>
      <c r="F106" s="330"/>
      <c r="G106" s="330"/>
      <c r="H106" s="330">
        <v>11812</v>
      </c>
      <c r="I106" s="330"/>
      <c r="J106" s="330">
        <v>6656</v>
      </c>
      <c r="K106" s="331">
        <f t="shared" si="188"/>
        <v>0</v>
      </c>
      <c r="L106" s="327">
        <v>4</v>
      </c>
      <c r="M106" s="328">
        <f>SUM(O106:S106)</f>
        <v>10699</v>
      </c>
      <c r="N106" s="328">
        <f>IFERROR(M106/L106,0)</f>
        <v>2674.75</v>
      </c>
      <c r="O106" s="330"/>
      <c r="P106" s="330"/>
      <c r="Q106" s="330"/>
      <c r="R106" s="330">
        <v>10699</v>
      </c>
      <c r="S106" s="330"/>
      <c r="T106" s="330">
        <v>9803</v>
      </c>
      <c r="U106" s="331">
        <f t="shared" si="189"/>
        <v>0</v>
      </c>
      <c r="V106" s="327">
        <v>5</v>
      </c>
      <c r="W106" s="328">
        <f>SUM(Y106:AC106)</f>
        <v>9071</v>
      </c>
      <c r="X106" s="328">
        <f>IFERROR(W106/V106,0)</f>
        <v>1814.2</v>
      </c>
      <c r="Y106" s="330"/>
      <c r="Z106" s="330"/>
      <c r="AA106" s="330"/>
      <c r="AB106" s="330">
        <f>9071</f>
        <v>9071</v>
      </c>
      <c r="AC106" s="330"/>
      <c r="AD106" s="330">
        <v>4817</v>
      </c>
      <c r="AE106" s="331">
        <f t="shared" si="190"/>
        <v>0</v>
      </c>
      <c r="AF106" s="327">
        <v>2</v>
      </c>
      <c r="AG106" s="328">
        <f>SUM(AI106:AM106)</f>
        <v>6703</v>
      </c>
      <c r="AH106" s="328">
        <f>IFERROR(AG106/AF106,0)</f>
        <v>3351.5</v>
      </c>
      <c r="AI106" s="330"/>
      <c r="AJ106" s="330"/>
      <c r="AK106" s="330"/>
      <c r="AL106" s="330">
        <f>6703-960+960</f>
        <v>6703</v>
      </c>
      <c r="AM106" s="330"/>
      <c r="AN106" s="330">
        <v>5743</v>
      </c>
      <c r="AO106" s="331">
        <f t="shared" si="191"/>
        <v>0</v>
      </c>
      <c r="AP106" s="327">
        <v>6</v>
      </c>
      <c r="AQ106" s="328">
        <f>SUM(AS106:AW106)</f>
        <v>35154</v>
      </c>
      <c r="AR106" s="328">
        <f>IFERROR(AQ106/AP106,0)</f>
        <v>5859</v>
      </c>
      <c r="AS106" s="330"/>
      <c r="AT106" s="330"/>
      <c r="AU106" s="330"/>
      <c r="AV106" s="330">
        <f>35154</f>
        <v>35154</v>
      </c>
      <c r="AW106" s="330"/>
      <c r="AX106" s="330">
        <v>25134</v>
      </c>
      <c r="AY106" s="331">
        <f t="shared" si="192"/>
        <v>0</v>
      </c>
      <c r="AZ106" s="334">
        <v>8</v>
      </c>
      <c r="BA106" s="328">
        <f>SUM(BC106:BG106)</f>
        <v>26192</v>
      </c>
      <c r="BB106" s="328">
        <f>IFERROR(BA106/AZ106,0)</f>
        <v>3274</v>
      </c>
      <c r="BC106" s="330"/>
      <c r="BD106" s="330"/>
      <c r="BE106" s="330"/>
      <c r="BF106" s="330">
        <f>23344+2848</f>
        <v>26192</v>
      </c>
      <c r="BG106" s="330"/>
      <c r="BH106" s="330">
        <v>24572</v>
      </c>
      <c r="BI106" s="331">
        <f t="shared" si="193"/>
        <v>0</v>
      </c>
      <c r="BJ106" s="334">
        <v>8</v>
      </c>
      <c r="BK106" s="328">
        <f t="shared" si="194"/>
        <v>24153</v>
      </c>
      <c r="BL106" s="328">
        <f t="shared" si="195"/>
        <v>3019.125</v>
      </c>
      <c r="BM106" s="330"/>
      <c r="BN106" s="330"/>
      <c r="BO106" s="330"/>
      <c r="BP106" s="330">
        <v>24153</v>
      </c>
      <c r="BQ106" s="330"/>
      <c r="BR106" s="330">
        <v>24553</v>
      </c>
      <c r="BS106" s="331">
        <f t="shared" si="196"/>
        <v>0</v>
      </c>
      <c r="BT106" s="344">
        <v>9</v>
      </c>
      <c r="BU106" s="328">
        <f t="shared" si="197"/>
        <v>23664</v>
      </c>
      <c r="BV106" s="328">
        <f t="shared" si="198"/>
        <v>2629.3333333333335</v>
      </c>
      <c r="BW106" s="345"/>
      <c r="BX106" s="345"/>
      <c r="BY106" s="345"/>
      <c r="BZ106" s="345">
        <v>23664</v>
      </c>
      <c r="CA106" s="345"/>
      <c r="CB106" s="345">
        <v>24056</v>
      </c>
      <c r="CC106" s="402">
        <f t="shared" si="199"/>
        <v>0</v>
      </c>
    </row>
    <row r="107" spans="1:81" s="340" customFormat="1" ht="15.95" customHeight="1" x14ac:dyDescent="0.2">
      <c r="A107" s="342" t="s">
        <v>163</v>
      </c>
      <c r="B107" s="327">
        <v>8</v>
      </c>
      <c r="C107" s="328">
        <f>SUM(E107:I107)</f>
        <v>102</v>
      </c>
      <c r="D107" s="328">
        <f>IFERROR(C107/B107,0)</f>
        <v>12.75</v>
      </c>
      <c r="E107" s="330">
        <v>154</v>
      </c>
      <c r="F107" s="330"/>
      <c r="G107" s="330"/>
      <c r="H107" s="330"/>
      <c r="I107" s="330">
        <v>-52</v>
      </c>
      <c r="J107" s="330">
        <v>102</v>
      </c>
      <c r="K107" s="331">
        <f t="shared" si="188"/>
        <v>102</v>
      </c>
      <c r="L107" s="327">
        <v>7</v>
      </c>
      <c r="M107" s="328">
        <f>SUM(O107:S107)</f>
        <v>285</v>
      </c>
      <c r="N107" s="328">
        <f>IFERROR(M107/L107,0)</f>
        <v>40.714285714285715</v>
      </c>
      <c r="O107" s="330">
        <v>303</v>
      </c>
      <c r="P107" s="330"/>
      <c r="Q107" s="330"/>
      <c r="R107" s="330"/>
      <c r="S107" s="330">
        <v>-18</v>
      </c>
      <c r="T107" s="330">
        <v>285</v>
      </c>
      <c r="U107" s="331">
        <f t="shared" si="189"/>
        <v>285</v>
      </c>
      <c r="V107" s="327">
        <v>1</v>
      </c>
      <c r="W107" s="328">
        <f>SUM(Y107:AC107)</f>
        <v>27</v>
      </c>
      <c r="X107" s="328">
        <f>IFERROR(W107/V107,0)</f>
        <v>27</v>
      </c>
      <c r="Y107" s="330">
        <v>27</v>
      </c>
      <c r="Z107" s="330"/>
      <c r="AA107" s="330"/>
      <c r="AB107" s="330"/>
      <c r="AC107" s="330"/>
      <c r="AD107" s="330">
        <v>27</v>
      </c>
      <c r="AE107" s="331">
        <f t="shared" si="190"/>
        <v>27</v>
      </c>
      <c r="AF107" s="327"/>
      <c r="AG107" s="328">
        <f>SUM(AI107:AM107)</f>
        <v>0</v>
      </c>
      <c r="AH107" s="328">
        <f>IFERROR(AG107/AF107,0)</f>
        <v>0</v>
      </c>
      <c r="AI107" s="330"/>
      <c r="AJ107" s="330"/>
      <c r="AK107" s="330"/>
      <c r="AL107" s="330"/>
      <c r="AM107" s="330"/>
      <c r="AN107" s="330"/>
      <c r="AO107" s="331">
        <f t="shared" si="191"/>
        <v>0</v>
      </c>
      <c r="AP107" s="327"/>
      <c r="AQ107" s="328">
        <f>SUM(AS107:AW107)</f>
        <v>0</v>
      </c>
      <c r="AR107" s="328">
        <f>IFERROR(AQ107/AP107,0)</f>
        <v>0</v>
      </c>
      <c r="AS107" s="330"/>
      <c r="AT107" s="330"/>
      <c r="AU107" s="330"/>
      <c r="AV107" s="330"/>
      <c r="AW107" s="330"/>
      <c r="AX107" s="330"/>
      <c r="AY107" s="331">
        <f t="shared" si="192"/>
        <v>0</v>
      </c>
      <c r="AZ107" s="334"/>
      <c r="BA107" s="328">
        <f>SUM(BC107:BG107)</f>
        <v>0</v>
      </c>
      <c r="BB107" s="328">
        <f>IFERROR(BA107/AZ107,0)</f>
        <v>0</v>
      </c>
      <c r="BC107" s="330"/>
      <c r="BD107" s="330"/>
      <c r="BE107" s="330"/>
      <c r="BF107" s="330"/>
      <c r="BG107" s="330"/>
      <c r="BH107" s="330"/>
      <c r="BI107" s="331">
        <f t="shared" si="193"/>
        <v>0</v>
      </c>
      <c r="BJ107" s="334"/>
      <c r="BK107" s="328">
        <f t="shared" si="194"/>
        <v>0</v>
      </c>
      <c r="BL107" s="328">
        <f t="shared" si="195"/>
        <v>0</v>
      </c>
      <c r="BM107" s="330"/>
      <c r="BN107" s="330"/>
      <c r="BO107" s="330"/>
      <c r="BP107" s="330"/>
      <c r="BQ107" s="330"/>
      <c r="BR107" s="330"/>
      <c r="BS107" s="331">
        <f t="shared" si="196"/>
        <v>0</v>
      </c>
      <c r="BT107" s="344"/>
      <c r="BU107" s="328">
        <f t="shared" si="197"/>
        <v>0</v>
      </c>
      <c r="BV107" s="328">
        <f t="shared" si="198"/>
        <v>0</v>
      </c>
      <c r="BW107" s="345"/>
      <c r="BX107" s="345"/>
      <c r="BY107" s="345"/>
      <c r="BZ107" s="345"/>
      <c r="CA107" s="345"/>
      <c r="CB107" s="345"/>
      <c r="CC107" s="402">
        <f t="shared" si="199"/>
        <v>0</v>
      </c>
    </row>
    <row r="108" spans="1:81" s="340" customFormat="1" ht="15.95" customHeight="1" x14ac:dyDescent="0.2">
      <c r="A108" s="346"/>
      <c r="B108" s="327"/>
      <c r="C108" s="328">
        <f t="shared" ref="C108:C110" si="200">SUM(E108:I108)</f>
        <v>0</v>
      </c>
      <c r="D108" s="328">
        <f t="shared" ref="D108:D112" si="201">IFERROR(C108/B108,0)</f>
        <v>0</v>
      </c>
      <c r="E108" s="330"/>
      <c r="F108" s="330"/>
      <c r="G108" s="330"/>
      <c r="H108" s="330"/>
      <c r="I108" s="330"/>
      <c r="J108" s="330"/>
      <c r="K108" s="331">
        <f t="shared" si="188"/>
        <v>0</v>
      </c>
      <c r="L108" s="327"/>
      <c r="M108" s="328">
        <f t="shared" ref="M108:M110" si="202">SUM(O108:S108)</f>
        <v>0</v>
      </c>
      <c r="N108" s="328">
        <f t="shared" ref="N108:N112" si="203">IFERROR(M108/L108,0)</f>
        <v>0</v>
      </c>
      <c r="O108" s="330"/>
      <c r="P108" s="330"/>
      <c r="Q108" s="330"/>
      <c r="R108" s="330"/>
      <c r="S108" s="330"/>
      <c r="T108" s="330"/>
      <c r="U108" s="331">
        <f t="shared" si="189"/>
        <v>0</v>
      </c>
      <c r="V108" s="327"/>
      <c r="W108" s="328">
        <f t="shared" ref="W108:W110" si="204">SUM(Y108:AC108)</f>
        <v>0</v>
      </c>
      <c r="X108" s="328">
        <f t="shared" ref="X108:X112" si="205">IFERROR(W108/V108,0)</f>
        <v>0</v>
      </c>
      <c r="Y108" s="330"/>
      <c r="Z108" s="330"/>
      <c r="AA108" s="330"/>
      <c r="AB108" s="330"/>
      <c r="AC108" s="330"/>
      <c r="AD108" s="330"/>
      <c r="AE108" s="331">
        <f t="shared" si="190"/>
        <v>0</v>
      </c>
      <c r="AF108" s="327"/>
      <c r="AG108" s="328">
        <f t="shared" ref="AG108:AG110" si="206">SUM(AI108:AM108)</f>
        <v>0</v>
      </c>
      <c r="AH108" s="328">
        <f t="shared" ref="AH108:AH112" si="207">IFERROR(AG108/AF108,0)</f>
        <v>0</v>
      </c>
      <c r="AI108" s="330"/>
      <c r="AJ108" s="330"/>
      <c r="AK108" s="330"/>
      <c r="AL108" s="330"/>
      <c r="AM108" s="330"/>
      <c r="AN108" s="330"/>
      <c r="AO108" s="331">
        <f t="shared" si="191"/>
        <v>0</v>
      </c>
      <c r="AP108" s="327"/>
      <c r="AQ108" s="328">
        <f t="shared" ref="AQ108:AQ110" si="208">SUM(AS108:AW108)</f>
        <v>0</v>
      </c>
      <c r="AR108" s="328">
        <f t="shared" ref="AR108:AR112" si="209">IFERROR(AQ108/AP108,0)</f>
        <v>0</v>
      </c>
      <c r="AS108" s="330"/>
      <c r="AT108" s="330"/>
      <c r="AU108" s="330"/>
      <c r="AV108" s="330"/>
      <c r="AW108" s="330"/>
      <c r="AX108" s="330"/>
      <c r="AY108" s="331">
        <f t="shared" si="192"/>
        <v>0</v>
      </c>
      <c r="AZ108" s="334"/>
      <c r="BA108" s="328">
        <f t="shared" ref="BA108:BA110" si="210">SUM(BC108:BG108)</f>
        <v>0</v>
      </c>
      <c r="BB108" s="328">
        <f t="shared" ref="BB108:BB112" si="211">IFERROR(BA108/AZ108,0)</f>
        <v>0</v>
      </c>
      <c r="BC108" s="330"/>
      <c r="BD108" s="330"/>
      <c r="BE108" s="330"/>
      <c r="BF108" s="330"/>
      <c r="BG108" s="330"/>
      <c r="BH108" s="330"/>
      <c r="BI108" s="331">
        <f t="shared" si="193"/>
        <v>0</v>
      </c>
      <c r="BJ108" s="334"/>
      <c r="BK108" s="328">
        <f t="shared" si="194"/>
        <v>0</v>
      </c>
      <c r="BL108" s="328">
        <f t="shared" si="195"/>
        <v>0</v>
      </c>
      <c r="BM108" s="330"/>
      <c r="BN108" s="330"/>
      <c r="BO108" s="330"/>
      <c r="BP108" s="330"/>
      <c r="BQ108" s="330"/>
      <c r="BR108" s="330"/>
      <c r="BS108" s="331">
        <f t="shared" si="196"/>
        <v>0</v>
      </c>
      <c r="BT108" s="344"/>
      <c r="BU108" s="328">
        <f t="shared" si="197"/>
        <v>0</v>
      </c>
      <c r="BV108" s="328">
        <f t="shared" si="198"/>
        <v>0</v>
      </c>
      <c r="BW108" s="345"/>
      <c r="BX108" s="345"/>
      <c r="BY108" s="345"/>
      <c r="BZ108" s="345"/>
      <c r="CA108" s="345"/>
      <c r="CB108" s="345"/>
      <c r="CC108" s="402">
        <f t="shared" si="199"/>
        <v>0</v>
      </c>
    </row>
    <row r="109" spans="1:81" s="340" customFormat="1" ht="15.95" customHeight="1" x14ac:dyDescent="0.2">
      <c r="A109" s="346"/>
      <c r="B109" s="327"/>
      <c r="C109" s="328">
        <f t="shared" si="200"/>
        <v>0</v>
      </c>
      <c r="D109" s="328">
        <f t="shared" si="201"/>
        <v>0</v>
      </c>
      <c r="E109" s="330"/>
      <c r="F109" s="330"/>
      <c r="G109" s="330"/>
      <c r="H109" s="330"/>
      <c r="I109" s="330"/>
      <c r="J109" s="330"/>
      <c r="K109" s="331">
        <f t="shared" si="188"/>
        <v>0</v>
      </c>
      <c r="L109" s="327"/>
      <c r="M109" s="328">
        <f t="shared" si="202"/>
        <v>0</v>
      </c>
      <c r="N109" s="328">
        <f t="shared" si="203"/>
        <v>0</v>
      </c>
      <c r="O109" s="330"/>
      <c r="P109" s="330"/>
      <c r="Q109" s="330"/>
      <c r="R109" s="330"/>
      <c r="S109" s="330"/>
      <c r="T109" s="330"/>
      <c r="U109" s="331">
        <f t="shared" si="189"/>
        <v>0</v>
      </c>
      <c r="V109" s="327"/>
      <c r="W109" s="328">
        <f t="shared" si="204"/>
        <v>0</v>
      </c>
      <c r="X109" s="328">
        <f t="shared" si="205"/>
        <v>0</v>
      </c>
      <c r="Y109" s="330"/>
      <c r="Z109" s="330"/>
      <c r="AA109" s="330"/>
      <c r="AB109" s="330"/>
      <c r="AC109" s="330"/>
      <c r="AD109" s="330"/>
      <c r="AE109" s="331">
        <f t="shared" si="190"/>
        <v>0</v>
      </c>
      <c r="AF109" s="327"/>
      <c r="AG109" s="328">
        <f t="shared" si="206"/>
        <v>0</v>
      </c>
      <c r="AH109" s="328">
        <f t="shared" si="207"/>
        <v>0</v>
      </c>
      <c r="AI109" s="330"/>
      <c r="AJ109" s="330"/>
      <c r="AK109" s="330"/>
      <c r="AL109" s="330"/>
      <c r="AM109" s="330"/>
      <c r="AN109" s="330"/>
      <c r="AO109" s="331">
        <f t="shared" si="191"/>
        <v>0</v>
      </c>
      <c r="AP109" s="327"/>
      <c r="AQ109" s="328">
        <f t="shared" si="208"/>
        <v>0</v>
      </c>
      <c r="AR109" s="328">
        <f t="shared" si="209"/>
        <v>0</v>
      </c>
      <c r="AS109" s="330"/>
      <c r="AT109" s="330"/>
      <c r="AU109" s="330"/>
      <c r="AV109" s="330"/>
      <c r="AW109" s="330"/>
      <c r="AX109" s="330"/>
      <c r="AY109" s="331">
        <f t="shared" si="192"/>
        <v>0</v>
      </c>
      <c r="AZ109" s="334"/>
      <c r="BA109" s="328">
        <f t="shared" si="210"/>
        <v>0</v>
      </c>
      <c r="BB109" s="328">
        <f t="shared" si="211"/>
        <v>0</v>
      </c>
      <c r="BC109" s="330"/>
      <c r="BD109" s="330"/>
      <c r="BE109" s="330"/>
      <c r="BF109" s="330"/>
      <c r="BG109" s="330"/>
      <c r="BH109" s="330"/>
      <c r="BI109" s="331">
        <f t="shared" si="193"/>
        <v>0</v>
      </c>
      <c r="BJ109" s="334"/>
      <c r="BK109" s="328">
        <f t="shared" si="194"/>
        <v>0</v>
      </c>
      <c r="BL109" s="328">
        <f t="shared" si="195"/>
        <v>0</v>
      </c>
      <c r="BM109" s="330"/>
      <c r="BN109" s="330"/>
      <c r="BO109" s="330"/>
      <c r="BP109" s="330"/>
      <c r="BQ109" s="330"/>
      <c r="BR109" s="330"/>
      <c r="BS109" s="331">
        <f t="shared" si="196"/>
        <v>0</v>
      </c>
      <c r="BT109" s="344"/>
      <c r="BU109" s="328">
        <f t="shared" si="197"/>
        <v>0</v>
      </c>
      <c r="BV109" s="328">
        <f t="shared" si="198"/>
        <v>0</v>
      </c>
      <c r="BW109" s="345"/>
      <c r="BX109" s="345"/>
      <c r="BY109" s="345"/>
      <c r="BZ109" s="345"/>
      <c r="CA109" s="345"/>
      <c r="CB109" s="345"/>
      <c r="CC109" s="402">
        <f t="shared" si="199"/>
        <v>0</v>
      </c>
    </row>
    <row r="110" spans="1:81" s="340" customFormat="1" ht="15.95" customHeight="1" x14ac:dyDescent="0.2">
      <c r="A110" s="346"/>
      <c r="B110" s="327"/>
      <c r="C110" s="328">
        <f t="shared" si="200"/>
        <v>0</v>
      </c>
      <c r="D110" s="328">
        <f t="shared" si="201"/>
        <v>0</v>
      </c>
      <c r="E110" s="330"/>
      <c r="F110" s="330"/>
      <c r="G110" s="330"/>
      <c r="H110" s="330"/>
      <c r="I110" s="330"/>
      <c r="J110" s="330"/>
      <c r="K110" s="331">
        <f t="shared" si="188"/>
        <v>0</v>
      </c>
      <c r="L110" s="327"/>
      <c r="M110" s="328">
        <f t="shared" si="202"/>
        <v>0</v>
      </c>
      <c r="N110" s="328">
        <f t="shared" si="203"/>
        <v>0</v>
      </c>
      <c r="O110" s="330"/>
      <c r="P110" s="330"/>
      <c r="Q110" s="330"/>
      <c r="R110" s="330"/>
      <c r="S110" s="330"/>
      <c r="T110" s="330"/>
      <c r="U110" s="331">
        <f t="shared" si="189"/>
        <v>0</v>
      </c>
      <c r="V110" s="327"/>
      <c r="W110" s="328">
        <f t="shared" si="204"/>
        <v>0</v>
      </c>
      <c r="X110" s="328">
        <f t="shared" si="205"/>
        <v>0</v>
      </c>
      <c r="Y110" s="330"/>
      <c r="Z110" s="330"/>
      <c r="AA110" s="330"/>
      <c r="AB110" s="330"/>
      <c r="AC110" s="330"/>
      <c r="AD110" s="330"/>
      <c r="AE110" s="331">
        <f t="shared" si="190"/>
        <v>0</v>
      </c>
      <c r="AF110" s="327"/>
      <c r="AG110" s="328">
        <f t="shared" si="206"/>
        <v>0</v>
      </c>
      <c r="AH110" s="328">
        <f t="shared" si="207"/>
        <v>0</v>
      </c>
      <c r="AI110" s="330"/>
      <c r="AJ110" s="330"/>
      <c r="AK110" s="330"/>
      <c r="AL110" s="330"/>
      <c r="AM110" s="330"/>
      <c r="AN110" s="330"/>
      <c r="AO110" s="331">
        <f t="shared" si="191"/>
        <v>0</v>
      </c>
      <c r="AP110" s="327"/>
      <c r="AQ110" s="328">
        <f t="shared" si="208"/>
        <v>0</v>
      </c>
      <c r="AR110" s="328">
        <f t="shared" si="209"/>
        <v>0</v>
      </c>
      <c r="AS110" s="330"/>
      <c r="AT110" s="330"/>
      <c r="AU110" s="330"/>
      <c r="AV110" s="330"/>
      <c r="AW110" s="330"/>
      <c r="AX110" s="330"/>
      <c r="AY110" s="331">
        <f t="shared" si="192"/>
        <v>0</v>
      </c>
      <c r="AZ110" s="334"/>
      <c r="BA110" s="328">
        <f t="shared" si="210"/>
        <v>0</v>
      </c>
      <c r="BB110" s="328">
        <f t="shared" si="211"/>
        <v>0</v>
      </c>
      <c r="BC110" s="330"/>
      <c r="BD110" s="330"/>
      <c r="BE110" s="330"/>
      <c r="BF110" s="330"/>
      <c r="BG110" s="330"/>
      <c r="BH110" s="330"/>
      <c r="BI110" s="331">
        <f t="shared" si="193"/>
        <v>0</v>
      </c>
      <c r="BJ110" s="334"/>
      <c r="BK110" s="328">
        <f t="shared" si="194"/>
        <v>0</v>
      </c>
      <c r="BL110" s="328">
        <f t="shared" si="195"/>
        <v>0</v>
      </c>
      <c r="BM110" s="330"/>
      <c r="BN110" s="330"/>
      <c r="BO110" s="330"/>
      <c r="BP110" s="330"/>
      <c r="BQ110" s="330"/>
      <c r="BR110" s="330"/>
      <c r="BS110" s="331">
        <f t="shared" si="196"/>
        <v>0</v>
      </c>
      <c r="BT110" s="344"/>
      <c r="BU110" s="328">
        <f t="shared" si="197"/>
        <v>0</v>
      </c>
      <c r="BV110" s="328">
        <f t="shared" si="198"/>
        <v>0</v>
      </c>
      <c r="BW110" s="345"/>
      <c r="BX110" s="345"/>
      <c r="BY110" s="345"/>
      <c r="BZ110" s="345"/>
      <c r="CA110" s="345"/>
      <c r="CB110" s="345"/>
      <c r="CC110" s="402">
        <f t="shared" si="199"/>
        <v>0</v>
      </c>
    </row>
    <row r="111" spans="1:81" s="340" customFormat="1" ht="15.95" customHeight="1" x14ac:dyDescent="0.2">
      <c r="A111" s="346"/>
      <c r="B111" s="327"/>
      <c r="C111" s="328">
        <f t="shared" ref="C111:C112" si="212">SUM(E111:I111)</f>
        <v>0</v>
      </c>
      <c r="D111" s="328">
        <f t="shared" si="201"/>
        <v>0</v>
      </c>
      <c r="E111" s="330"/>
      <c r="F111" s="330"/>
      <c r="G111" s="330"/>
      <c r="H111" s="330"/>
      <c r="I111" s="330"/>
      <c r="J111" s="330"/>
      <c r="K111" s="331">
        <f t="shared" si="188"/>
        <v>0</v>
      </c>
      <c r="L111" s="327"/>
      <c r="M111" s="328">
        <f t="shared" ref="M111:M112" si="213">SUM(O111:S111)</f>
        <v>0</v>
      </c>
      <c r="N111" s="328">
        <f t="shared" si="203"/>
        <v>0</v>
      </c>
      <c r="O111" s="330"/>
      <c r="P111" s="330"/>
      <c r="Q111" s="330"/>
      <c r="R111" s="330"/>
      <c r="S111" s="330"/>
      <c r="T111" s="330"/>
      <c r="U111" s="331">
        <f t="shared" si="189"/>
        <v>0</v>
      </c>
      <c r="V111" s="327"/>
      <c r="W111" s="328">
        <f t="shared" ref="W111:W112" si="214">SUM(Y111:AC111)</f>
        <v>0</v>
      </c>
      <c r="X111" s="328">
        <f t="shared" si="205"/>
        <v>0</v>
      </c>
      <c r="Y111" s="330"/>
      <c r="Z111" s="330"/>
      <c r="AA111" s="330"/>
      <c r="AB111" s="330"/>
      <c r="AC111" s="330"/>
      <c r="AD111" s="330"/>
      <c r="AE111" s="331">
        <f t="shared" si="190"/>
        <v>0</v>
      </c>
      <c r="AF111" s="327"/>
      <c r="AG111" s="328">
        <f t="shared" ref="AG111:AG112" si="215">SUM(AI111:AM111)</f>
        <v>0</v>
      </c>
      <c r="AH111" s="328">
        <f t="shared" si="207"/>
        <v>0</v>
      </c>
      <c r="AI111" s="330"/>
      <c r="AJ111" s="330"/>
      <c r="AK111" s="330"/>
      <c r="AL111" s="330"/>
      <c r="AM111" s="330"/>
      <c r="AN111" s="330"/>
      <c r="AO111" s="331">
        <f t="shared" si="191"/>
        <v>0</v>
      </c>
      <c r="AP111" s="327"/>
      <c r="AQ111" s="328">
        <f t="shared" ref="AQ111:AQ112" si="216">SUM(AS111:AW111)</f>
        <v>0</v>
      </c>
      <c r="AR111" s="328">
        <f t="shared" si="209"/>
        <v>0</v>
      </c>
      <c r="AS111" s="330"/>
      <c r="AT111" s="330"/>
      <c r="AU111" s="330"/>
      <c r="AV111" s="330"/>
      <c r="AW111" s="330"/>
      <c r="AX111" s="330"/>
      <c r="AY111" s="331">
        <f t="shared" si="192"/>
        <v>0</v>
      </c>
      <c r="AZ111" s="334"/>
      <c r="BA111" s="328">
        <f t="shared" ref="BA111:BA112" si="217">SUM(BC111:BG111)</f>
        <v>0</v>
      </c>
      <c r="BB111" s="328">
        <f t="shared" si="211"/>
        <v>0</v>
      </c>
      <c r="BC111" s="330"/>
      <c r="BD111" s="330"/>
      <c r="BE111" s="330"/>
      <c r="BF111" s="330"/>
      <c r="BG111" s="330"/>
      <c r="BH111" s="330"/>
      <c r="BI111" s="331">
        <f t="shared" si="193"/>
        <v>0</v>
      </c>
      <c r="BJ111" s="334"/>
      <c r="BK111" s="328">
        <f t="shared" si="194"/>
        <v>0</v>
      </c>
      <c r="BL111" s="328">
        <f t="shared" si="195"/>
        <v>0</v>
      </c>
      <c r="BM111" s="330"/>
      <c r="BN111" s="330"/>
      <c r="BO111" s="330"/>
      <c r="BP111" s="330"/>
      <c r="BQ111" s="330"/>
      <c r="BR111" s="330"/>
      <c r="BS111" s="331">
        <f t="shared" si="196"/>
        <v>0</v>
      </c>
      <c r="BT111" s="344"/>
      <c r="BU111" s="328">
        <f t="shared" si="197"/>
        <v>0</v>
      </c>
      <c r="BV111" s="328">
        <f t="shared" si="198"/>
        <v>0</v>
      </c>
      <c r="BW111" s="345"/>
      <c r="BX111" s="345"/>
      <c r="BY111" s="345"/>
      <c r="BZ111" s="345"/>
      <c r="CA111" s="345"/>
      <c r="CB111" s="345"/>
      <c r="CC111" s="402">
        <f t="shared" si="199"/>
        <v>0</v>
      </c>
    </row>
    <row r="112" spans="1:81" s="340" customFormat="1" ht="15.95" customHeight="1" x14ac:dyDescent="0.2">
      <c r="A112" s="346"/>
      <c r="B112" s="327"/>
      <c r="C112" s="328">
        <f t="shared" si="212"/>
        <v>0</v>
      </c>
      <c r="D112" s="328">
        <f t="shared" si="201"/>
        <v>0</v>
      </c>
      <c r="E112" s="330"/>
      <c r="F112" s="330"/>
      <c r="G112" s="330"/>
      <c r="H112" s="330"/>
      <c r="I112" s="330"/>
      <c r="J112" s="330"/>
      <c r="K112" s="331">
        <f t="shared" si="188"/>
        <v>0</v>
      </c>
      <c r="L112" s="327"/>
      <c r="M112" s="328">
        <f t="shared" si="213"/>
        <v>0</v>
      </c>
      <c r="N112" s="328">
        <f t="shared" si="203"/>
        <v>0</v>
      </c>
      <c r="O112" s="330"/>
      <c r="P112" s="330"/>
      <c r="Q112" s="330"/>
      <c r="R112" s="330"/>
      <c r="S112" s="330"/>
      <c r="T112" s="330"/>
      <c r="U112" s="331">
        <f t="shared" si="189"/>
        <v>0</v>
      </c>
      <c r="V112" s="327"/>
      <c r="W112" s="328">
        <f t="shared" si="214"/>
        <v>0</v>
      </c>
      <c r="X112" s="328">
        <f t="shared" si="205"/>
        <v>0</v>
      </c>
      <c r="Y112" s="330"/>
      <c r="Z112" s="330"/>
      <c r="AA112" s="330"/>
      <c r="AB112" s="330"/>
      <c r="AC112" s="330"/>
      <c r="AD112" s="330"/>
      <c r="AE112" s="331">
        <f t="shared" si="190"/>
        <v>0</v>
      </c>
      <c r="AF112" s="327"/>
      <c r="AG112" s="328">
        <f t="shared" si="215"/>
        <v>0</v>
      </c>
      <c r="AH112" s="328">
        <f t="shared" si="207"/>
        <v>0</v>
      </c>
      <c r="AI112" s="330"/>
      <c r="AJ112" s="330"/>
      <c r="AK112" s="330"/>
      <c r="AL112" s="330"/>
      <c r="AM112" s="330"/>
      <c r="AN112" s="330"/>
      <c r="AO112" s="331">
        <f t="shared" si="191"/>
        <v>0</v>
      </c>
      <c r="AP112" s="327"/>
      <c r="AQ112" s="328">
        <f t="shared" si="216"/>
        <v>0</v>
      </c>
      <c r="AR112" s="328">
        <f t="shared" si="209"/>
        <v>0</v>
      </c>
      <c r="AS112" s="330"/>
      <c r="AT112" s="330"/>
      <c r="AU112" s="330"/>
      <c r="AV112" s="330"/>
      <c r="AW112" s="330"/>
      <c r="AX112" s="330"/>
      <c r="AY112" s="331">
        <f t="shared" si="192"/>
        <v>0</v>
      </c>
      <c r="AZ112" s="334"/>
      <c r="BA112" s="328">
        <f t="shared" si="217"/>
        <v>0</v>
      </c>
      <c r="BB112" s="328">
        <f t="shared" si="211"/>
        <v>0</v>
      </c>
      <c r="BC112" s="330"/>
      <c r="BD112" s="330"/>
      <c r="BE112" s="330"/>
      <c r="BF112" s="330"/>
      <c r="BG112" s="330"/>
      <c r="BH112" s="330"/>
      <c r="BI112" s="331">
        <f t="shared" si="193"/>
        <v>0</v>
      </c>
      <c r="BJ112" s="334"/>
      <c r="BK112" s="328">
        <f t="shared" si="194"/>
        <v>0</v>
      </c>
      <c r="BL112" s="328">
        <f t="shared" si="195"/>
        <v>0</v>
      </c>
      <c r="BM112" s="330"/>
      <c r="BN112" s="330"/>
      <c r="BO112" s="330"/>
      <c r="BP112" s="330"/>
      <c r="BQ112" s="330"/>
      <c r="BR112" s="330"/>
      <c r="BS112" s="331">
        <f t="shared" si="196"/>
        <v>0</v>
      </c>
      <c r="BT112" s="344"/>
      <c r="BU112" s="328">
        <f t="shared" si="197"/>
        <v>0</v>
      </c>
      <c r="BV112" s="328">
        <f t="shared" si="198"/>
        <v>0</v>
      </c>
      <c r="BW112" s="345"/>
      <c r="BX112" s="345"/>
      <c r="BY112" s="345"/>
      <c r="BZ112" s="345"/>
      <c r="CA112" s="345"/>
      <c r="CB112" s="345"/>
      <c r="CC112" s="402">
        <f t="shared" si="199"/>
        <v>0</v>
      </c>
    </row>
    <row r="113" spans="1:81" s="340" customFormat="1" ht="15.95" customHeight="1" x14ac:dyDescent="0.2">
      <c r="A113" s="347" t="s">
        <v>139</v>
      </c>
      <c r="B113" s="327"/>
      <c r="C113" s="328"/>
      <c r="D113" s="328"/>
      <c r="E113" s="330"/>
      <c r="F113" s="330"/>
      <c r="G113" s="330"/>
      <c r="H113" s="330"/>
      <c r="I113" s="330"/>
      <c r="J113" s="330"/>
      <c r="K113" s="331"/>
      <c r="L113" s="327"/>
      <c r="M113" s="328"/>
      <c r="N113" s="328"/>
      <c r="O113" s="330"/>
      <c r="P113" s="330"/>
      <c r="Q113" s="330"/>
      <c r="R113" s="330"/>
      <c r="S113" s="330"/>
      <c r="T113" s="330"/>
      <c r="U113" s="331"/>
      <c r="V113" s="327"/>
      <c r="W113" s="328"/>
      <c r="X113" s="328"/>
      <c r="Y113" s="330"/>
      <c r="Z113" s="330"/>
      <c r="AA113" s="330"/>
      <c r="AB113" s="330"/>
      <c r="AC113" s="330"/>
      <c r="AD113" s="330"/>
      <c r="AE113" s="331"/>
      <c r="AF113" s="327"/>
      <c r="AG113" s="328"/>
      <c r="AH113" s="328"/>
      <c r="AI113" s="330"/>
      <c r="AJ113" s="330"/>
      <c r="AK113" s="330"/>
      <c r="AL113" s="330"/>
      <c r="AM113" s="330"/>
      <c r="AN113" s="330"/>
      <c r="AO113" s="331"/>
      <c r="AP113" s="327"/>
      <c r="AQ113" s="328"/>
      <c r="AR113" s="328"/>
      <c r="AS113" s="330"/>
      <c r="AT113" s="330"/>
      <c r="AU113" s="330"/>
      <c r="AV113" s="330"/>
      <c r="AW113" s="330"/>
      <c r="AX113" s="330"/>
      <c r="AY113" s="331"/>
      <c r="AZ113" s="334"/>
      <c r="BA113" s="328"/>
      <c r="BB113" s="328"/>
      <c r="BC113" s="330"/>
      <c r="BD113" s="330"/>
      <c r="BE113" s="330"/>
      <c r="BF113" s="330"/>
      <c r="BG113" s="330"/>
      <c r="BH113" s="330"/>
      <c r="BI113" s="331"/>
      <c r="BJ113" s="334"/>
      <c r="BK113" s="328"/>
      <c r="BL113" s="328"/>
      <c r="BM113" s="330"/>
      <c r="BN113" s="330"/>
      <c r="BO113" s="330"/>
      <c r="BP113" s="330"/>
      <c r="BQ113" s="330"/>
      <c r="BR113" s="330"/>
      <c r="BS113" s="331"/>
      <c r="BT113" s="334"/>
      <c r="BU113" s="328"/>
      <c r="BV113" s="328"/>
      <c r="BW113" s="330"/>
      <c r="BX113" s="330"/>
      <c r="BY113" s="330"/>
      <c r="BZ113" s="330"/>
      <c r="CA113" s="330"/>
      <c r="CB113" s="330"/>
      <c r="CC113" s="331"/>
    </row>
    <row r="114" spans="1:81" s="340" customFormat="1" ht="15.95" customHeight="1" x14ac:dyDescent="0.2">
      <c r="A114" s="348" t="s">
        <v>164</v>
      </c>
      <c r="B114" s="349">
        <f>SUM(B$104:B113)</f>
        <v>1778</v>
      </c>
      <c r="C114" s="328">
        <f>SUM(C$104:C113)</f>
        <v>4197476</v>
      </c>
      <c r="D114" s="328">
        <f>IFERROR(C114/B114,0)</f>
        <v>2360.7851518560178</v>
      </c>
      <c r="E114" s="350">
        <f>SUM(E$104:E113)</f>
        <v>154</v>
      </c>
      <c r="F114" s="350">
        <f>SUM(F$104:F113)</f>
        <v>0</v>
      </c>
      <c r="G114" s="350">
        <f>SUM(G$104:G113)</f>
        <v>0</v>
      </c>
      <c r="H114" s="350">
        <f>SUM(H$104:H113)</f>
        <v>4197374</v>
      </c>
      <c r="I114" s="350">
        <f>SUM(I$104:I113)</f>
        <v>-52</v>
      </c>
      <c r="J114" s="350">
        <f>SUM(J$104:J113)</f>
        <v>3916449</v>
      </c>
      <c r="K114" s="350">
        <f>SUM(K$104:K113)</f>
        <v>102</v>
      </c>
      <c r="L114" s="349">
        <f>SUM(L$104:L113)</f>
        <v>1763</v>
      </c>
      <c r="M114" s="328">
        <f>SUM(M$104:M113)</f>
        <v>4223346</v>
      </c>
      <c r="N114" s="328">
        <f>IFERROR(M114/L114,0)</f>
        <v>2395.545093590471</v>
      </c>
      <c r="O114" s="350">
        <f>SUM(O$104:O113)</f>
        <v>303</v>
      </c>
      <c r="P114" s="350">
        <f>SUM(P$104:P113)</f>
        <v>0</v>
      </c>
      <c r="Q114" s="350">
        <f>SUM(Q$104:Q113)</f>
        <v>0</v>
      </c>
      <c r="R114" s="350">
        <f>SUM(R$104:R113)</f>
        <v>4223061</v>
      </c>
      <c r="S114" s="350">
        <f>SUM(S$104:S113)</f>
        <v>-18</v>
      </c>
      <c r="T114" s="350">
        <f>SUM(T$104:T113)</f>
        <v>3856734</v>
      </c>
      <c r="U114" s="350">
        <f>SUM(U$104:U113)</f>
        <v>285</v>
      </c>
      <c r="V114" s="349">
        <f>SUM(V$104:V113)</f>
        <v>1810</v>
      </c>
      <c r="W114" s="328">
        <f>SUM(W$104:W113)</f>
        <v>4055394</v>
      </c>
      <c r="X114" s="328">
        <f>IFERROR(W114/V114,0)</f>
        <v>2240.549171270718</v>
      </c>
      <c r="Y114" s="350">
        <f>SUM(Y$104:Y113)</f>
        <v>27</v>
      </c>
      <c r="Z114" s="350">
        <f>SUM(Z$104:Z113)</f>
        <v>0</v>
      </c>
      <c r="AA114" s="350">
        <f>SUM(AA$104:AA113)</f>
        <v>0</v>
      </c>
      <c r="AB114" s="350">
        <f>SUM(AB$104:AB113)</f>
        <v>4055367</v>
      </c>
      <c r="AC114" s="350">
        <f>SUM(AC$104:AC113)</f>
        <v>0</v>
      </c>
      <c r="AD114" s="350">
        <f>SUM(AD$104:AD113)</f>
        <v>3676601</v>
      </c>
      <c r="AE114" s="350">
        <f>SUM(AE$104:AE113)</f>
        <v>27</v>
      </c>
      <c r="AF114" s="349">
        <f>SUM(AF$104:AF113)</f>
        <v>1680</v>
      </c>
      <c r="AG114" s="328">
        <f>SUM(AG$104:AG113)</f>
        <v>3788187</v>
      </c>
      <c r="AH114" s="328">
        <f>IFERROR(AG114/AF114,0)</f>
        <v>2254.8732142857143</v>
      </c>
      <c r="AI114" s="350">
        <f>SUM(AI$104:AI113)</f>
        <v>0</v>
      </c>
      <c r="AJ114" s="350">
        <f>SUM(AJ$104:AJ113)</f>
        <v>0</v>
      </c>
      <c r="AK114" s="350">
        <f>SUM(AK$104:AK113)</f>
        <v>0</v>
      </c>
      <c r="AL114" s="350">
        <f>SUM(AL$104:AL113)</f>
        <v>3788187</v>
      </c>
      <c r="AM114" s="350">
        <f>SUM(AM$104:AM113)</f>
        <v>0</v>
      </c>
      <c r="AN114" s="350">
        <f>SUM(AN$104:AN113)</f>
        <v>3385089</v>
      </c>
      <c r="AO114" s="350">
        <f>SUM(AO$104:AO113)</f>
        <v>0</v>
      </c>
      <c r="AP114" s="349">
        <f>SUM(AP$104:AP113)</f>
        <v>1776</v>
      </c>
      <c r="AQ114" s="328">
        <f>SUM(AQ$104:AQ113)</f>
        <v>3036833</v>
      </c>
      <c r="AR114" s="328">
        <f>IFERROR(AQ114/AP114,0)</f>
        <v>1709.9284909909909</v>
      </c>
      <c r="AS114" s="350">
        <f>SUM(AS$104:AS113)</f>
        <v>0</v>
      </c>
      <c r="AT114" s="350">
        <f>SUM(AT$104:AT113)</f>
        <v>0</v>
      </c>
      <c r="AU114" s="350">
        <f>SUM(AU$104:AU113)</f>
        <v>0</v>
      </c>
      <c r="AV114" s="350">
        <f>SUM(AV$104:AV113)</f>
        <v>3036833</v>
      </c>
      <c r="AW114" s="350">
        <f>SUM(AW$104:AW113)</f>
        <v>0</v>
      </c>
      <c r="AX114" s="350">
        <f>SUM(AX$104:AX113)</f>
        <v>2813256</v>
      </c>
      <c r="AY114" s="350">
        <f>SUM(AY$104:AY113)</f>
        <v>0</v>
      </c>
      <c r="AZ114" s="351">
        <f>SUM(AZ$104:AZ113)</f>
        <v>1333</v>
      </c>
      <c r="BA114" s="328">
        <f>SUM(BA$104:BA113)</f>
        <v>2467890</v>
      </c>
      <c r="BB114" s="328">
        <f>IFERROR(BA114/AZ114,0)</f>
        <v>1851.3803450862715</v>
      </c>
      <c r="BC114" s="350">
        <f>SUM(BC$104:BC113)</f>
        <v>0</v>
      </c>
      <c r="BD114" s="350">
        <f>SUM(BD$104:BD113)</f>
        <v>0</v>
      </c>
      <c r="BE114" s="350">
        <f>SUM(BE$104:BE113)</f>
        <v>0</v>
      </c>
      <c r="BF114" s="350">
        <f>SUM(BF$104:BF113)</f>
        <v>2467890</v>
      </c>
      <c r="BG114" s="350">
        <f>SUM(BG$104:BG113)</f>
        <v>0</v>
      </c>
      <c r="BH114" s="350">
        <f>SUM(BH$104:BH113)</f>
        <v>2215859</v>
      </c>
      <c r="BI114" s="331">
        <f>SUM(BI$104:BI113)</f>
        <v>0</v>
      </c>
      <c r="BJ114" s="351">
        <f>SUM(BJ$104:BJ113)</f>
        <v>1197</v>
      </c>
      <c r="BK114" s="328">
        <f>SUM(BK$104:BK113)</f>
        <v>2280810</v>
      </c>
      <c r="BL114" s="328">
        <f>IFERROR(BK114/BJ114,0)</f>
        <v>1905.4385964912281</v>
      </c>
      <c r="BM114" s="350">
        <f>SUM(BM$104:BM113)</f>
        <v>0</v>
      </c>
      <c r="BN114" s="350">
        <f>SUM(BN$104:BN113)</f>
        <v>0</v>
      </c>
      <c r="BO114" s="350">
        <f>SUM(BO$104:BO113)</f>
        <v>0</v>
      </c>
      <c r="BP114" s="350">
        <f>SUM(BP$104:BP113)</f>
        <v>2280810</v>
      </c>
      <c r="BQ114" s="350">
        <f>SUM(BQ$104:BQ113)</f>
        <v>0</v>
      </c>
      <c r="BR114" s="350">
        <f>SUM(BR$104:BR113)</f>
        <v>2089467</v>
      </c>
      <c r="BS114" s="331">
        <f>SUM(BS$104:BS113)</f>
        <v>0</v>
      </c>
      <c r="BT114" s="351">
        <f>SUM(BT$104:BT113)</f>
        <v>1245</v>
      </c>
      <c r="BU114" s="328">
        <f>SUM(BU$104:BU113)</f>
        <v>2568179</v>
      </c>
      <c r="BV114" s="328">
        <f>IFERROR(BU114/BT114,0)</f>
        <v>2062.7943775100402</v>
      </c>
      <c r="BW114" s="350">
        <f>SUM(BW$104:BW113)</f>
        <v>0</v>
      </c>
      <c r="BX114" s="350">
        <f>SUM(BX$104:BX113)</f>
        <v>0</v>
      </c>
      <c r="BY114" s="350">
        <f>SUM(BY$104:BY113)</f>
        <v>0</v>
      </c>
      <c r="BZ114" s="350">
        <f>SUM(BZ$104:BZ113)</f>
        <v>2568179</v>
      </c>
      <c r="CA114" s="350">
        <f>SUM(CA$104:CA113)</f>
        <v>0</v>
      </c>
      <c r="CB114" s="350">
        <f>SUM(CB$104:CB113)</f>
        <v>2352369</v>
      </c>
      <c r="CC114" s="331">
        <f>SUM(CC$104:CC113)</f>
        <v>0</v>
      </c>
    </row>
    <row r="115" spans="1:81" s="340" customFormat="1" ht="15.95" customHeight="1" x14ac:dyDescent="0.2">
      <c r="A115" s="339"/>
      <c r="B115" s="327"/>
      <c r="C115" s="328"/>
      <c r="D115" s="328"/>
      <c r="E115" s="330"/>
      <c r="F115" s="330"/>
      <c r="G115" s="330"/>
      <c r="H115" s="330"/>
      <c r="I115" s="330"/>
      <c r="J115" s="330"/>
      <c r="K115" s="350"/>
      <c r="L115" s="327"/>
      <c r="M115" s="328"/>
      <c r="N115" s="328"/>
      <c r="O115" s="330"/>
      <c r="P115" s="330"/>
      <c r="Q115" s="330"/>
      <c r="R115" s="330"/>
      <c r="S115" s="330"/>
      <c r="T115" s="330"/>
      <c r="U115" s="350"/>
      <c r="V115" s="327"/>
      <c r="W115" s="328"/>
      <c r="X115" s="328"/>
      <c r="Y115" s="330"/>
      <c r="Z115" s="330"/>
      <c r="AA115" s="330"/>
      <c r="AB115" s="330"/>
      <c r="AC115" s="330"/>
      <c r="AD115" s="330"/>
      <c r="AE115" s="350"/>
      <c r="AF115" s="327"/>
      <c r="AG115" s="328"/>
      <c r="AH115" s="328"/>
      <c r="AI115" s="330"/>
      <c r="AJ115" s="330"/>
      <c r="AK115" s="330"/>
      <c r="AL115" s="330"/>
      <c r="AM115" s="330"/>
      <c r="AN115" s="330"/>
      <c r="AO115" s="350"/>
      <c r="AP115" s="327"/>
      <c r="AQ115" s="328"/>
      <c r="AR115" s="328"/>
      <c r="AS115" s="330"/>
      <c r="AT115" s="330"/>
      <c r="AU115" s="330"/>
      <c r="AV115" s="330"/>
      <c r="AW115" s="330"/>
      <c r="AX115" s="330"/>
      <c r="AY115" s="350"/>
      <c r="AZ115" s="334"/>
      <c r="BA115" s="328"/>
      <c r="BB115" s="328"/>
      <c r="BC115" s="330"/>
      <c r="BD115" s="330"/>
      <c r="BE115" s="330"/>
      <c r="BF115" s="330"/>
      <c r="BG115" s="330"/>
      <c r="BH115" s="330"/>
      <c r="BI115" s="331"/>
      <c r="BJ115" s="334"/>
      <c r="BK115" s="328"/>
      <c r="BL115" s="328"/>
      <c r="BM115" s="330"/>
      <c r="BN115" s="330"/>
      <c r="BO115" s="330"/>
      <c r="BP115" s="330"/>
      <c r="BQ115" s="330"/>
      <c r="BR115" s="330"/>
      <c r="BS115" s="331"/>
      <c r="BT115" s="334"/>
      <c r="BU115" s="328"/>
      <c r="BV115" s="328"/>
      <c r="BW115" s="330"/>
      <c r="BX115" s="330"/>
      <c r="BY115" s="330"/>
      <c r="BZ115" s="330"/>
      <c r="CA115" s="330"/>
      <c r="CB115" s="330"/>
      <c r="CC115" s="331"/>
    </row>
    <row r="116" spans="1:81" s="359" customFormat="1" ht="33" customHeight="1" x14ac:dyDescent="0.2">
      <c r="A116" s="352" t="s">
        <v>165</v>
      </c>
      <c r="B116" s="353">
        <f>SUM(B114,B102,B81)</f>
        <v>17456</v>
      </c>
      <c r="C116" s="354">
        <f>SUM(C114,C102,C81)</f>
        <v>28895775</v>
      </c>
      <c r="D116" s="354">
        <f>IFERROR(C116/B116,0)</f>
        <v>1655.3491636113656</v>
      </c>
      <c r="E116" s="355">
        <f t="shared" ref="E116:M116" si="218">SUM(E114,E102,E81)</f>
        <v>2423240</v>
      </c>
      <c r="F116" s="355">
        <f t="shared" si="218"/>
        <v>0</v>
      </c>
      <c r="G116" s="355">
        <f t="shared" si="218"/>
        <v>1166158</v>
      </c>
      <c r="H116" s="355">
        <f t="shared" si="218"/>
        <v>25048435</v>
      </c>
      <c r="I116" s="355">
        <f t="shared" si="218"/>
        <v>257942</v>
      </c>
      <c r="J116" s="355">
        <f t="shared" si="218"/>
        <v>27380534</v>
      </c>
      <c r="K116" s="355">
        <f t="shared" si="218"/>
        <v>2360026</v>
      </c>
      <c r="L116" s="353">
        <f t="shared" si="218"/>
        <v>16312</v>
      </c>
      <c r="M116" s="356">
        <f t="shared" si="218"/>
        <v>27954111</v>
      </c>
      <c r="N116" s="354">
        <f>IFERROR(M116/L116,0)</f>
        <v>1713.7145046591465</v>
      </c>
      <c r="O116" s="355">
        <f t="shared" ref="O116:W116" si="219">SUM(O114,O102,O81)</f>
        <v>2112927</v>
      </c>
      <c r="P116" s="355">
        <f t="shared" si="219"/>
        <v>0</v>
      </c>
      <c r="Q116" s="355">
        <f t="shared" si="219"/>
        <v>1028758</v>
      </c>
      <c r="R116" s="355">
        <f t="shared" si="219"/>
        <v>24442785</v>
      </c>
      <c r="S116" s="355">
        <f t="shared" si="219"/>
        <v>369641</v>
      </c>
      <c r="T116" s="355">
        <f t="shared" si="219"/>
        <v>26438999</v>
      </c>
      <c r="U116" s="355">
        <f t="shared" si="219"/>
        <v>2070447</v>
      </c>
      <c r="V116" s="353">
        <f t="shared" si="219"/>
        <v>16878</v>
      </c>
      <c r="W116" s="354">
        <f t="shared" si="219"/>
        <v>29033520.149999999</v>
      </c>
      <c r="X116" s="354">
        <f>IFERROR(W116/V116,0)</f>
        <v>1720.1990846071808</v>
      </c>
      <c r="Y116" s="355">
        <f t="shared" ref="Y116:AG116" si="220">SUM(Y114,Y102,Y81)</f>
        <v>2210886</v>
      </c>
      <c r="Z116" s="355">
        <f t="shared" si="220"/>
        <v>0</v>
      </c>
      <c r="AA116" s="355">
        <f t="shared" si="220"/>
        <v>1045598</v>
      </c>
      <c r="AB116" s="355">
        <f t="shared" si="220"/>
        <v>25392379</v>
      </c>
      <c r="AC116" s="355">
        <f t="shared" si="220"/>
        <v>384657.15</v>
      </c>
      <c r="AD116" s="355">
        <f t="shared" si="220"/>
        <v>27360756</v>
      </c>
      <c r="AE116" s="355">
        <f t="shared" si="220"/>
        <v>2125996</v>
      </c>
      <c r="AF116" s="353">
        <f t="shared" si="220"/>
        <v>16065</v>
      </c>
      <c r="AG116" s="354">
        <f t="shared" si="220"/>
        <v>28892140</v>
      </c>
      <c r="AH116" s="354">
        <f>IFERROR(AG116/AF116,0)</f>
        <v>1798.4525365701836</v>
      </c>
      <c r="AI116" s="355">
        <f t="shared" ref="AI116:AQ116" si="221">SUM(AI114,AI102,AI81)</f>
        <v>2089456</v>
      </c>
      <c r="AJ116" s="355">
        <f t="shared" si="221"/>
        <v>0</v>
      </c>
      <c r="AK116" s="355">
        <f t="shared" si="221"/>
        <v>1604842</v>
      </c>
      <c r="AL116" s="355">
        <f t="shared" si="221"/>
        <v>24466949</v>
      </c>
      <c r="AM116" s="355">
        <f t="shared" si="221"/>
        <v>730893</v>
      </c>
      <c r="AN116" s="355">
        <f t="shared" si="221"/>
        <v>26997219</v>
      </c>
      <c r="AO116" s="355">
        <f t="shared" si="221"/>
        <v>2009584</v>
      </c>
      <c r="AP116" s="353">
        <f t="shared" si="221"/>
        <v>18257</v>
      </c>
      <c r="AQ116" s="354">
        <f t="shared" si="221"/>
        <v>27548530.449999999</v>
      </c>
      <c r="AR116" s="354">
        <f>IFERROR(AQ116/AP116,0)</f>
        <v>1508.9297502327875</v>
      </c>
      <c r="AS116" s="355">
        <f t="shared" ref="AS116:BA116" si="222">SUM(AS114,AS102,AS81)</f>
        <v>1995876.45</v>
      </c>
      <c r="AT116" s="355">
        <f t="shared" si="222"/>
        <v>0</v>
      </c>
      <c r="AU116" s="355">
        <f t="shared" si="222"/>
        <v>1699487</v>
      </c>
      <c r="AV116" s="355">
        <f t="shared" si="222"/>
        <v>23205875</v>
      </c>
      <c r="AW116" s="355">
        <f t="shared" si="222"/>
        <v>647292</v>
      </c>
      <c r="AX116" s="355">
        <f t="shared" si="222"/>
        <v>26435625</v>
      </c>
      <c r="AY116" s="355">
        <f t="shared" si="222"/>
        <v>1962227</v>
      </c>
      <c r="AZ116" s="357">
        <f t="shared" si="222"/>
        <v>24001</v>
      </c>
      <c r="BA116" s="354">
        <f t="shared" si="222"/>
        <v>30136348</v>
      </c>
      <c r="BB116" s="354">
        <f>IFERROR(BA116/AZ116,0)</f>
        <v>1255.6288487979668</v>
      </c>
      <c r="BC116" s="355">
        <f t="shared" ref="BC116:BK116" si="223">SUM(BC114,BC102,BC81)</f>
        <v>1617709</v>
      </c>
      <c r="BD116" s="355">
        <f t="shared" si="223"/>
        <v>0</v>
      </c>
      <c r="BE116" s="355">
        <f t="shared" si="223"/>
        <v>4709076</v>
      </c>
      <c r="BF116" s="355">
        <f t="shared" si="223"/>
        <v>23174866</v>
      </c>
      <c r="BG116" s="355">
        <f t="shared" si="223"/>
        <v>634697</v>
      </c>
      <c r="BH116" s="355">
        <f t="shared" si="223"/>
        <v>28287755.32</v>
      </c>
      <c r="BI116" s="358">
        <f t="shared" si="223"/>
        <v>1577701</v>
      </c>
      <c r="BJ116" s="357">
        <f t="shared" si="223"/>
        <v>24546</v>
      </c>
      <c r="BK116" s="354">
        <f t="shared" si="223"/>
        <v>39760744</v>
      </c>
      <c r="BL116" s="354">
        <f>IFERROR(BK116/BJ116,0)</f>
        <v>1619.8461663814878</v>
      </c>
      <c r="BM116" s="355">
        <f t="shared" ref="BM116:BU116" si="224">SUM(BM114,BM102,BM81)</f>
        <v>2243578</v>
      </c>
      <c r="BN116" s="355">
        <f t="shared" si="224"/>
        <v>0</v>
      </c>
      <c r="BO116" s="355">
        <f t="shared" si="224"/>
        <v>1860730</v>
      </c>
      <c r="BP116" s="355">
        <f t="shared" si="224"/>
        <v>34804814</v>
      </c>
      <c r="BQ116" s="355">
        <f t="shared" si="224"/>
        <v>851622</v>
      </c>
      <c r="BR116" s="355">
        <f t="shared" si="224"/>
        <v>36067160</v>
      </c>
      <c r="BS116" s="358">
        <f t="shared" si="224"/>
        <v>2193330</v>
      </c>
      <c r="BT116" s="357">
        <f t="shared" si="224"/>
        <v>18191</v>
      </c>
      <c r="BU116" s="354">
        <f t="shared" si="224"/>
        <v>28709137.18</v>
      </c>
      <c r="BV116" s="354">
        <f>IFERROR(BU116/BT116,0)</f>
        <v>1578.2055510966961</v>
      </c>
      <c r="BW116" s="355">
        <f t="shared" ref="BW116:CC116" si="225">SUM(BW114,BW102,BW81)</f>
        <v>2634894.1800000002</v>
      </c>
      <c r="BX116" s="355">
        <f t="shared" si="225"/>
        <v>0</v>
      </c>
      <c r="BY116" s="355">
        <f t="shared" si="225"/>
        <v>4292456</v>
      </c>
      <c r="BZ116" s="355">
        <f t="shared" si="225"/>
        <v>20684705</v>
      </c>
      <c r="CA116" s="355">
        <f t="shared" si="225"/>
        <v>1097082</v>
      </c>
      <c r="CB116" s="355">
        <f t="shared" si="225"/>
        <v>27058270</v>
      </c>
      <c r="CC116" s="358">
        <f t="shared" si="225"/>
        <v>2595855</v>
      </c>
    </row>
    <row r="117" spans="1:81" s="227" customFormat="1" ht="15.75" x14ac:dyDescent="0.25">
      <c r="A117" s="360"/>
      <c r="B117" s="361"/>
      <c r="C117" s="362"/>
      <c r="D117" s="363"/>
      <c r="E117" s="364"/>
      <c r="F117" s="364"/>
      <c r="G117" s="364"/>
      <c r="H117" s="364"/>
      <c r="I117" s="364"/>
      <c r="J117" s="364"/>
      <c r="K117" s="365"/>
      <c r="L117" s="366"/>
      <c r="M117" s="367"/>
      <c r="N117" s="367"/>
      <c r="O117" s="367"/>
      <c r="P117" s="367"/>
      <c r="Q117" s="367"/>
      <c r="R117" s="367"/>
      <c r="S117" s="367"/>
      <c r="T117" s="367"/>
      <c r="U117" s="368"/>
      <c r="V117" s="369"/>
      <c r="W117" s="370"/>
      <c r="X117" s="371"/>
      <c r="Y117" s="367"/>
      <c r="Z117" s="367"/>
      <c r="AA117" s="367"/>
      <c r="AB117" s="367"/>
      <c r="AC117" s="367"/>
      <c r="AD117" s="367"/>
      <c r="AE117" s="368"/>
      <c r="AF117" s="369"/>
      <c r="AG117" s="370"/>
      <c r="AH117" s="371"/>
      <c r="AI117" s="367"/>
      <c r="AJ117" s="367"/>
      <c r="AK117" s="367"/>
      <c r="AL117" s="367"/>
      <c r="AM117" s="367"/>
      <c r="AN117" s="367"/>
      <c r="AO117" s="368"/>
      <c r="AP117" s="369"/>
      <c r="AQ117" s="370"/>
      <c r="AR117" s="371"/>
      <c r="AS117" s="367"/>
      <c r="AT117" s="367"/>
      <c r="AU117" s="367"/>
      <c r="AV117" s="367"/>
      <c r="AW117" s="367"/>
      <c r="AX117" s="367"/>
      <c r="AY117" s="368"/>
      <c r="AZ117" s="369"/>
      <c r="BA117" s="370"/>
      <c r="BB117" s="371"/>
      <c r="BC117" s="367"/>
      <c r="BD117" s="367"/>
      <c r="BE117" s="367"/>
      <c r="BF117" s="367"/>
      <c r="BG117" s="367"/>
      <c r="BH117" s="367"/>
      <c r="BI117" s="368"/>
      <c r="BJ117" s="369"/>
      <c r="BK117" s="370"/>
      <c r="BL117" s="371"/>
      <c r="BM117" s="367"/>
      <c r="BN117" s="367"/>
      <c r="BO117" s="367"/>
      <c r="BP117" s="367"/>
      <c r="BQ117" s="367"/>
      <c r="BR117" s="367"/>
      <c r="BS117" s="368"/>
      <c r="BT117" s="369"/>
      <c r="BU117" s="370"/>
      <c r="BV117" s="371"/>
      <c r="BW117" s="367"/>
      <c r="BX117" s="367"/>
      <c r="BY117" s="367"/>
      <c r="BZ117" s="367"/>
      <c r="CA117" s="367"/>
      <c r="CB117" s="367"/>
      <c r="CC117" s="368"/>
    </row>
    <row r="118" spans="1:81" s="227" customFormat="1" ht="15.75" x14ac:dyDescent="0.25">
      <c r="A118" s="360"/>
      <c r="B118" s="361"/>
      <c r="C118" s="362"/>
      <c r="D118" s="364"/>
      <c r="E118" s="364"/>
      <c r="F118" s="364"/>
      <c r="G118" s="364"/>
      <c r="H118" s="364"/>
      <c r="I118" s="364"/>
      <c r="J118" s="364"/>
      <c r="K118" s="365"/>
      <c r="L118" s="366"/>
      <c r="M118" s="367"/>
      <c r="N118" s="367"/>
      <c r="O118" s="367"/>
      <c r="P118" s="367"/>
      <c r="Q118" s="367"/>
      <c r="R118" s="367"/>
      <c r="S118" s="367"/>
      <c r="T118" s="367"/>
      <c r="U118" s="368"/>
      <c r="V118" s="369"/>
      <c r="W118" s="370"/>
      <c r="X118" s="367"/>
      <c r="Y118" s="367"/>
      <c r="Z118" s="367"/>
      <c r="AA118" s="367"/>
      <c r="AB118" s="367"/>
      <c r="AC118" s="367"/>
      <c r="AD118" s="367"/>
      <c r="AE118" s="368"/>
      <c r="AF118" s="369"/>
      <c r="AG118" s="370"/>
      <c r="AH118" s="367"/>
      <c r="AI118" s="367"/>
      <c r="AJ118" s="367"/>
      <c r="AK118" s="367"/>
      <c r="AL118" s="367"/>
      <c r="AM118" s="367"/>
      <c r="AN118" s="367"/>
      <c r="AO118" s="368"/>
      <c r="AP118" s="369"/>
      <c r="AQ118" s="370"/>
      <c r="AR118" s="367"/>
      <c r="AS118" s="367"/>
      <c r="AT118" s="367"/>
      <c r="AU118" s="367"/>
      <c r="AV118" s="367"/>
      <c r="AW118" s="367"/>
      <c r="AX118" s="367"/>
      <c r="AY118" s="368"/>
      <c r="AZ118" s="369"/>
      <c r="BA118" s="370"/>
      <c r="BB118" s="367"/>
      <c r="BC118" s="367"/>
      <c r="BD118" s="367"/>
      <c r="BE118" s="367"/>
      <c r="BF118" s="367"/>
      <c r="BG118" s="367"/>
      <c r="BH118" s="367"/>
      <c r="BI118" s="368"/>
      <c r="BJ118" s="369"/>
      <c r="BK118" s="370"/>
      <c r="BL118" s="367"/>
      <c r="BM118" s="367"/>
      <c r="BN118" s="367"/>
      <c r="BO118" s="367"/>
      <c r="BP118" s="367"/>
      <c r="BQ118" s="367"/>
      <c r="BR118" s="367"/>
      <c r="BS118" s="368"/>
      <c r="BT118" s="369"/>
      <c r="BU118" s="370"/>
      <c r="BV118" s="367"/>
      <c r="BW118" s="367"/>
      <c r="BX118" s="367"/>
      <c r="BY118" s="367"/>
      <c r="BZ118" s="367"/>
      <c r="CA118" s="367"/>
      <c r="CB118" s="367"/>
      <c r="CC118" s="368"/>
    </row>
    <row r="119" spans="1:81" s="227" customFormat="1" ht="15.75" x14ac:dyDescent="0.25">
      <c r="A119" s="360"/>
      <c r="B119" s="361"/>
      <c r="C119" s="362"/>
      <c r="D119" s="363"/>
      <c r="E119" s="364"/>
      <c r="F119" s="364"/>
      <c r="G119" s="364"/>
      <c r="H119" s="364"/>
      <c r="I119" s="364"/>
      <c r="J119" s="364"/>
      <c r="K119" s="365"/>
      <c r="L119" s="366"/>
      <c r="M119" s="367"/>
      <c r="N119" s="367"/>
      <c r="O119" s="367"/>
      <c r="P119" s="367"/>
      <c r="Q119" s="367"/>
      <c r="R119" s="367"/>
      <c r="S119" s="367"/>
      <c r="T119" s="367"/>
      <c r="U119" s="368"/>
      <c r="V119" s="369"/>
      <c r="W119" s="370"/>
      <c r="X119" s="371"/>
      <c r="Y119" s="367"/>
      <c r="Z119" s="367"/>
      <c r="AA119" s="367"/>
      <c r="AB119" s="367"/>
      <c r="AC119" s="367"/>
      <c r="AD119" s="367"/>
      <c r="AE119" s="368"/>
      <c r="AF119" s="369"/>
      <c r="AG119" s="370"/>
      <c r="AH119" s="371"/>
      <c r="AI119" s="367"/>
      <c r="AJ119" s="367"/>
      <c r="AK119" s="367"/>
      <c r="AL119" s="367"/>
      <c r="AM119" s="367"/>
      <c r="AN119" s="367"/>
      <c r="AO119" s="368"/>
      <c r="AP119" s="369"/>
      <c r="AQ119" s="370"/>
      <c r="AR119" s="371"/>
      <c r="AS119" s="367"/>
      <c r="AT119" s="367"/>
      <c r="AU119" s="367"/>
      <c r="AV119" s="367"/>
      <c r="AW119" s="367"/>
      <c r="AX119" s="367"/>
      <c r="AY119" s="368"/>
      <c r="AZ119" s="369"/>
      <c r="BA119" s="370"/>
      <c r="BB119" s="371"/>
      <c r="BC119" s="367"/>
      <c r="BD119" s="367"/>
      <c r="BE119" s="367"/>
      <c r="BF119" s="367"/>
      <c r="BG119" s="367"/>
      <c r="BH119" s="367"/>
      <c r="BI119" s="368"/>
      <c r="BJ119" s="369"/>
      <c r="BK119" s="370"/>
      <c r="BL119" s="371"/>
      <c r="BM119" s="367"/>
      <c r="BN119" s="367"/>
      <c r="BO119" s="367"/>
      <c r="BP119" s="367"/>
      <c r="BQ119" s="367"/>
      <c r="BR119" s="367"/>
      <c r="BS119" s="368"/>
      <c r="BT119" s="369"/>
      <c r="BU119" s="370"/>
      <c r="BV119" s="371"/>
      <c r="BW119" s="367"/>
      <c r="BX119" s="367"/>
      <c r="BY119" s="367"/>
      <c r="BZ119" s="367"/>
      <c r="CA119" s="367"/>
      <c r="CB119" s="367"/>
      <c r="CC119" s="368"/>
    </row>
    <row r="120" spans="1:81" s="375" customFormat="1" ht="28.5" customHeight="1" x14ac:dyDescent="0.25">
      <c r="A120" s="372" t="s">
        <v>166</v>
      </c>
      <c r="B120" s="373" t="str">
        <f>B2</f>
        <v>2015-16</v>
      </c>
      <c r="C120" s="485" t="str">
        <f>B120&amp;" COMMENTS"</f>
        <v>2015-16 COMMENTS</v>
      </c>
      <c r="D120" s="486"/>
      <c r="E120" s="486"/>
      <c r="F120" s="486"/>
      <c r="G120" s="486"/>
      <c r="H120" s="486"/>
      <c r="I120" s="486"/>
      <c r="J120" s="486"/>
      <c r="K120" s="487"/>
      <c r="L120" s="374" t="str">
        <f>L2</f>
        <v>2016-17</v>
      </c>
      <c r="M120" s="485" t="str">
        <f>L120&amp;" COMMENTS"</f>
        <v>2016-17 COMMENTS</v>
      </c>
      <c r="N120" s="486"/>
      <c r="O120" s="486"/>
      <c r="P120" s="486"/>
      <c r="Q120" s="486"/>
      <c r="R120" s="486"/>
      <c r="S120" s="486"/>
      <c r="T120" s="486"/>
      <c r="U120" s="487"/>
      <c r="V120" s="374" t="str">
        <f>V2</f>
        <v>2017-18</v>
      </c>
      <c r="W120" s="485" t="str">
        <f>V120&amp;" COMMENTS"</f>
        <v>2017-18 COMMENTS</v>
      </c>
      <c r="X120" s="486"/>
      <c r="Y120" s="486"/>
      <c r="Z120" s="486"/>
      <c r="AA120" s="486"/>
      <c r="AB120" s="486"/>
      <c r="AC120" s="486"/>
      <c r="AD120" s="486"/>
      <c r="AE120" s="487"/>
      <c r="AF120" s="374" t="str">
        <f>AF2</f>
        <v>2018-19</v>
      </c>
      <c r="AG120" s="485" t="str">
        <f>AF120&amp;" COMMENTS"</f>
        <v>2018-19 COMMENTS</v>
      </c>
      <c r="AH120" s="486"/>
      <c r="AI120" s="486"/>
      <c r="AJ120" s="486"/>
      <c r="AK120" s="486"/>
      <c r="AL120" s="486"/>
      <c r="AM120" s="486"/>
      <c r="AN120" s="486"/>
      <c r="AO120" s="487"/>
      <c r="AP120" s="374" t="str">
        <f>AP2</f>
        <v>2019-20</v>
      </c>
      <c r="AQ120" s="485" t="str">
        <f>AP120&amp;" COMMENTS"</f>
        <v>2019-20 COMMENTS</v>
      </c>
      <c r="AR120" s="486"/>
      <c r="AS120" s="486"/>
      <c r="AT120" s="486"/>
      <c r="AU120" s="486"/>
      <c r="AV120" s="486"/>
      <c r="AW120" s="486"/>
      <c r="AX120" s="486"/>
      <c r="AY120" s="487"/>
      <c r="AZ120" s="374" t="str">
        <f>AZ2</f>
        <v>2020-21</v>
      </c>
      <c r="BA120" s="485" t="str">
        <f>AZ120&amp;" COMMENTS"</f>
        <v>2020-21 COMMENTS</v>
      </c>
      <c r="BB120" s="486"/>
      <c r="BC120" s="486"/>
      <c r="BD120" s="486"/>
      <c r="BE120" s="486"/>
      <c r="BF120" s="486"/>
      <c r="BG120" s="486"/>
      <c r="BH120" s="486"/>
      <c r="BI120" s="487"/>
      <c r="BJ120" s="374" t="str">
        <f>BJ2</f>
        <v>2021-22</v>
      </c>
      <c r="BK120" s="485" t="str">
        <f>BJ120&amp;" COMMENTS"</f>
        <v>2021-22 COMMENTS</v>
      </c>
      <c r="BL120" s="486"/>
      <c r="BM120" s="486"/>
      <c r="BN120" s="486"/>
      <c r="BO120" s="486"/>
      <c r="BP120" s="486"/>
      <c r="BQ120" s="486"/>
      <c r="BR120" s="486"/>
      <c r="BS120" s="487"/>
      <c r="BT120" s="374" t="str">
        <f>BT2</f>
        <v>2022-23</v>
      </c>
      <c r="BU120" s="485" t="str">
        <f>BT120&amp;" COMMENTS"</f>
        <v>2022-23 COMMENTS</v>
      </c>
      <c r="BV120" s="486"/>
      <c r="BW120" s="486"/>
      <c r="BX120" s="486"/>
      <c r="BY120" s="486"/>
      <c r="BZ120" s="486"/>
      <c r="CA120" s="486"/>
      <c r="CB120" s="486"/>
      <c r="CC120" s="487"/>
    </row>
    <row r="121" spans="1:81" s="379" customFormat="1" ht="20.25" customHeight="1" x14ac:dyDescent="0.25">
      <c r="A121" s="376" t="s">
        <v>167</v>
      </c>
      <c r="B121" s="377">
        <v>25264</v>
      </c>
      <c r="C121" s="524"/>
      <c r="D121" s="525"/>
      <c r="E121" s="525"/>
      <c r="F121" s="525"/>
      <c r="G121" s="525"/>
      <c r="H121" s="525"/>
      <c r="I121" s="525"/>
      <c r="J121" s="525"/>
      <c r="K121" s="526"/>
      <c r="L121" s="377">
        <v>25080</v>
      </c>
      <c r="M121" s="524" t="s">
        <v>168</v>
      </c>
      <c r="N121" s="525"/>
      <c r="O121" s="525"/>
      <c r="P121" s="525"/>
      <c r="Q121" s="525"/>
      <c r="R121" s="525"/>
      <c r="S121" s="525"/>
      <c r="T121" s="525"/>
      <c r="U121" s="526"/>
      <c r="V121" s="377">
        <v>24836</v>
      </c>
      <c r="W121" s="524" t="s">
        <v>169</v>
      </c>
      <c r="X121" s="525"/>
      <c r="Y121" s="525"/>
      <c r="Z121" s="525"/>
      <c r="AA121" s="525"/>
      <c r="AB121" s="525"/>
      <c r="AC121" s="525"/>
      <c r="AD121" s="525"/>
      <c r="AE121" s="526"/>
      <c r="AF121" s="377">
        <v>24321</v>
      </c>
      <c r="AG121" s="524"/>
      <c r="AH121" s="525"/>
      <c r="AI121" s="525"/>
      <c r="AJ121" s="525"/>
      <c r="AK121" s="525"/>
      <c r="AL121" s="525"/>
      <c r="AM121" s="525"/>
      <c r="AN121" s="525"/>
      <c r="AO121" s="526"/>
      <c r="AP121" s="377">
        <v>22650</v>
      </c>
      <c r="AQ121" s="524"/>
      <c r="AR121" s="525"/>
      <c r="AS121" s="525"/>
      <c r="AT121" s="525"/>
      <c r="AU121" s="525"/>
      <c r="AV121" s="525"/>
      <c r="AW121" s="525"/>
      <c r="AX121" s="525"/>
      <c r="AY121" s="526"/>
      <c r="AZ121" s="377">
        <v>21242</v>
      </c>
      <c r="BA121" s="518"/>
      <c r="BB121" s="519"/>
      <c r="BC121" s="519"/>
      <c r="BD121" s="519"/>
      <c r="BE121" s="519"/>
      <c r="BF121" s="519"/>
      <c r="BG121" s="519"/>
      <c r="BH121" s="519"/>
      <c r="BI121" s="520"/>
      <c r="BJ121" s="377">
        <v>21006</v>
      </c>
      <c r="BK121" s="518"/>
      <c r="BL121" s="519"/>
      <c r="BM121" s="519"/>
      <c r="BN121" s="519"/>
      <c r="BO121" s="519"/>
      <c r="BP121" s="519"/>
      <c r="BQ121" s="519"/>
      <c r="BR121" s="519"/>
      <c r="BS121" s="520"/>
      <c r="BT121" s="378">
        <v>22870</v>
      </c>
      <c r="BU121" s="488"/>
      <c r="BV121" s="489"/>
      <c r="BW121" s="489"/>
      <c r="BX121" s="489"/>
      <c r="BY121" s="489"/>
      <c r="BZ121" s="489"/>
      <c r="CA121" s="489"/>
      <c r="CB121" s="489"/>
      <c r="CC121" s="490"/>
    </row>
    <row r="122" spans="1:81" s="379" customFormat="1" ht="20.25" customHeight="1" x14ac:dyDescent="0.25">
      <c r="A122" s="376" t="s">
        <v>170</v>
      </c>
      <c r="B122" s="377">
        <v>8251</v>
      </c>
      <c r="C122" s="518"/>
      <c r="D122" s="519"/>
      <c r="E122" s="519"/>
      <c r="F122" s="519"/>
      <c r="G122" s="519"/>
      <c r="H122" s="519"/>
      <c r="I122" s="519"/>
      <c r="J122" s="519"/>
      <c r="K122" s="520"/>
      <c r="L122" s="377">
        <v>8364</v>
      </c>
      <c r="M122" s="518"/>
      <c r="N122" s="519"/>
      <c r="O122" s="519"/>
      <c r="P122" s="519"/>
      <c r="Q122" s="519"/>
      <c r="R122" s="519"/>
      <c r="S122" s="519"/>
      <c r="T122" s="519"/>
      <c r="U122" s="520"/>
      <c r="V122" s="377">
        <v>7918</v>
      </c>
      <c r="W122" s="518"/>
      <c r="X122" s="519"/>
      <c r="Y122" s="519"/>
      <c r="Z122" s="519"/>
      <c r="AA122" s="519"/>
      <c r="AB122" s="519"/>
      <c r="AC122" s="519"/>
      <c r="AD122" s="519"/>
      <c r="AE122" s="520"/>
      <c r="AF122" s="377">
        <v>7394</v>
      </c>
      <c r="AG122" s="518"/>
      <c r="AH122" s="519"/>
      <c r="AI122" s="519"/>
      <c r="AJ122" s="519"/>
      <c r="AK122" s="519"/>
      <c r="AL122" s="519"/>
      <c r="AM122" s="519"/>
      <c r="AN122" s="519"/>
      <c r="AO122" s="520"/>
      <c r="AP122" s="377">
        <v>7496</v>
      </c>
      <c r="AQ122" s="518"/>
      <c r="AR122" s="519"/>
      <c r="AS122" s="519"/>
      <c r="AT122" s="519"/>
      <c r="AU122" s="519"/>
      <c r="AV122" s="519"/>
      <c r="AW122" s="519"/>
      <c r="AX122" s="519"/>
      <c r="AY122" s="520"/>
      <c r="AZ122" s="377">
        <v>8442</v>
      </c>
      <c r="BA122" s="518"/>
      <c r="BB122" s="519"/>
      <c r="BC122" s="519"/>
      <c r="BD122" s="519"/>
      <c r="BE122" s="519"/>
      <c r="BF122" s="519"/>
      <c r="BG122" s="519"/>
      <c r="BH122" s="519"/>
      <c r="BI122" s="520"/>
      <c r="BJ122" s="377">
        <v>10857</v>
      </c>
      <c r="BK122" s="518"/>
      <c r="BL122" s="519"/>
      <c r="BM122" s="519"/>
      <c r="BN122" s="519"/>
      <c r="BO122" s="519"/>
      <c r="BP122" s="519"/>
      <c r="BQ122" s="519"/>
      <c r="BR122" s="519"/>
      <c r="BS122" s="520"/>
      <c r="BT122" s="378">
        <v>7079</v>
      </c>
      <c r="BU122" s="488"/>
      <c r="BV122" s="489"/>
      <c r="BW122" s="489"/>
      <c r="BX122" s="489"/>
      <c r="BY122" s="489"/>
      <c r="BZ122" s="489"/>
      <c r="CA122" s="489"/>
      <c r="CB122" s="489"/>
      <c r="CC122" s="490"/>
    </row>
    <row r="123" spans="1:81" s="379" customFormat="1" ht="20.25" customHeight="1" x14ac:dyDescent="0.25">
      <c r="A123" s="376" t="s">
        <v>171</v>
      </c>
      <c r="B123" s="377">
        <v>4739</v>
      </c>
      <c r="C123" s="518"/>
      <c r="D123" s="519"/>
      <c r="E123" s="519"/>
      <c r="F123" s="519"/>
      <c r="G123" s="519"/>
      <c r="H123" s="519"/>
      <c r="I123" s="519"/>
      <c r="J123" s="519"/>
      <c r="K123" s="520"/>
      <c r="L123" s="377">
        <v>4363</v>
      </c>
      <c r="M123" s="518"/>
      <c r="N123" s="519"/>
      <c r="O123" s="519"/>
      <c r="P123" s="519"/>
      <c r="Q123" s="519"/>
      <c r="R123" s="519"/>
      <c r="S123" s="519"/>
      <c r="T123" s="519"/>
      <c r="U123" s="520"/>
      <c r="V123" s="377">
        <v>4528</v>
      </c>
      <c r="W123" s="518"/>
      <c r="X123" s="519"/>
      <c r="Y123" s="519"/>
      <c r="Z123" s="519"/>
      <c r="AA123" s="519"/>
      <c r="AB123" s="519"/>
      <c r="AC123" s="519"/>
      <c r="AD123" s="519"/>
      <c r="AE123" s="520"/>
      <c r="AF123" s="377">
        <v>4436</v>
      </c>
      <c r="AG123" s="518"/>
      <c r="AH123" s="519"/>
      <c r="AI123" s="519"/>
      <c r="AJ123" s="519"/>
      <c r="AK123" s="519"/>
      <c r="AL123" s="519"/>
      <c r="AM123" s="519"/>
      <c r="AN123" s="519"/>
      <c r="AO123" s="520"/>
      <c r="AP123" s="377">
        <v>5002</v>
      </c>
      <c r="AQ123" s="518"/>
      <c r="AR123" s="519"/>
      <c r="AS123" s="519"/>
      <c r="AT123" s="519"/>
      <c r="AU123" s="519"/>
      <c r="AV123" s="519"/>
      <c r="AW123" s="519"/>
      <c r="AX123" s="519"/>
      <c r="AY123" s="520"/>
      <c r="AZ123" s="377">
        <v>5105</v>
      </c>
      <c r="BA123" s="518"/>
      <c r="BB123" s="519"/>
      <c r="BC123" s="519"/>
      <c r="BD123" s="519"/>
      <c r="BE123" s="519"/>
      <c r="BF123" s="519"/>
      <c r="BG123" s="519"/>
      <c r="BH123" s="519"/>
      <c r="BI123" s="520"/>
      <c r="BJ123" s="377">
        <v>5533</v>
      </c>
      <c r="BK123" s="518"/>
      <c r="BL123" s="519"/>
      <c r="BM123" s="519"/>
      <c r="BN123" s="519"/>
      <c r="BO123" s="519"/>
      <c r="BP123" s="519"/>
      <c r="BQ123" s="519"/>
      <c r="BR123" s="519"/>
      <c r="BS123" s="520"/>
      <c r="BT123" s="378">
        <v>4640</v>
      </c>
      <c r="BU123" s="488"/>
      <c r="BV123" s="489"/>
      <c r="BW123" s="489"/>
      <c r="BX123" s="489"/>
      <c r="BY123" s="489"/>
      <c r="BZ123" s="489"/>
      <c r="CA123" s="489"/>
      <c r="CB123" s="489"/>
      <c r="CC123" s="490"/>
    </row>
    <row r="124" spans="1:81" s="379" customFormat="1" ht="20.25" customHeight="1" x14ac:dyDescent="0.25">
      <c r="A124" s="376" t="s">
        <v>172</v>
      </c>
      <c r="B124" s="380">
        <f>IFERROR(B122/B121,"")</f>
        <v>0.3265911969601013</v>
      </c>
      <c r="C124" s="518"/>
      <c r="D124" s="519"/>
      <c r="E124" s="519"/>
      <c r="F124" s="519"/>
      <c r="G124" s="519"/>
      <c r="H124" s="519"/>
      <c r="I124" s="519"/>
      <c r="J124" s="519"/>
      <c r="K124" s="520"/>
      <c r="L124" s="381">
        <f>IFERROR(L122/L121,"")</f>
        <v>0.33349282296650717</v>
      </c>
      <c r="M124" s="518"/>
      <c r="N124" s="519"/>
      <c r="O124" s="519"/>
      <c r="P124" s="519"/>
      <c r="Q124" s="519"/>
      <c r="R124" s="519"/>
      <c r="S124" s="519"/>
      <c r="T124" s="519"/>
      <c r="U124" s="520"/>
      <c r="V124" s="381">
        <f>IFERROR(V122/V121,"")</f>
        <v>0.31881140280238363</v>
      </c>
      <c r="W124" s="518"/>
      <c r="X124" s="519"/>
      <c r="Y124" s="519"/>
      <c r="Z124" s="519"/>
      <c r="AA124" s="519"/>
      <c r="AB124" s="519"/>
      <c r="AC124" s="519"/>
      <c r="AD124" s="519"/>
      <c r="AE124" s="520"/>
      <c r="AF124" s="381">
        <f>IFERROR(AF122/AF121,"")</f>
        <v>0.30401710455984537</v>
      </c>
      <c r="AG124" s="518"/>
      <c r="AH124" s="519"/>
      <c r="AI124" s="519"/>
      <c r="AJ124" s="519"/>
      <c r="AK124" s="519"/>
      <c r="AL124" s="519"/>
      <c r="AM124" s="519"/>
      <c r="AN124" s="519"/>
      <c r="AO124" s="520"/>
      <c r="AP124" s="381">
        <f>IFERROR(AP122/AP121,"")</f>
        <v>0.33094922737306842</v>
      </c>
      <c r="AQ124" s="518"/>
      <c r="AR124" s="519"/>
      <c r="AS124" s="519"/>
      <c r="AT124" s="519"/>
      <c r="AU124" s="519"/>
      <c r="AV124" s="519"/>
      <c r="AW124" s="519"/>
      <c r="AX124" s="519"/>
      <c r="AY124" s="520"/>
      <c r="AZ124" s="381">
        <f>IFERROR(AZ122/AZ121,"")</f>
        <v>0.39742020525374261</v>
      </c>
      <c r="BA124" s="518"/>
      <c r="BB124" s="519"/>
      <c r="BC124" s="519"/>
      <c r="BD124" s="519"/>
      <c r="BE124" s="519"/>
      <c r="BF124" s="519"/>
      <c r="BG124" s="519"/>
      <c r="BH124" s="519"/>
      <c r="BI124" s="520"/>
      <c r="BJ124" s="381">
        <f>IFERROR(BJ122/BJ121,"")</f>
        <v>0.51685232790631253</v>
      </c>
      <c r="BK124" s="518"/>
      <c r="BL124" s="519"/>
      <c r="BM124" s="519"/>
      <c r="BN124" s="519"/>
      <c r="BO124" s="519"/>
      <c r="BP124" s="519"/>
      <c r="BQ124" s="519"/>
      <c r="BR124" s="519"/>
      <c r="BS124" s="520"/>
      <c r="BT124" s="381">
        <f>IFERROR(BT122/BT121,"")</f>
        <v>0.30953213817227809</v>
      </c>
      <c r="BU124" s="488"/>
      <c r="BV124" s="489"/>
      <c r="BW124" s="489"/>
      <c r="BX124" s="489"/>
      <c r="BY124" s="489"/>
      <c r="BZ124" s="489"/>
      <c r="CA124" s="489"/>
      <c r="CB124" s="489"/>
      <c r="CC124" s="490"/>
    </row>
    <row r="125" spans="1:81" s="379" customFormat="1" ht="20.25" customHeight="1" x14ac:dyDescent="0.25">
      <c r="A125" s="376" t="s">
        <v>173</v>
      </c>
      <c r="B125" s="377">
        <v>7738</v>
      </c>
      <c r="C125" s="518"/>
      <c r="D125" s="519"/>
      <c r="E125" s="519"/>
      <c r="F125" s="519"/>
      <c r="G125" s="519"/>
      <c r="H125" s="519"/>
      <c r="I125" s="519"/>
      <c r="J125" s="519"/>
      <c r="K125" s="520"/>
      <c r="L125" s="377">
        <v>7839</v>
      </c>
      <c r="M125" s="518"/>
      <c r="N125" s="519"/>
      <c r="O125" s="519"/>
      <c r="P125" s="519"/>
      <c r="Q125" s="519"/>
      <c r="R125" s="519"/>
      <c r="S125" s="519"/>
      <c r="T125" s="519"/>
      <c r="U125" s="520"/>
      <c r="V125" s="377">
        <v>7454</v>
      </c>
      <c r="W125" s="518"/>
      <c r="X125" s="519"/>
      <c r="Y125" s="519"/>
      <c r="Z125" s="519"/>
      <c r="AA125" s="519"/>
      <c r="AB125" s="519"/>
      <c r="AC125" s="519"/>
      <c r="AD125" s="519"/>
      <c r="AE125" s="520"/>
      <c r="AF125" s="377">
        <v>6911</v>
      </c>
      <c r="AG125" s="518"/>
      <c r="AH125" s="519"/>
      <c r="AI125" s="519"/>
      <c r="AJ125" s="519"/>
      <c r="AK125" s="519"/>
      <c r="AL125" s="519"/>
      <c r="AM125" s="519"/>
      <c r="AN125" s="519"/>
      <c r="AO125" s="520"/>
      <c r="AP125" s="377">
        <v>7342</v>
      </c>
      <c r="AQ125" s="518"/>
      <c r="AR125" s="519"/>
      <c r="AS125" s="519"/>
      <c r="AT125" s="519"/>
      <c r="AU125" s="519"/>
      <c r="AV125" s="519"/>
      <c r="AW125" s="519"/>
      <c r="AX125" s="519"/>
      <c r="AY125" s="520"/>
      <c r="AZ125" s="377">
        <v>7402</v>
      </c>
      <c r="BA125" s="518"/>
      <c r="BB125" s="519"/>
      <c r="BC125" s="519"/>
      <c r="BD125" s="519"/>
      <c r="BE125" s="519"/>
      <c r="BF125" s="519"/>
      <c r="BG125" s="519"/>
      <c r="BH125" s="519"/>
      <c r="BI125" s="520"/>
      <c r="BJ125" s="377">
        <v>9582</v>
      </c>
      <c r="BK125" s="518"/>
      <c r="BL125" s="519"/>
      <c r="BM125" s="519"/>
      <c r="BN125" s="519"/>
      <c r="BO125" s="519"/>
      <c r="BP125" s="519"/>
      <c r="BQ125" s="519"/>
      <c r="BR125" s="519"/>
      <c r="BS125" s="520"/>
      <c r="BT125" s="378">
        <v>6205</v>
      </c>
      <c r="BU125" s="488"/>
      <c r="BV125" s="489"/>
      <c r="BW125" s="489"/>
      <c r="BX125" s="489"/>
      <c r="BY125" s="489"/>
      <c r="BZ125" s="489"/>
      <c r="CA125" s="489"/>
      <c r="CB125" s="489"/>
      <c r="CC125" s="490"/>
    </row>
    <row r="126" spans="1:81" s="379" customFormat="1" ht="20.25" customHeight="1" x14ac:dyDescent="0.25">
      <c r="A126" s="376" t="s">
        <v>174</v>
      </c>
      <c r="B126" s="380">
        <f>IFERROR(B125/B122,"")</f>
        <v>0.93782571809477644</v>
      </c>
      <c r="C126" s="518"/>
      <c r="D126" s="519"/>
      <c r="E126" s="519"/>
      <c r="F126" s="519"/>
      <c r="G126" s="519"/>
      <c r="H126" s="519"/>
      <c r="I126" s="519"/>
      <c r="J126" s="519"/>
      <c r="K126" s="520"/>
      <c r="L126" s="381">
        <f>IFERROR(L125/L122,"")</f>
        <v>0.93723098995695842</v>
      </c>
      <c r="M126" s="518"/>
      <c r="N126" s="519"/>
      <c r="O126" s="519"/>
      <c r="P126" s="519"/>
      <c r="Q126" s="519"/>
      <c r="R126" s="519"/>
      <c r="S126" s="519"/>
      <c r="T126" s="519"/>
      <c r="U126" s="520"/>
      <c r="V126" s="381">
        <f>IFERROR(V125/V122,"")</f>
        <v>0.94139934326850216</v>
      </c>
      <c r="W126" s="518"/>
      <c r="X126" s="519"/>
      <c r="Y126" s="519"/>
      <c r="Z126" s="519"/>
      <c r="AA126" s="519"/>
      <c r="AB126" s="519"/>
      <c r="AC126" s="519"/>
      <c r="AD126" s="519"/>
      <c r="AE126" s="520"/>
      <c r="AF126" s="381">
        <f>IFERROR(AF125/AF122,"")</f>
        <v>0.93467676494454965</v>
      </c>
      <c r="AG126" s="518"/>
      <c r="AH126" s="519"/>
      <c r="AI126" s="519"/>
      <c r="AJ126" s="519"/>
      <c r="AK126" s="519"/>
      <c r="AL126" s="519"/>
      <c r="AM126" s="519"/>
      <c r="AN126" s="519"/>
      <c r="AO126" s="520"/>
      <c r="AP126" s="381">
        <f>IFERROR(AP125/AP122,"")</f>
        <v>0.97945570971184637</v>
      </c>
      <c r="AQ126" s="518"/>
      <c r="AR126" s="519"/>
      <c r="AS126" s="519"/>
      <c r="AT126" s="519"/>
      <c r="AU126" s="519"/>
      <c r="AV126" s="519"/>
      <c r="AW126" s="519"/>
      <c r="AX126" s="519"/>
      <c r="AY126" s="520"/>
      <c r="AZ126" s="381">
        <f>IFERROR(AZ125/AZ122,"")</f>
        <v>0.87680644397062313</v>
      </c>
      <c r="BA126" s="518"/>
      <c r="BB126" s="519"/>
      <c r="BC126" s="519"/>
      <c r="BD126" s="519"/>
      <c r="BE126" s="519"/>
      <c r="BF126" s="519"/>
      <c r="BG126" s="519"/>
      <c r="BH126" s="519"/>
      <c r="BI126" s="520"/>
      <c r="BJ126" s="381">
        <f>IFERROR(BJ125/BJ122,"")</f>
        <v>0.88256424426637192</v>
      </c>
      <c r="BK126" s="518"/>
      <c r="BL126" s="519"/>
      <c r="BM126" s="519"/>
      <c r="BN126" s="519"/>
      <c r="BO126" s="519"/>
      <c r="BP126" s="519"/>
      <c r="BQ126" s="519"/>
      <c r="BR126" s="519"/>
      <c r="BS126" s="520"/>
      <c r="BT126" s="381">
        <f>IFERROR(BT125/BT122,"")</f>
        <v>0.87653623393134628</v>
      </c>
      <c r="BU126" s="488"/>
      <c r="BV126" s="489"/>
      <c r="BW126" s="489"/>
      <c r="BX126" s="489"/>
      <c r="BY126" s="489"/>
      <c r="BZ126" s="489"/>
      <c r="CA126" s="489"/>
      <c r="CB126" s="489"/>
      <c r="CC126" s="490"/>
    </row>
    <row r="127" spans="1:81" s="379" customFormat="1" ht="20.25" customHeight="1" x14ac:dyDescent="0.25">
      <c r="A127" s="376" t="s">
        <v>175</v>
      </c>
      <c r="B127" s="382">
        <f>C116</f>
        <v>28895775</v>
      </c>
      <c r="C127" s="518"/>
      <c r="D127" s="519"/>
      <c r="E127" s="519"/>
      <c r="F127" s="519"/>
      <c r="G127" s="519"/>
      <c r="H127" s="519"/>
      <c r="I127" s="519"/>
      <c r="J127" s="519"/>
      <c r="K127" s="520"/>
      <c r="L127" s="382">
        <f>M116</f>
        <v>27954111</v>
      </c>
      <c r="M127" s="518"/>
      <c r="N127" s="519"/>
      <c r="O127" s="519"/>
      <c r="P127" s="519"/>
      <c r="Q127" s="519"/>
      <c r="R127" s="519"/>
      <c r="S127" s="519"/>
      <c r="T127" s="519"/>
      <c r="U127" s="520"/>
      <c r="V127" s="382">
        <f>W116</f>
        <v>29033520.149999999</v>
      </c>
      <c r="W127" s="518"/>
      <c r="X127" s="519"/>
      <c r="Y127" s="519"/>
      <c r="Z127" s="519"/>
      <c r="AA127" s="519"/>
      <c r="AB127" s="519"/>
      <c r="AC127" s="519"/>
      <c r="AD127" s="519"/>
      <c r="AE127" s="520"/>
      <c r="AF127" s="382">
        <f>AG116</f>
        <v>28892140</v>
      </c>
      <c r="AG127" s="518"/>
      <c r="AH127" s="519"/>
      <c r="AI127" s="519"/>
      <c r="AJ127" s="519"/>
      <c r="AK127" s="519"/>
      <c r="AL127" s="519"/>
      <c r="AM127" s="519"/>
      <c r="AN127" s="519"/>
      <c r="AO127" s="520"/>
      <c r="AP127" s="382">
        <f>AQ116</f>
        <v>27548530.449999999</v>
      </c>
      <c r="AQ127" s="518"/>
      <c r="AR127" s="519"/>
      <c r="AS127" s="519"/>
      <c r="AT127" s="519"/>
      <c r="AU127" s="519"/>
      <c r="AV127" s="519"/>
      <c r="AW127" s="519"/>
      <c r="AX127" s="519"/>
      <c r="AY127" s="520"/>
      <c r="AZ127" s="382">
        <f>BA116</f>
        <v>30136348</v>
      </c>
      <c r="BA127" s="518"/>
      <c r="BB127" s="519"/>
      <c r="BC127" s="519"/>
      <c r="BD127" s="519"/>
      <c r="BE127" s="519"/>
      <c r="BF127" s="519"/>
      <c r="BG127" s="519"/>
      <c r="BH127" s="519"/>
      <c r="BI127" s="520"/>
      <c r="BJ127" s="382">
        <f>BK116</f>
        <v>39760744</v>
      </c>
      <c r="BK127" s="518"/>
      <c r="BL127" s="519"/>
      <c r="BM127" s="519"/>
      <c r="BN127" s="519"/>
      <c r="BO127" s="519"/>
      <c r="BP127" s="519"/>
      <c r="BQ127" s="519"/>
      <c r="BR127" s="519"/>
      <c r="BS127" s="520"/>
      <c r="BT127" s="382">
        <f>BU116</f>
        <v>28709137.18</v>
      </c>
      <c r="BU127" s="488"/>
      <c r="BV127" s="489"/>
      <c r="BW127" s="489"/>
      <c r="BX127" s="489"/>
      <c r="BY127" s="489"/>
      <c r="BZ127" s="489"/>
      <c r="CA127" s="489"/>
      <c r="CB127" s="489"/>
      <c r="CC127" s="490"/>
    </row>
    <row r="128" spans="1:81" s="379" customFormat="1" ht="20.25" customHeight="1" x14ac:dyDescent="0.25">
      <c r="A128" s="376" t="s">
        <v>176</v>
      </c>
      <c r="B128" s="382">
        <f>J116</f>
        <v>27380534</v>
      </c>
      <c r="C128" s="518"/>
      <c r="D128" s="519"/>
      <c r="E128" s="519"/>
      <c r="F128" s="519"/>
      <c r="G128" s="519"/>
      <c r="H128" s="519"/>
      <c r="I128" s="519"/>
      <c r="J128" s="519"/>
      <c r="K128" s="520"/>
      <c r="L128" s="382">
        <f>T116</f>
        <v>26438999</v>
      </c>
      <c r="M128" s="518"/>
      <c r="N128" s="519"/>
      <c r="O128" s="519"/>
      <c r="P128" s="519"/>
      <c r="Q128" s="519"/>
      <c r="R128" s="519"/>
      <c r="S128" s="519"/>
      <c r="T128" s="519"/>
      <c r="U128" s="520"/>
      <c r="V128" s="382">
        <f>AD116</f>
        <v>27360756</v>
      </c>
      <c r="W128" s="518"/>
      <c r="X128" s="519"/>
      <c r="Y128" s="519"/>
      <c r="Z128" s="519"/>
      <c r="AA128" s="519"/>
      <c r="AB128" s="519"/>
      <c r="AC128" s="519"/>
      <c r="AD128" s="519"/>
      <c r="AE128" s="520"/>
      <c r="AF128" s="382">
        <f>AN116</f>
        <v>26997219</v>
      </c>
      <c r="AG128" s="518"/>
      <c r="AH128" s="519"/>
      <c r="AI128" s="519"/>
      <c r="AJ128" s="519"/>
      <c r="AK128" s="519"/>
      <c r="AL128" s="519"/>
      <c r="AM128" s="519"/>
      <c r="AN128" s="519"/>
      <c r="AO128" s="520"/>
      <c r="AP128" s="382">
        <f>AX116</f>
        <v>26435625</v>
      </c>
      <c r="AQ128" s="518"/>
      <c r="AR128" s="519"/>
      <c r="AS128" s="519"/>
      <c r="AT128" s="519"/>
      <c r="AU128" s="519"/>
      <c r="AV128" s="519"/>
      <c r="AW128" s="519"/>
      <c r="AX128" s="519"/>
      <c r="AY128" s="520"/>
      <c r="AZ128" s="382">
        <f>BH116</f>
        <v>28287755.32</v>
      </c>
      <c r="BA128" s="518"/>
      <c r="BB128" s="519"/>
      <c r="BC128" s="519"/>
      <c r="BD128" s="519"/>
      <c r="BE128" s="519"/>
      <c r="BF128" s="519"/>
      <c r="BG128" s="519"/>
      <c r="BH128" s="519"/>
      <c r="BI128" s="520"/>
      <c r="BJ128" s="382">
        <f>BR116</f>
        <v>36067160</v>
      </c>
      <c r="BK128" s="518"/>
      <c r="BL128" s="519"/>
      <c r="BM128" s="519"/>
      <c r="BN128" s="519"/>
      <c r="BO128" s="519"/>
      <c r="BP128" s="519"/>
      <c r="BQ128" s="519"/>
      <c r="BR128" s="519"/>
      <c r="BS128" s="520"/>
      <c r="BT128" s="382">
        <f>CB116</f>
        <v>27058270</v>
      </c>
      <c r="BU128" s="488"/>
      <c r="BV128" s="489"/>
      <c r="BW128" s="489"/>
      <c r="BX128" s="489"/>
      <c r="BY128" s="489"/>
      <c r="BZ128" s="489"/>
      <c r="CA128" s="489"/>
      <c r="CB128" s="489"/>
      <c r="CC128" s="490"/>
    </row>
    <row r="129" spans="1:81" s="379" customFormat="1" ht="20.25" customHeight="1" x14ac:dyDescent="0.25">
      <c r="A129" s="376" t="s">
        <v>177</v>
      </c>
      <c r="B129" s="382">
        <f>K116</f>
        <v>2360026</v>
      </c>
      <c r="C129" s="518"/>
      <c r="D129" s="519"/>
      <c r="E129" s="519"/>
      <c r="F129" s="519"/>
      <c r="G129" s="519"/>
      <c r="H129" s="519"/>
      <c r="I129" s="519"/>
      <c r="J129" s="519"/>
      <c r="K129" s="520"/>
      <c r="L129" s="382">
        <f>U116</f>
        <v>2070447</v>
      </c>
      <c r="M129" s="518"/>
      <c r="N129" s="519"/>
      <c r="O129" s="519"/>
      <c r="P129" s="519"/>
      <c r="Q129" s="519"/>
      <c r="R129" s="519"/>
      <c r="S129" s="519"/>
      <c r="T129" s="519"/>
      <c r="U129" s="520"/>
      <c r="V129" s="382">
        <f>AE116</f>
        <v>2125996</v>
      </c>
      <c r="W129" s="518"/>
      <c r="X129" s="519"/>
      <c r="Y129" s="519"/>
      <c r="Z129" s="519"/>
      <c r="AA129" s="519"/>
      <c r="AB129" s="519"/>
      <c r="AC129" s="519"/>
      <c r="AD129" s="519"/>
      <c r="AE129" s="520"/>
      <c r="AF129" s="382">
        <f>AO116</f>
        <v>2009584</v>
      </c>
      <c r="AG129" s="518"/>
      <c r="AH129" s="519"/>
      <c r="AI129" s="519"/>
      <c r="AJ129" s="519"/>
      <c r="AK129" s="519"/>
      <c r="AL129" s="519"/>
      <c r="AM129" s="519"/>
      <c r="AN129" s="519"/>
      <c r="AO129" s="520"/>
      <c r="AP129" s="382">
        <f>AY116</f>
        <v>1962227</v>
      </c>
      <c r="AQ129" s="518"/>
      <c r="AR129" s="519"/>
      <c r="AS129" s="519"/>
      <c r="AT129" s="519"/>
      <c r="AU129" s="519"/>
      <c r="AV129" s="519"/>
      <c r="AW129" s="519"/>
      <c r="AX129" s="519"/>
      <c r="AY129" s="520"/>
      <c r="AZ129" s="382">
        <f>BI116</f>
        <v>1577701</v>
      </c>
      <c r="BA129" s="518"/>
      <c r="BB129" s="519"/>
      <c r="BC129" s="519"/>
      <c r="BD129" s="519"/>
      <c r="BE129" s="519"/>
      <c r="BF129" s="519"/>
      <c r="BG129" s="519"/>
      <c r="BH129" s="519"/>
      <c r="BI129" s="520"/>
      <c r="BJ129" s="382">
        <f>BS116</f>
        <v>2193330</v>
      </c>
      <c r="BK129" s="518"/>
      <c r="BL129" s="519"/>
      <c r="BM129" s="519"/>
      <c r="BN129" s="519"/>
      <c r="BO129" s="519"/>
      <c r="BP129" s="519"/>
      <c r="BQ129" s="519"/>
      <c r="BR129" s="519"/>
      <c r="BS129" s="520"/>
      <c r="BT129" s="382">
        <f>CC116</f>
        <v>2595855</v>
      </c>
      <c r="BU129" s="488"/>
      <c r="BV129" s="489"/>
      <c r="BW129" s="489"/>
      <c r="BX129" s="489"/>
      <c r="BY129" s="489"/>
      <c r="BZ129" s="489"/>
      <c r="CA129" s="489"/>
      <c r="CB129" s="489"/>
      <c r="CC129" s="490"/>
    </row>
    <row r="130" spans="1:81" s="379" customFormat="1" ht="20.25" customHeight="1" x14ac:dyDescent="0.25">
      <c r="A130" s="376" t="s">
        <v>178</v>
      </c>
      <c r="B130" s="382">
        <f>E116-B129</f>
        <v>63214</v>
      </c>
      <c r="C130" s="518"/>
      <c r="D130" s="519"/>
      <c r="E130" s="519"/>
      <c r="F130" s="519"/>
      <c r="G130" s="519"/>
      <c r="H130" s="519"/>
      <c r="I130" s="519"/>
      <c r="J130" s="519"/>
      <c r="K130" s="520"/>
      <c r="L130" s="382">
        <f>O116-L129</f>
        <v>42480</v>
      </c>
      <c r="M130" s="518"/>
      <c r="N130" s="519"/>
      <c r="O130" s="519"/>
      <c r="P130" s="519"/>
      <c r="Q130" s="519"/>
      <c r="R130" s="519"/>
      <c r="S130" s="519"/>
      <c r="T130" s="519"/>
      <c r="U130" s="520"/>
      <c r="V130" s="382">
        <f>Y116-V129</f>
        <v>84890</v>
      </c>
      <c r="W130" s="518"/>
      <c r="X130" s="519"/>
      <c r="Y130" s="519"/>
      <c r="Z130" s="519"/>
      <c r="AA130" s="519"/>
      <c r="AB130" s="519"/>
      <c r="AC130" s="519"/>
      <c r="AD130" s="519"/>
      <c r="AE130" s="520"/>
      <c r="AF130" s="382">
        <f>AI116-AF129</f>
        <v>79872</v>
      </c>
      <c r="AG130" s="518"/>
      <c r="AH130" s="519"/>
      <c r="AI130" s="519"/>
      <c r="AJ130" s="519"/>
      <c r="AK130" s="519"/>
      <c r="AL130" s="519"/>
      <c r="AM130" s="519"/>
      <c r="AN130" s="519"/>
      <c r="AO130" s="520"/>
      <c r="AP130" s="382">
        <f>AS116-AP129</f>
        <v>33649.449999999953</v>
      </c>
      <c r="AQ130" s="518"/>
      <c r="AR130" s="519"/>
      <c r="AS130" s="519"/>
      <c r="AT130" s="519"/>
      <c r="AU130" s="519"/>
      <c r="AV130" s="519"/>
      <c r="AW130" s="519"/>
      <c r="AX130" s="519"/>
      <c r="AY130" s="520"/>
      <c r="AZ130" s="382">
        <f>BC116-AZ129</f>
        <v>40008</v>
      </c>
      <c r="BA130" s="518"/>
      <c r="BB130" s="519"/>
      <c r="BC130" s="519"/>
      <c r="BD130" s="519"/>
      <c r="BE130" s="519"/>
      <c r="BF130" s="519"/>
      <c r="BG130" s="519"/>
      <c r="BH130" s="519"/>
      <c r="BI130" s="520"/>
      <c r="BJ130" s="382">
        <f>BM116-BJ129</f>
        <v>50248</v>
      </c>
      <c r="BK130" s="518"/>
      <c r="BL130" s="519"/>
      <c r="BM130" s="519"/>
      <c r="BN130" s="519"/>
      <c r="BO130" s="519"/>
      <c r="BP130" s="519"/>
      <c r="BQ130" s="519"/>
      <c r="BR130" s="519"/>
      <c r="BS130" s="520"/>
      <c r="BT130" s="382">
        <f>BW116-BT129</f>
        <v>39039.180000000168</v>
      </c>
      <c r="BU130" s="488"/>
      <c r="BV130" s="489"/>
      <c r="BW130" s="489"/>
      <c r="BX130" s="489"/>
      <c r="BY130" s="489"/>
      <c r="BZ130" s="489"/>
      <c r="CA130" s="489"/>
      <c r="CB130" s="489"/>
      <c r="CC130" s="490"/>
    </row>
    <row r="131" spans="1:81" s="379" customFormat="1" ht="20.25" customHeight="1" x14ac:dyDescent="0.25">
      <c r="A131" s="376" t="s">
        <v>179</v>
      </c>
      <c r="B131" s="380">
        <f>IFERROR(B128/B127,"")</f>
        <v>0.94756184943992672</v>
      </c>
      <c r="C131" s="518"/>
      <c r="D131" s="519"/>
      <c r="E131" s="519"/>
      <c r="F131" s="519"/>
      <c r="G131" s="519"/>
      <c r="H131" s="519"/>
      <c r="I131" s="519"/>
      <c r="J131" s="519"/>
      <c r="K131" s="520"/>
      <c r="L131" s="381">
        <f>IFERROR(L128/L127,"")</f>
        <v>0.94580002919785211</v>
      </c>
      <c r="M131" s="518"/>
      <c r="N131" s="519"/>
      <c r="O131" s="519"/>
      <c r="P131" s="519"/>
      <c r="Q131" s="519"/>
      <c r="R131" s="519"/>
      <c r="S131" s="519"/>
      <c r="T131" s="519"/>
      <c r="U131" s="520"/>
      <c r="V131" s="381">
        <f>IFERROR(V128/V127,"")</f>
        <v>0.94238507279317973</v>
      </c>
      <c r="W131" s="518"/>
      <c r="X131" s="519"/>
      <c r="Y131" s="519"/>
      <c r="Z131" s="519"/>
      <c r="AA131" s="519"/>
      <c r="AB131" s="519"/>
      <c r="AC131" s="519"/>
      <c r="AD131" s="519"/>
      <c r="AE131" s="520"/>
      <c r="AF131" s="381">
        <f>IFERROR(AF128/AF127,"")</f>
        <v>0.93441396172107705</v>
      </c>
      <c r="AG131" s="518"/>
      <c r="AH131" s="519"/>
      <c r="AI131" s="519"/>
      <c r="AJ131" s="519"/>
      <c r="AK131" s="519"/>
      <c r="AL131" s="519"/>
      <c r="AM131" s="519"/>
      <c r="AN131" s="519"/>
      <c r="AO131" s="520"/>
      <c r="AP131" s="381">
        <f>IFERROR(AP128/AP127,"")</f>
        <v>0.95960200301718823</v>
      </c>
      <c r="AQ131" s="518"/>
      <c r="AR131" s="519"/>
      <c r="AS131" s="519"/>
      <c r="AT131" s="519"/>
      <c r="AU131" s="519"/>
      <c r="AV131" s="519"/>
      <c r="AW131" s="519"/>
      <c r="AX131" s="519"/>
      <c r="AY131" s="520"/>
      <c r="AZ131" s="381">
        <f>IFERROR(AZ128/AZ127,"")</f>
        <v>0.93865903459835276</v>
      </c>
      <c r="BA131" s="518"/>
      <c r="BB131" s="519"/>
      <c r="BC131" s="519"/>
      <c r="BD131" s="519"/>
      <c r="BE131" s="519"/>
      <c r="BF131" s="519"/>
      <c r="BG131" s="519"/>
      <c r="BH131" s="519"/>
      <c r="BI131" s="520"/>
      <c r="BJ131" s="381">
        <f>IFERROR(BJ128/BJ127,"")</f>
        <v>0.90710475638987043</v>
      </c>
      <c r="BK131" s="518"/>
      <c r="BL131" s="519"/>
      <c r="BM131" s="519"/>
      <c r="BN131" s="519"/>
      <c r="BO131" s="519"/>
      <c r="BP131" s="519"/>
      <c r="BQ131" s="519"/>
      <c r="BR131" s="519"/>
      <c r="BS131" s="520"/>
      <c r="BT131" s="381">
        <f>IFERROR(BT128/BT127,"")</f>
        <v>0.94249680268517222</v>
      </c>
      <c r="BU131" s="488"/>
      <c r="BV131" s="489"/>
      <c r="BW131" s="489"/>
      <c r="BX131" s="489"/>
      <c r="BY131" s="489"/>
      <c r="BZ131" s="489"/>
      <c r="CA131" s="489"/>
      <c r="CB131" s="489"/>
      <c r="CC131" s="490"/>
    </row>
    <row r="132" spans="1:81" s="379" customFormat="1" ht="20.25" customHeight="1" x14ac:dyDescent="0.25">
      <c r="A132" s="376" t="s">
        <v>180</v>
      </c>
      <c r="B132" s="383">
        <v>24337229</v>
      </c>
      <c r="C132" s="518"/>
      <c r="D132" s="519"/>
      <c r="E132" s="519"/>
      <c r="F132" s="519"/>
      <c r="G132" s="519"/>
      <c r="H132" s="519"/>
      <c r="I132" s="519"/>
      <c r="J132" s="519"/>
      <c r="K132" s="520"/>
      <c r="L132" s="383">
        <v>25308412</v>
      </c>
      <c r="M132" s="518"/>
      <c r="N132" s="519"/>
      <c r="O132" s="519"/>
      <c r="P132" s="519"/>
      <c r="Q132" s="519"/>
      <c r="R132" s="519"/>
      <c r="S132" s="519"/>
      <c r="T132" s="519"/>
      <c r="U132" s="520"/>
      <c r="V132" s="383">
        <v>25892070</v>
      </c>
      <c r="W132" s="518"/>
      <c r="X132" s="519"/>
      <c r="Y132" s="519"/>
      <c r="Z132" s="519"/>
      <c r="AA132" s="519"/>
      <c r="AB132" s="519"/>
      <c r="AC132" s="519"/>
      <c r="AD132" s="519"/>
      <c r="AE132" s="520"/>
      <c r="AF132" s="383">
        <v>27515278</v>
      </c>
      <c r="AG132" s="518"/>
      <c r="AH132" s="519"/>
      <c r="AI132" s="519"/>
      <c r="AJ132" s="519"/>
      <c r="AK132" s="519"/>
      <c r="AL132" s="519"/>
      <c r="AM132" s="519"/>
      <c r="AN132" s="519"/>
      <c r="AO132" s="520"/>
      <c r="AP132" s="383">
        <v>25963741</v>
      </c>
      <c r="AQ132" s="518"/>
      <c r="AR132" s="519"/>
      <c r="AS132" s="519"/>
      <c r="AT132" s="519"/>
      <c r="AU132" s="519"/>
      <c r="AV132" s="519"/>
      <c r="AW132" s="519"/>
      <c r="AX132" s="519"/>
      <c r="AY132" s="520"/>
      <c r="AZ132" s="383">
        <v>22752636</v>
      </c>
      <c r="BA132" s="518"/>
      <c r="BB132" s="519"/>
      <c r="BC132" s="519"/>
      <c r="BD132" s="519"/>
      <c r="BE132" s="519"/>
      <c r="BF132" s="519"/>
      <c r="BG132" s="519"/>
      <c r="BH132" s="519"/>
      <c r="BI132" s="520"/>
      <c r="BJ132" s="383">
        <v>21739702</v>
      </c>
      <c r="BK132" s="518"/>
      <c r="BL132" s="519"/>
      <c r="BM132" s="519"/>
      <c r="BN132" s="519"/>
      <c r="BO132" s="519"/>
      <c r="BP132" s="519"/>
      <c r="BQ132" s="519"/>
      <c r="BR132" s="519"/>
      <c r="BS132" s="520"/>
      <c r="BT132" s="384">
        <v>22139323</v>
      </c>
      <c r="BU132" s="488"/>
      <c r="BV132" s="489"/>
      <c r="BW132" s="489"/>
      <c r="BX132" s="489"/>
      <c r="BY132" s="489"/>
      <c r="BZ132" s="489"/>
      <c r="CA132" s="489"/>
      <c r="CB132" s="489"/>
      <c r="CC132" s="490"/>
    </row>
    <row r="133" spans="1:81" s="379" customFormat="1" ht="20.25" customHeight="1" x14ac:dyDescent="0.25">
      <c r="A133" s="376" t="s">
        <v>181</v>
      </c>
      <c r="B133" s="380">
        <f>IFERROR(E116/B132,"")</f>
        <v>9.9569264849338437E-2</v>
      </c>
      <c r="C133" s="518"/>
      <c r="D133" s="519"/>
      <c r="E133" s="519"/>
      <c r="F133" s="519"/>
      <c r="G133" s="519"/>
      <c r="H133" s="519"/>
      <c r="I133" s="519"/>
      <c r="J133" s="519"/>
      <c r="K133" s="520"/>
      <c r="L133" s="385">
        <f>IFERROR(O116/L132,"")</f>
        <v>8.3487142535849351E-2</v>
      </c>
      <c r="M133" s="518"/>
      <c r="N133" s="519"/>
      <c r="O133" s="519"/>
      <c r="P133" s="519"/>
      <c r="Q133" s="519"/>
      <c r="R133" s="519"/>
      <c r="S133" s="519"/>
      <c r="T133" s="519"/>
      <c r="U133" s="520"/>
      <c r="V133" s="385">
        <f>IFERROR(Y116/V132,"")</f>
        <v>8.538853788051709E-2</v>
      </c>
      <c r="W133" s="518"/>
      <c r="X133" s="519"/>
      <c r="Y133" s="519"/>
      <c r="Z133" s="519"/>
      <c r="AA133" s="519"/>
      <c r="AB133" s="519"/>
      <c r="AC133" s="519"/>
      <c r="AD133" s="519"/>
      <c r="AE133" s="520"/>
      <c r="AF133" s="385">
        <f>IFERROR(AI116/AF132,"")</f>
        <v>7.5938029773858731E-2</v>
      </c>
      <c r="AG133" s="518"/>
      <c r="AH133" s="519"/>
      <c r="AI133" s="519"/>
      <c r="AJ133" s="519"/>
      <c r="AK133" s="519"/>
      <c r="AL133" s="519"/>
      <c r="AM133" s="519"/>
      <c r="AN133" s="519"/>
      <c r="AO133" s="520"/>
      <c r="AP133" s="385">
        <f>IFERROR(AS116/AP132,"")</f>
        <v>7.6871682320355919E-2</v>
      </c>
      <c r="AQ133" s="518"/>
      <c r="AR133" s="519"/>
      <c r="AS133" s="519"/>
      <c r="AT133" s="519"/>
      <c r="AU133" s="519"/>
      <c r="AV133" s="519"/>
      <c r="AW133" s="519"/>
      <c r="AX133" s="519"/>
      <c r="AY133" s="520"/>
      <c r="AZ133" s="385">
        <f>IFERROR(BC116/AZ132,"")</f>
        <v>7.1099849705326457E-2</v>
      </c>
      <c r="BA133" s="518"/>
      <c r="BB133" s="519"/>
      <c r="BC133" s="519"/>
      <c r="BD133" s="519"/>
      <c r="BE133" s="519"/>
      <c r="BF133" s="519"/>
      <c r="BG133" s="519"/>
      <c r="BH133" s="519"/>
      <c r="BI133" s="520"/>
      <c r="BJ133" s="385">
        <f>IFERROR(BM116/BJ132,"")</f>
        <v>0.10320187461631258</v>
      </c>
      <c r="BK133" s="518"/>
      <c r="BL133" s="519"/>
      <c r="BM133" s="519"/>
      <c r="BN133" s="519"/>
      <c r="BO133" s="519"/>
      <c r="BP133" s="519"/>
      <c r="BQ133" s="519"/>
      <c r="BR133" s="519"/>
      <c r="BS133" s="520"/>
      <c r="BT133" s="385">
        <f>IFERROR(BW116/BT132,"")</f>
        <v>0.11901421646904019</v>
      </c>
      <c r="BU133" s="488"/>
      <c r="BV133" s="489"/>
      <c r="BW133" s="489"/>
      <c r="BX133" s="489"/>
      <c r="BY133" s="489"/>
      <c r="BZ133" s="489"/>
      <c r="CA133" s="489"/>
      <c r="CB133" s="489"/>
      <c r="CC133" s="490"/>
    </row>
    <row r="134" spans="1:81" s="379" customFormat="1" ht="20.25" customHeight="1" x14ac:dyDescent="0.25">
      <c r="A134" s="376" t="s">
        <v>182</v>
      </c>
      <c r="B134" s="380">
        <f>IFERROR(E116/C116,"")</f>
        <v>8.3861394961720181E-2</v>
      </c>
      <c r="C134" s="518"/>
      <c r="D134" s="519"/>
      <c r="E134" s="519"/>
      <c r="F134" s="519"/>
      <c r="G134" s="519"/>
      <c r="H134" s="519"/>
      <c r="I134" s="519"/>
      <c r="J134" s="519"/>
      <c r="K134" s="520"/>
      <c r="L134" s="381">
        <f>IFERROR(O116/M116,"")</f>
        <v>7.5585555197945659E-2</v>
      </c>
      <c r="M134" s="518"/>
      <c r="N134" s="519"/>
      <c r="O134" s="519"/>
      <c r="P134" s="519"/>
      <c r="Q134" s="519"/>
      <c r="R134" s="519"/>
      <c r="S134" s="519"/>
      <c r="T134" s="519"/>
      <c r="U134" s="520"/>
      <c r="V134" s="381">
        <f>IFERROR(Y116/W116,"")</f>
        <v>7.6149429644686059E-2</v>
      </c>
      <c r="W134" s="518"/>
      <c r="X134" s="519"/>
      <c r="Y134" s="519"/>
      <c r="Z134" s="519"/>
      <c r="AA134" s="519"/>
      <c r="AB134" s="519"/>
      <c r="AC134" s="519"/>
      <c r="AD134" s="519"/>
      <c r="AE134" s="520"/>
      <c r="AF134" s="381">
        <f>IFERROR(AI116/AG116,"")</f>
        <v>7.2319184387172428E-2</v>
      </c>
      <c r="AG134" s="518"/>
      <c r="AH134" s="519"/>
      <c r="AI134" s="519"/>
      <c r="AJ134" s="519"/>
      <c r="AK134" s="519"/>
      <c r="AL134" s="519"/>
      <c r="AM134" s="519"/>
      <c r="AN134" s="519"/>
      <c r="AO134" s="520"/>
      <c r="AP134" s="381">
        <f>IFERROR(AS116/AQ116,"")</f>
        <v>7.2449470712148273E-2</v>
      </c>
      <c r="AQ134" s="518"/>
      <c r="AR134" s="519"/>
      <c r="AS134" s="519"/>
      <c r="AT134" s="519"/>
      <c r="AU134" s="519"/>
      <c r="AV134" s="519"/>
      <c r="AW134" s="519"/>
      <c r="AX134" s="519"/>
      <c r="AY134" s="520"/>
      <c r="AZ134" s="381">
        <f>IFERROR(BC116/BA116,"")</f>
        <v>5.3679662844349954E-2</v>
      </c>
      <c r="BA134" s="518"/>
      <c r="BB134" s="519"/>
      <c r="BC134" s="519"/>
      <c r="BD134" s="519"/>
      <c r="BE134" s="519"/>
      <c r="BF134" s="519"/>
      <c r="BG134" s="519"/>
      <c r="BH134" s="519"/>
      <c r="BI134" s="520"/>
      <c r="BJ134" s="381">
        <f>IFERROR(BM116/BK116,"")</f>
        <v>5.6426962231893849E-2</v>
      </c>
      <c r="BK134" s="518"/>
      <c r="BL134" s="519"/>
      <c r="BM134" s="519"/>
      <c r="BN134" s="519"/>
      <c r="BO134" s="519"/>
      <c r="BP134" s="519"/>
      <c r="BQ134" s="519"/>
      <c r="BR134" s="519"/>
      <c r="BS134" s="520"/>
      <c r="BT134" s="381">
        <f>IFERROR(BW116/BU116,"")</f>
        <v>9.1778940045456295E-2</v>
      </c>
      <c r="BU134" s="488"/>
      <c r="BV134" s="489"/>
      <c r="BW134" s="489"/>
      <c r="BX134" s="489"/>
      <c r="BY134" s="489"/>
      <c r="BZ134" s="489"/>
      <c r="CA134" s="489"/>
      <c r="CB134" s="489"/>
      <c r="CC134" s="490"/>
    </row>
    <row r="135" spans="1:81" s="379" customFormat="1" ht="20.25" customHeight="1" x14ac:dyDescent="0.25">
      <c r="A135" s="376" t="s">
        <v>183</v>
      </c>
      <c r="B135" s="380">
        <f>IFERROR(C81/B127,"")</f>
        <v>0.84768146900368657</v>
      </c>
      <c r="C135" s="518"/>
      <c r="D135" s="519"/>
      <c r="E135" s="519"/>
      <c r="F135" s="519"/>
      <c r="G135" s="519"/>
      <c r="H135" s="519"/>
      <c r="I135" s="519"/>
      <c r="J135" s="519"/>
      <c r="K135" s="520"/>
      <c r="L135" s="381">
        <f>IFERROR(M81/L127,"")</f>
        <v>0.84140368477466521</v>
      </c>
      <c r="M135" s="518"/>
      <c r="N135" s="519"/>
      <c r="O135" s="519"/>
      <c r="P135" s="519"/>
      <c r="Q135" s="519"/>
      <c r="R135" s="519"/>
      <c r="S135" s="519"/>
      <c r="T135" s="519"/>
      <c r="U135" s="520"/>
      <c r="V135" s="381">
        <f>IFERROR(W81/V127,"")</f>
        <v>0.85280210674006063</v>
      </c>
      <c r="W135" s="518"/>
      <c r="X135" s="519"/>
      <c r="Y135" s="519"/>
      <c r="Z135" s="519"/>
      <c r="AA135" s="519"/>
      <c r="AB135" s="519"/>
      <c r="AC135" s="519"/>
      <c r="AD135" s="519"/>
      <c r="AE135" s="520"/>
      <c r="AF135" s="381">
        <f>IFERROR(AG81/AF127,"")</f>
        <v>0.86176146869010051</v>
      </c>
      <c r="AG135" s="518"/>
      <c r="AH135" s="519"/>
      <c r="AI135" s="519"/>
      <c r="AJ135" s="519"/>
      <c r="AK135" s="519"/>
      <c r="AL135" s="519"/>
      <c r="AM135" s="519"/>
      <c r="AN135" s="519"/>
      <c r="AO135" s="520"/>
      <c r="AP135" s="381">
        <f>IFERROR(AQ81/AP127,"")</f>
        <v>0.8850192388392899</v>
      </c>
      <c r="AQ135" s="518"/>
      <c r="AR135" s="519"/>
      <c r="AS135" s="519"/>
      <c r="AT135" s="519"/>
      <c r="AU135" s="519"/>
      <c r="AV135" s="519"/>
      <c r="AW135" s="519"/>
      <c r="AX135" s="519"/>
      <c r="AY135" s="520"/>
      <c r="AZ135" s="381">
        <f>IFERROR(BA81/AZ127,"")</f>
        <v>0.91535915367051113</v>
      </c>
      <c r="BA135" s="518"/>
      <c r="BB135" s="519"/>
      <c r="BC135" s="519"/>
      <c r="BD135" s="519"/>
      <c r="BE135" s="519"/>
      <c r="BF135" s="519"/>
      <c r="BG135" s="519"/>
      <c r="BH135" s="519"/>
      <c r="BI135" s="520"/>
      <c r="BJ135" s="381">
        <f>IFERROR(BK81/BJ127,"")</f>
        <v>0.93870388843830488</v>
      </c>
      <c r="BK135" s="518"/>
      <c r="BL135" s="519"/>
      <c r="BM135" s="519"/>
      <c r="BN135" s="519"/>
      <c r="BO135" s="519"/>
      <c r="BP135" s="519"/>
      <c r="BQ135" s="519"/>
      <c r="BR135" s="519"/>
      <c r="BS135" s="520"/>
      <c r="BT135" s="381">
        <f>IFERROR(BU81/BT127,"")</f>
        <v>0.88961399361706628</v>
      </c>
      <c r="BU135" s="488"/>
      <c r="BV135" s="489"/>
      <c r="BW135" s="489"/>
      <c r="BX135" s="489"/>
      <c r="BY135" s="489"/>
      <c r="BZ135" s="489"/>
      <c r="CA135" s="489"/>
      <c r="CB135" s="489"/>
      <c r="CC135" s="490"/>
    </row>
    <row r="136" spans="1:81" s="379" customFormat="1" ht="20.25" customHeight="1" x14ac:dyDescent="0.25">
      <c r="A136" s="376" t="s">
        <v>184</v>
      </c>
      <c r="B136" s="380">
        <f>IFERROR(C102/B127,"")</f>
        <v>7.0559104228905441E-3</v>
      </c>
      <c r="C136" s="518"/>
      <c r="D136" s="519"/>
      <c r="E136" s="519"/>
      <c r="F136" s="519"/>
      <c r="G136" s="519"/>
      <c r="H136" s="519"/>
      <c r="I136" s="519"/>
      <c r="J136" s="519"/>
      <c r="K136" s="520"/>
      <c r="L136" s="381">
        <f>IFERROR(M102/L127,"")</f>
        <v>7.5149232969705243E-3</v>
      </c>
      <c r="M136" s="518"/>
      <c r="N136" s="519"/>
      <c r="O136" s="519"/>
      <c r="P136" s="519"/>
      <c r="Q136" s="519"/>
      <c r="R136" s="519"/>
      <c r="S136" s="519"/>
      <c r="T136" s="519"/>
      <c r="U136" s="520"/>
      <c r="V136" s="381">
        <f>IFERROR(W102/V127,"")</f>
        <v>7.5181720601661187E-3</v>
      </c>
      <c r="W136" s="518"/>
      <c r="X136" s="519"/>
      <c r="Y136" s="519"/>
      <c r="Z136" s="519"/>
      <c r="AA136" s="519"/>
      <c r="AB136" s="519"/>
      <c r="AC136" s="519"/>
      <c r="AD136" s="519"/>
      <c r="AE136" s="520"/>
      <c r="AF136" s="381">
        <f>IFERROR(AG102/AF127,"")</f>
        <v>7.1237367671622802E-3</v>
      </c>
      <c r="AG136" s="518"/>
      <c r="AH136" s="519"/>
      <c r="AI136" s="519"/>
      <c r="AJ136" s="519"/>
      <c r="AK136" s="519"/>
      <c r="AL136" s="519"/>
      <c r="AM136" s="519"/>
      <c r="AN136" s="519"/>
      <c r="AO136" s="520"/>
      <c r="AP136" s="381">
        <f>IFERROR(AQ102/AP127,"")</f>
        <v>4.7450080953410712E-3</v>
      </c>
      <c r="AQ136" s="518"/>
      <c r="AR136" s="519"/>
      <c r="AS136" s="519"/>
      <c r="AT136" s="519"/>
      <c r="AU136" s="519"/>
      <c r="AV136" s="519"/>
      <c r="AW136" s="519"/>
      <c r="AX136" s="519"/>
      <c r="AY136" s="520"/>
      <c r="AZ136" s="381">
        <f>IFERROR(BA102/AZ127,"")</f>
        <v>2.7500346093693902E-3</v>
      </c>
      <c r="BA136" s="518"/>
      <c r="BB136" s="519"/>
      <c r="BC136" s="519"/>
      <c r="BD136" s="519"/>
      <c r="BE136" s="519"/>
      <c r="BF136" s="519"/>
      <c r="BG136" s="519"/>
      <c r="BH136" s="519"/>
      <c r="BI136" s="520"/>
      <c r="BJ136" s="381">
        <f>IFERROR(BK102/BJ127,"")</f>
        <v>3.9327483409264171E-3</v>
      </c>
      <c r="BK136" s="518"/>
      <c r="BL136" s="519"/>
      <c r="BM136" s="519"/>
      <c r="BN136" s="519"/>
      <c r="BO136" s="519"/>
      <c r="BP136" s="519"/>
      <c r="BQ136" s="519"/>
      <c r="BR136" s="519"/>
      <c r="BS136" s="520"/>
      <c r="BT136" s="381">
        <f>IFERROR(BU102/BT127,"")</f>
        <v>2.0930897234299955E-2</v>
      </c>
      <c r="BU136" s="488"/>
      <c r="BV136" s="489"/>
      <c r="BW136" s="489"/>
      <c r="BX136" s="489"/>
      <c r="BY136" s="489"/>
      <c r="BZ136" s="489"/>
      <c r="CA136" s="489"/>
      <c r="CB136" s="489"/>
      <c r="CC136" s="490"/>
    </row>
    <row r="137" spans="1:81" s="379" customFormat="1" ht="20.25" customHeight="1" x14ac:dyDescent="0.25">
      <c r="A137" s="376" t="s">
        <v>185</v>
      </c>
      <c r="B137" s="380">
        <f>IFERROR(SUM(C45,C93)/B127,"")</f>
        <v>0.80607074909740262</v>
      </c>
      <c r="C137" s="518"/>
      <c r="D137" s="519"/>
      <c r="E137" s="519"/>
      <c r="F137" s="519"/>
      <c r="G137" s="519"/>
      <c r="H137" s="519"/>
      <c r="I137" s="519"/>
      <c r="J137" s="519"/>
      <c r="K137" s="520"/>
      <c r="L137" s="381">
        <f>IFERROR(SUM(M45,M93)/L127,"")</f>
        <v>0.79249370512981077</v>
      </c>
      <c r="M137" s="518"/>
      <c r="N137" s="519"/>
      <c r="O137" s="519"/>
      <c r="P137" s="519"/>
      <c r="Q137" s="519"/>
      <c r="R137" s="519"/>
      <c r="S137" s="519"/>
      <c r="T137" s="519"/>
      <c r="U137" s="520"/>
      <c r="V137" s="381">
        <f>IFERROR(SUM(W45,W93)/V127,"")</f>
        <v>0.81329325648443629</v>
      </c>
      <c r="W137" s="518"/>
      <c r="X137" s="519"/>
      <c r="Y137" s="519"/>
      <c r="Z137" s="519"/>
      <c r="AA137" s="519"/>
      <c r="AB137" s="519"/>
      <c r="AC137" s="519"/>
      <c r="AD137" s="519"/>
      <c r="AE137" s="520"/>
      <c r="AF137" s="381">
        <f>IFERROR(SUM(AG45,AG93)/AF127,"")</f>
        <v>0.80211240842665166</v>
      </c>
      <c r="AG137" s="518"/>
      <c r="AH137" s="519"/>
      <c r="AI137" s="519"/>
      <c r="AJ137" s="519"/>
      <c r="AK137" s="519"/>
      <c r="AL137" s="519"/>
      <c r="AM137" s="519"/>
      <c r="AN137" s="519"/>
      <c r="AO137" s="520"/>
      <c r="AP137" s="381">
        <f>IFERROR(SUM(AQ45,AQ93)/AP127,"")</f>
        <v>0.81732835226424938</v>
      </c>
      <c r="AQ137" s="518"/>
      <c r="AR137" s="519"/>
      <c r="AS137" s="519"/>
      <c r="AT137" s="519"/>
      <c r="AU137" s="519"/>
      <c r="AV137" s="519"/>
      <c r="AW137" s="519"/>
      <c r="AX137" s="519"/>
      <c r="AY137" s="520"/>
      <c r="AZ137" s="381">
        <f>IFERROR(SUM(BA45,BA93)/AZ127,"")</f>
        <v>0.85713965739976195</v>
      </c>
      <c r="BA137" s="518"/>
      <c r="BB137" s="519"/>
      <c r="BC137" s="519"/>
      <c r="BD137" s="519"/>
      <c r="BE137" s="519"/>
      <c r="BF137" s="519"/>
      <c r="BG137" s="519"/>
      <c r="BH137" s="519"/>
      <c r="BI137" s="520"/>
      <c r="BJ137" s="381">
        <f>IFERROR(SUM(BK45,BK93)/BJ127,"")</f>
        <v>0.88608253909936896</v>
      </c>
      <c r="BK137" s="518"/>
      <c r="BL137" s="519"/>
      <c r="BM137" s="519"/>
      <c r="BN137" s="519"/>
      <c r="BO137" s="519"/>
      <c r="BP137" s="519"/>
      <c r="BQ137" s="519"/>
      <c r="BR137" s="519"/>
      <c r="BS137" s="520"/>
      <c r="BT137" s="381">
        <f>IFERROR(SUM(BU45,BU93)/BT127,"")</f>
        <v>0.82475752759630649</v>
      </c>
      <c r="BU137" s="488"/>
      <c r="BV137" s="489"/>
      <c r="BW137" s="489"/>
      <c r="BX137" s="489"/>
      <c r="BY137" s="489"/>
      <c r="BZ137" s="489"/>
      <c r="CA137" s="489"/>
      <c r="CB137" s="489"/>
      <c r="CC137" s="490"/>
    </row>
    <row r="138" spans="1:81" s="379" customFormat="1" ht="20.25" customHeight="1" x14ac:dyDescent="0.25">
      <c r="A138" s="376" t="s">
        <v>186</v>
      </c>
      <c r="B138" s="380">
        <f>IFERROR(SUM(C59,C100)/B127,"")</f>
        <v>3.4979819714127759E-2</v>
      </c>
      <c r="C138" s="518"/>
      <c r="D138" s="519"/>
      <c r="E138" s="519"/>
      <c r="F138" s="519"/>
      <c r="G138" s="519"/>
      <c r="H138" s="519"/>
      <c r="I138" s="519"/>
      <c r="J138" s="519"/>
      <c r="K138" s="520"/>
      <c r="L138" s="381">
        <f>IFERROR(SUM(M59,M100)/L127,"")</f>
        <v>4.0292141645999757E-2</v>
      </c>
      <c r="M138" s="518"/>
      <c r="N138" s="519"/>
      <c r="O138" s="519"/>
      <c r="P138" s="519"/>
      <c r="Q138" s="519"/>
      <c r="R138" s="519"/>
      <c r="S138" s="519"/>
      <c r="T138" s="519"/>
      <c r="U138" s="520"/>
      <c r="V138" s="381">
        <f>IFERROR(SUM(W59,W100)/V127,"")</f>
        <v>3.0001735769542917E-2</v>
      </c>
      <c r="W138" s="518"/>
      <c r="X138" s="519"/>
      <c r="Y138" s="519"/>
      <c r="Z138" s="519"/>
      <c r="AA138" s="519"/>
      <c r="AB138" s="519"/>
      <c r="AC138" s="519"/>
      <c r="AD138" s="519"/>
      <c r="AE138" s="520"/>
      <c r="AF138" s="381">
        <f>IFERROR(SUM(AG59,AG100)/AF127,"")</f>
        <v>4.545104654760776E-2</v>
      </c>
      <c r="AG138" s="518"/>
      <c r="AH138" s="519"/>
      <c r="AI138" s="519"/>
      <c r="AJ138" s="519"/>
      <c r="AK138" s="519"/>
      <c r="AL138" s="519"/>
      <c r="AM138" s="519"/>
      <c r="AN138" s="519"/>
      <c r="AO138" s="520"/>
      <c r="AP138" s="381">
        <f>IFERROR(SUM(AQ59,AQ100)/AP127,"")</f>
        <v>5.0540554332908168E-2</v>
      </c>
      <c r="AQ138" s="518"/>
      <c r="AR138" s="519"/>
      <c r="AS138" s="519"/>
      <c r="AT138" s="519"/>
      <c r="AU138" s="519"/>
      <c r="AV138" s="519"/>
      <c r="AW138" s="519"/>
      <c r="AX138" s="519"/>
      <c r="AY138" s="520"/>
      <c r="AZ138" s="381">
        <f>IFERROR(SUM(BA59,BA100)/AZ127,"")</f>
        <v>4.4818934265027734E-2</v>
      </c>
      <c r="BA138" s="518"/>
      <c r="BB138" s="519"/>
      <c r="BC138" s="519"/>
      <c r="BD138" s="519"/>
      <c r="BE138" s="519"/>
      <c r="BF138" s="519"/>
      <c r="BG138" s="519"/>
      <c r="BH138" s="519"/>
      <c r="BI138" s="520"/>
      <c r="BJ138" s="381">
        <f>IFERROR(SUM(BK59,BK100)/BJ127,"")</f>
        <v>4.3263576758020422E-2</v>
      </c>
      <c r="BK138" s="518"/>
      <c r="BL138" s="519"/>
      <c r="BM138" s="519"/>
      <c r="BN138" s="519"/>
      <c r="BO138" s="519"/>
      <c r="BP138" s="519"/>
      <c r="BQ138" s="519"/>
      <c r="BR138" s="519"/>
      <c r="BS138" s="520"/>
      <c r="BT138" s="381">
        <f>IFERROR(SUM(BU59,BU100)/BT127,"")</f>
        <v>6.8620528985190499E-2</v>
      </c>
      <c r="BU138" s="488"/>
      <c r="BV138" s="489"/>
      <c r="BW138" s="489"/>
      <c r="BX138" s="489"/>
      <c r="BY138" s="489"/>
      <c r="BZ138" s="489"/>
      <c r="CA138" s="489"/>
      <c r="CB138" s="489"/>
      <c r="CC138" s="490"/>
    </row>
    <row r="139" spans="1:81" s="379" customFormat="1" ht="20.25" customHeight="1" x14ac:dyDescent="0.25">
      <c r="A139" s="376" t="s">
        <v>187</v>
      </c>
      <c r="B139" s="380">
        <f>IFERROR(SUM(C79)/B127,"")</f>
        <v>1.3686810615046664E-2</v>
      </c>
      <c r="C139" s="518"/>
      <c r="D139" s="519"/>
      <c r="E139" s="519"/>
      <c r="F139" s="519"/>
      <c r="G139" s="519"/>
      <c r="H139" s="519"/>
      <c r="I139" s="519"/>
      <c r="J139" s="519"/>
      <c r="K139" s="520"/>
      <c r="L139" s="381">
        <f>IFERROR(SUM(M79)/L127,"")</f>
        <v>1.6132761295825148E-2</v>
      </c>
      <c r="M139" s="518"/>
      <c r="N139" s="519"/>
      <c r="O139" s="519"/>
      <c r="P139" s="519"/>
      <c r="Q139" s="519"/>
      <c r="R139" s="519"/>
      <c r="S139" s="519"/>
      <c r="T139" s="519"/>
      <c r="U139" s="520"/>
      <c r="V139" s="381">
        <f>IFERROR(SUM(W79)/V127,"")</f>
        <v>1.7025286546247478E-2</v>
      </c>
      <c r="W139" s="518"/>
      <c r="X139" s="519"/>
      <c r="Y139" s="519"/>
      <c r="Z139" s="519"/>
      <c r="AA139" s="519"/>
      <c r="AB139" s="519"/>
      <c r="AC139" s="519"/>
      <c r="AD139" s="519"/>
      <c r="AE139" s="520"/>
      <c r="AF139" s="381">
        <f>IFERROR(SUM(AG79)/AF127,"")</f>
        <v>2.1321750483003336E-2</v>
      </c>
      <c r="AG139" s="518"/>
      <c r="AH139" s="519"/>
      <c r="AI139" s="519"/>
      <c r="AJ139" s="519"/>
      <c r="AK139" s="519"/>
      <c r="AL139" s="519"/>
      <c r="AM139" s="519"/>
      <c r="AN139" s="519"/>
      <c r="AO139" s="520"/>
      <c r="AP139" s="381">
        <f>IFERROR(SUM(AQ79)/AP127,"")</f>
        <v>2.1895340337473427E-2</v>
      </c>
      <c r="AQ139" s="518"/>
      <c r="AR139" s="519"/>
      <c r="AS139" s="519"/>
      <c r="AT139" s="519"/>
      <c r="AU139" s="519"/>
      <c r="AV139" s="519"/>
      <c r="AW139" s="519"/>
      <c r="AX139" s="519"/>
      <c r="AY139" s="520"/>
      <c r="AZ139" s="381">
        <f>IFERROR(SUM(BA79)/AZ127,"")</f>
        <v>1.6150596615090853E-2</v>
      </c>
      <c r="BA139" s="518"/>
      <c r="BB139" s="519"/>
      <c r="BC139" s="519"/>
      <c r="BD139" s="519"/>
      <c r="BE139" s="519"/>
      <c r="BF139" s="519"/>
      <c r="BG139" s="519"/>
      <c r="BH139" s="519"/>
      <c r="BI139" s="520"/>
      <c r="BJ139" s="381">
        <f>IFERROR(SUM(BK79)/BJ127,"")</f>
        <v>1.3290520921841905E-2</v>
      </c>
      <c r="BK139" s="518"/>
      <c r="BL139" s="519"/>
      <c r="BM139" s="519"/>
      <c r="BN139" s="519"/>
      <c r="BO139" s="519"/>
      <c r="BP139" s="519"/>
      <c r="BQ139" s="519"/>
      <c r="BR139" s="519"/>
      <c r="BS139" s="520"/>
      <c r="BT139" s="381">
        <f>IFERROR(SUM(BU79)/BT127,"")</f>
        <v>1.7166834269869199E-2</v>
      </c>
      <c r="BU139" s="488"/>
      <c r="BV139" s="489"/>
      <c r="BW139" s="489"/>
      <c r="BX139" s="489"/>
      <c r="BY139" s="489"/>
      <c r="BZ139" s="489"/>
      <c r="CA139" s="489"/>
      <c r="CB139" s="489"/>
      <c r="CC139" s="490"/>
    </row>
    <row r="140" spans="1:81" s="379" customFormat="1" ht="20.25" customHeight="1" thickBot="1" x14ac:dyDescent="0.3">
      <c r="A140" s="376" t="s">
        <v>188</v>
      </c>
      <c r="B140" s="386">
        <f>IFERROR(C114/B127,"")</f>
        <v>0.14526262057342293</v>
      </c>
      <c r="C140" s="521"/>
      <c r="D140" s="522"/>
      <c r="E140" s="522"/>
      <c r="F140" s="522"/>
      <c r="G140" s="522"/>
      <c r="H140" s="522"/>
      <c r="I140" s="522"/>
      <c r="J140" s="522"/>
      <c r="K140" s="523"/>
      <c r="L140" s="387">
        <f>IFERROR(M114/L127,"")</f>
        <v>0.15108139192836431</v>
      </c>
      <c r="M140" s="521"/>
      <c r="N140" s="522"/>
      <c r="O140" s="522"/>
      <c r="P140" s="522"/>
      <c r="Q140" s="522"/>
      <c r="R140" s="522"/>
      <c r="S140" s="522"/>
      <c r="T140" s="522"/>
      <c r="U140" s="523"/>
      <c r="V140" s="387">
        <f>IFERROR(W114/V127,"")</f>
        <v>0.13967972119977329</v>
      </c>
      <c r="W140" s="521"/>
      <c r="X140" s="522"/>
      <c r="Y140" s="522"/>
      <c r="Z140" s="522"/>
      <c r="AA140" s="522"/>
      <c r="AB140" s="522"/>
      <c r="AC140" s="522"/>
      <c r="AD140" s="522"/>
      <c r="AE140" s="523"/>
      <c r="AF140" s="387">
        <f>IFERROR(AG114/AF127,"")</f>
        <v>0.13111479454273722</v>
      </c>
      <c r="AG140" s="521"/>
      <c r="AH140" s="522"/>
      <c r="AI140" s="522"/>
      <c r="AJ140" s="522"/>
      <c r="AK140" s="522"/>
      <c r="AL140" s="522"/>
      <c r="AM140" s="522"/>
      <c r="AN140" s="522"/>
      <c r="AO140" s="523"/>
      <c r="AP140" s="387">
        <f>IFERROR(AQ114/AP127,"")</f>
        <v>0.11023575306536905</v>
      </c>
      <c r="AQ140" s="521"/>
      <c r="AR140" s="522"/>
      <c r="AS140" s="522"/>
      <c r="AT140" s="522"/>
      <c r="AU140" s="522"/>
      <c r="AV140" s="522"/>
      <c r="AW140" s="522"/>
      <c r="AX140" s="522"/>
      <c r="AY140" s="523"/>
      <c r="AZ140" s="387">
        <f>IFERROR(BA114/AZ127,"")</f>
        <v>8.18908117201195E-2</v>
      </c>
      <c r="BA140" s="521"/>
      <c r="BB140" s="522"/>
      <c r="BC140" s="522"/>
      <c r="BD140" s="522"/>
      <c r="BE140" s="522"/>
      <c r="BF140" s="522"/>
      <c r="BG140" s="522"/>
      <c r="BH140" s="522"/>
      <c r="BI140" s="523"/>
      <c r="BJ140" s="387">
        <f>IFERROR(BK114/BJ127,"")</f>
        <v>5.7363363220768702E-2</v>
      </c>
      <c r="BK140" s="521"/>
      <c r="BL140" s="522"/>
      <c r="BM140" s="522"/>
      <c r="BN140" s="522"/>
      <c r="BO140" s="522"/>
      <c r="BP140" s="522"/>
      <c r="BQ140" s="522"/>
      <c r="BR140" s="522"/>
      <c r="BS140" s="523"/>
      <c r="BT140" s="387">
        <f>IFERROR(BU114/BT127,"")</f>
        <v>8.9455109148633777E-2</v>
      </c>
      <c r="BU140" s="491"/>
      <c r="BV140" s="492"/>
      <c r="BW140" s="492"/>
      <c r="BX140" s="492"/>
      <c r="BY140" s="492"/>
      <c r="BZ140" s="492"/>
      <c r="CA140" s="492"/>
      <c r="CB140" s="492"/>
      <c r="CC140" s="493"/>
    </row>
    <row r="141" spans="1:81" s="227" customFormat="1" x14ac:dyDescent="0.25">
      <c r="B141" s="388"/>
      <c r="C141" s="364"/>
      <c r="D141" s="330"/>
      <c r="E141" s="364"/>
      <c r="F141" s="364"/>
      <c r="G141" s="364"/>
      <c r="H141" s="364"/>
      <c r="I141" s="364"/>
      <c r="J141" s="364"/>
      <c r="K141" s="364"/>
      <c r="L141" s="389"/>
      <c r="M141" s="367"/>
      <c r="N141" s="367"/>
      <c r="O141" s="367"/>
      <c r="P141" s="367"/>
      <c r="Q141" s="367"/>
      <c r="R141" s="367"/>
      <c r="S141" s="367"/>
      <c r="T141" s="367"/>
      <c r="U141" s="367"/>
      <c r="V141" s="389"/>
      <c r="W141" s="367"/>
      <c r="X141" s="390"/>
      <c r="Y141" s="367"/>
      <c r="Z141" s="367"/>
      <c r="AA141" s="367"/>
      <c r="AB141" s="367"/>
      <c r="AC141" s="367"/>
      <c r="AD141" s="367"/>
      <c r="AE141" s="367"/>
      <c r="AF141" s="389"/>
      <c r="AG141" s="367"/>
      <c r="AH141" s="390"/>
      <c r="AI141" s="367"/>
      <c r="AJ141" s="367"/>
      <c r="AK141" s="367"/>
      <c r="AL141" s="367"/>
      <c r="AM141" s="367"/>
      <c r="AN141" s="367"/>
      <c r="AO141" s="367"/>
      <c r="AP141" s="389"/>
      <c r="AQ141" s="367"/>
      <c r="AR141" s="390"/>
      <c r="AS141" s="367"/>
      <c r="AT141" s="367"/>
      <c r="AU141" s="367"/>
      <c r="AV141" s="367"/>
      <c r="AW141" s="367"/>
      <c r="AX141" s="367"/>
      <c r="AY141" s="367"/>
      <c r="AZ141" s="389"/>
      <c r="BA141" s="367"/>
      <c r="BB141" s="390"/>
      <c r="BC141" s="367"/>
      <c r="BD141" s="367"/>
      <c r="BE141" s="367"/>
      <c r="BF141" s="367"/>
      <c r="BG141" s="367"/>
      <c r="BH141" s="367"/>
      <c r="BI141" s="367"/>
      <c r="BJ141" s="389"/>
      <c r="BK141" s="367"/>
      <c r="BL141" s="390"/>
      <c r="BM141" s="367"/>
      <c r="BN141" s="367"/>
      <c r="BO141" s="367"/>
      <c r="BP141" s="367"/>
      <c r="BQ141" s="367"/>
      <c r="BR141" s="367"/>
      <c r="BS141" s="367"/>
      <c r="BT141" s="389"/>
      <c r="BU141" s="367"/>
      <c r="BV141" s="390"/>
      <c r="BW141" s="367"/>
      <c r="BX141" s="367"/>
      <c r="BY141" s="367"/>
      <c r="BZ141" s="367"/>
      <c r="CA141" s="367"/>
      <c r="CB141" s="367"/>
      <c r="CC141" s="367"/>
    </row>
    <row r="142" spans="1:81" s="227" customFormat="1" x14ac:dyDescent="0.25">
      <c r="B142" s="388"/>
      <c r="C142" s="364"/>
      <c r="D142" s="364"/>
      <c r="E142" s="364"/>
      <c r="F142" s="364"/>
      <c r="G142" s="364"/>
      <c r="H142" s="364"/>
      <c r="I142" s="364"/>
      <c r="J142" s="364"/>
      <c r="K142" s="364"/>
      <c r="L142" s="389"/>
      <c r="M142" s="367"/>
      <c r="N142" s="367"/>
      <c r="O142" s="367"/>
      <c r="P142" s="367"/>
      <c r="Q142" s="367"/>
      <c r="R142" s="367"/>
      <c r="S142" s="367"/>
      <c r="T142" s="367"/>
      <c r="U142" s="367"/>
      <c r="V142" s="389"/>
      <c r="W142" s="367"/>
      <c r="X142" s="367"/>
      <c r="Y142" s="367"/>
      <c r="Z142" s="367"/>
      <c r="AA142" s="367"/>
      <c r="AB142" s="367"/>
      <c r="AC142" s="367"/>
      <c r="AD142" s="367"/>
      <c r="AE142" s="367"/>
      <c r="AF142" s="389"/>
      <c r="AG142" s="367"/>
      <c r="AH142" s="367"/>
      <c r="AI142" s="367"/>
      <c r="AJ142" s="367"/>
      <c r="AK142" s="367"/>
      <c r="AL142" s="367"/>
      <c r="AM142" s="367"/>
      <c r="AN142" s="367"/>
      <c r="AO142" s="367"/>
      <c r="AP142" s="389"/>
      <c r="AQ142" s="367"/>
      <c r="AR142" s="367"/>
      <c r="AS142" s="367"/>
      <c r="AT142" s="367"/>
      <c r="AU142" s="367"/>
      <c r="AV142" s="367"/>
      <c r="AW142" s="367"/>
      <c r="AX142" s="367"/>
      <c r="AY142" s="367"/>
      <c r="AZ142" s="389"/>
      <c r="BA142" s="367"/>
      <c r="BB142" s="367"/>
      <c r="BC142" s="367"/>
      <c r="BD142" s="367"/>
      <c r="BE142" s="367"/>
      <c r="BF142" s="367"/>
      <c r="BG142" s="367"/>
      <c r="BH142" s="367"/>
      <c r="BI142" s="367"/>
      <c r="BJ142" s="389"/>
      <c r="BK142" s="367"/>
      <c r="BL142" s="367"/>
      <c r="BM142" s="367"/>
      <c r="BN142" s="367"/>
      <c r="BO142" s="367"/>
      <c r="BP142" s="367"/>
      <c r="BQ142" s="367"/>
      <c r="BR142" s="367"/>
      <c r="BS142" s="367"/>
      <c r="BT142" s="389"/>
      <c r="BU142" s="367"/>
      <c r="BV142" s="367"/>
      <c r="BW142" s="367"/>
      <c r="BX142" s="367"/>
      <c r="BY142" s="367"/>
      <c r="BZ142" s="367"/>
      <c r="CA142" s="367"/>
      <c r="CB142" s="367"/>
      <c r="CC142" s="367"/>
    </row>
    <row r="143" spans="1:81" s="227" customFormat="1" x14ac:dyDescent="0.25">
      <c r="B143" s="391"/>
      <c r="C143" s="392"/>
      <c r="D143" s="392"/>
      <c r="E143" s="392"/>
      <c r="F143" s="392"/>
      <c r="G143" s="392"/>
      <c r="H143" s="392"/>
      <c r="I143" s="392"/>
      <c r="J143" s="392"/>
      <c r="K143" s="392"/>
      <c r="M143" s="393"/>
      <c r="N143" s="393"/>
      <c r="O143" s="393"/>
      <c r="P143" s="393"/>
      <c r="Q143" s="393"/>
      <c r="R143" s="393"/>
      <c r="S143" s="393"/>
      <c r="T143" s="393"/>
      <c r="U143" s="393"/>
      <c r="V143" s="394"/>
      <c r="W143" s="393"/>
      <c r="X143" s="393"/>
      <c r="Y143" s="393"/>
      <c r="Z143" s="393"/>
      <c r="AA143" s="393"/>
      <c r="AB143" s="393"/>
      <c r="AC143" s="393"/>
      <c r="AD143" s="393"/>
      <c r="AE143" s="393"/>
      <c r="AF143" s="394"/>
      <c r="AG143" s="393"/>
      <c r="AH143" s="393"/>
      <c r="AI143" s="393"/>
      <c r="AJ143" s="393"/>
      <c r="AK143" s="393"/>
      <c r="AL143" s="393"/>
      <c r="AM143" s="393"/>
      <c r="AN143" s="393"/>
      <c r="AO143" s="393"/>
      <c r="AP143" s="394"/>
      <c r="AQ143" s="393"/>
      <c r="AR143" s="393"/>
      <c r="AS143" s="393"/>
      <c r="AT143" s="393"/>
      <c r="AU143" s="393"/>
      <c r="AV143" s="393"/>
      <c r="AW143" s="393"/>
      <c r="AX143" s="393"/>
      <c r="AY143" s="393"/>
      <c r="AZ143" s="394"/>
      <c r="BA143" s="393"/>
      <c r="BB143" s="393"/>
      <c r="BC143" s="393"/>
      <c r="BD143" s="393"/>
      <c r="BE143" s="393"/>
      <c r="BF143" s="393"/>
      <c r="BG143" s="393"/>
      <c r="BH143" s="393"/>
      <c r="BI143" s="393"/>
      <c r="BJ143" s="394"/>
      <c r="BK143" s="393"/>
      <c r="BL143" s="393"/>
      <c r="BM143" s="393"/>
      <c r="BN143" s="393"/>
      <c r="BO143" s="393"/>
      <c r="BP143" s="393"/>
      <c r="BQ143" s="393"/>
      <c r="BR143" s="393"/>
      <c r="BS143" s="393"/>
      <c r="BT143" s="394"/>
      <c r="BU143" s="393"/>
      <c r="BV143" s="393"/>
      <c r="BW143" s="393"/>
      <c r="BX143" s="393"/>
      <c r="BY143" s="393"/>
      <c r="BZ143" s="393"/>
      <c r="CA143" s="393"/>
      <c r="CB143" s="393"/>
      <c r="CC143" s="393"/>
    </row>
    <row r="144" spans="1:81" s="227" customFormat="1" x14ac:dyDescent="0.25">
      <c r="B144" s="388"/>
      <c r="C144" s="392"/>
      <c r="D144" s="392"/>
      <c r="E144" s="392"/>
      <c r="F144" s="392"/>
      <c r="G144" s="392"/>
      <c r="H144" s="392"/>
      <c r="I144" s="392"/>
      <c r="J144" s="392"/>
      <c r="K144" s="392"/>
      <c r="M144" s="393"/>
      <c r="N144" s="393"/>
      <c r="O144" s="393"/>
      <c r="P144" s="393"/>
      <c r="Q144" s="393"/>
      <c r="R144" s="393"/>
      <c r="S144" s="393"/>
      <c r="T144" s="393"/>
      <c r="U144" s="393"/>
      <c r="W144" s="393"/>
      <c r="X144" s="393"/>
      <c r="Y144" s="393"/>
      <c r="Z144" s="393"/>
      <c r="AA144" s="393"/>
      <c r="AB144" s="393"/>
      <c r="AC144" s="393"/>
      <c r="AD144" s="393"/>
      <c r="AE144" s="393"/>
      <c r="AG144" s="393"/>
      <c r="AH144" s="393"/>
      <c r="AI144" s="393"/>
      <c r="AJ144" s="393"/>
      <c r="AK144" s="393"/>
      <c r="AL144" s="393"/>
      <c r="AM144" s="393"/>
      <c r="AN144" s="393"/>
      <c r="AO144" s="393"/>
      <c r="AQ144" s="393"/>
      <c r="AR144" s="393"/>
      <c r="AS144" s="393"/>
      <c r="AT144" s="393"/>
      <c r="AU144" s="393"/>
      <c r="AV144" s="393"/>
      <c r="AW144" s="393"/>
      <c r="AX144" s="393"/>
      <c r="AY144" s="393"/>
      <c r="BA144" s="393"/>
      <c r="BB144" s="393"/>
      <c r="BC144" s="393"/>
      <c r="BD144" s="393"/>
      <c r="BE144" s="393"/>
      <c r="BF144" s="393"/>
      <c r="BG144" s="393"/>
      <c r="BH144" s="393"/>
      <c r="BI144" s="393"/>
      <c r="BK144" s="393"/>
      <c r="BL144" s="393"/>
      <c r="BM144" s="393"/>
      <c r="BN144" s="393"/>
      <c r="BO144" s="393"/>
      <c r="BP144" s="393"/>
      <c r="BQ144" s="393"/>
      <c r="BR144" s="393"/>
      <c r="BS144" s="393"/>
      <c r="BU144" s="393"/>
      <c r="BV144" s="393"/>
      <c r="BW144" s="393"/>
      <c r="BX144" s="393"/>
      <c r="BY144" s="393"/>
      <c r="BZ144" s="393"/>
      <c r="CA144" s="393"/>
      <c r="CB144" s="393"/>
      <c r="CC144" s="393"/>
    </row>
    <row r="145" spans="2:81" s="227" customFormat="1" x14ac:dyDescent="0.25">
      <c r="B145" s="388"/>
      <c r="C145" s="392"/>
      <c r="D145" s="392"/>
      <c r="E145" s="392"/>
      <c r="F145" s="392"/>
      <c r="G145" s="392"/>
      <c r="H145" s="392"/>
      <c r="I145" s="392"/>
      <c r="J145" s="392"/>
      <c r="K145" s="392"/>
      <c r="M145" s="393"/>
      <c r="N145" s="393"/>
      <c r="O145" s="393"/>
      <c r="P145" s="393"/>
      <c r="Q145" s="393"/>
      <c r="R145" s="393"/>
      <c r="S145" s="393"/>
      <c r="T145" s="393"/>
      <c r="U145" s="393"/>
      <c r="W145" s="393"/>
      <c r="X145" s="393"/>
      <c r="Y145" s="393"/>
      <c r="Z145" s="393"/>
      <c r="AA145" s="393"/>
      <c r="AB145" s="393"/>
      <c r="AC145" s="393"/>
      <c r="AD145" s="393"/>
      <c r="AE145" s="393"/>
      <c r="AG145" s="393"/>
      <c r="AH145" s="393"/>
      <c r="AI145" s="393"/>
      <c r="AJ145" s="393"/>
      <c r="AK145" s="393"/>
      <c r="AL145" s="393"/>
      <c r="AM145" s="393"/>
      <c r="AN145" s="393"/>
      <c r="AO145" s="393"/>
      <c r="AQ145" s="393"/>
      <c r="AR145" s="393"/>
      <c r="AS145" s="393"/>
      <c r="AT145" s="393"/>
      <c r="AU145" s="393"/>
      <c r="AV145" s="393"/>
      <c r="AW145" s="393"/>
      <c r="AX145" s="393"/>
      <c r="AY145" s="393"/>
      <c r="BA145" s="393"/>
      <c r="BB145" s="393"/>
      <c r="BC145" s="393"/>
      <c r="BD145" s="393"/>
      <c r="BE145" s="393"/>
      <c r="BF145" s="393"/>
      <c r="BG145" s="393"/>
      <c r="BH145" s="393"/>
      <c r="BI145" s="393"/>
      <c r="BK145" s="393"/>
      <c r="BL145" s="393"/>
      <c r="BM145" s="393"/>
      <c r="BN145" s="393"/>
      <c r="BO145" s="393"/>
      <c r="BP145" s="393"/>
      <c r="BQ145" s="393"/>
      <c r="BR145" s="393"/>
      <c r="BS145" s="393"/>
      <c r="BU145" s="393"/>
      <c r="BV145" s="393"/>
      <c r="BW145" s="393"/>
      <c r="BX145" s="393"/>
      <c r="BY145" s="393"/>
      <c r="BZ145" s="393"/>
      <c r="CA145" s="393"/>
      <c r="CB145" s="393"/>
      <c r="CC145" s="393"/>
    </row>
    <row r="146" spans="2:81" s="227" customFormat="1" x14ac:dyDescent="0.25">
      <c r="B146" s="388"/>
      <c r="C146" s="392"/>
      <c r="D146" s="392"/>
      <c r="E146" s="392"/>
      <c r="F146" s="392"/>
      <c r="G146" s="392"/>
      <c r="H146" s="392"/>
      <c r="I146" s="392"/>
      <c r="J146" s="392"/>
      <c r="K146" s="392"/>
      <c r="M146" s="393"/>
      <c r="N146" s="393"/>
      <c r="O146" s="393"/>
      <c r="P146" s="393"/>
      <c r="Q146" s="393"/>
      <c r="R146" s="393"/>
      <c r="S146" s="393"/>
      <c r="T146" s="393"/>
      <c r="U146" s="393"/>
      <c r="W146" s="393"/>
      <c r="X146" s="393"/>
      <c r="Y146" s="393"/>
      <c r="Z146" s="393"/>
      <c r="AA146" s="393"/>
      <c r="AB146" s="393"/>
      <c r="AC146" s="393"/>
      <c r="AD146" s="393"/>
      <c r="AE146" s="393"/>
      <c r="AG146" s="393"/>
      <c r="AH146" s="393"/>
      <c r="AI146" s="393"/>
      <c r="AJ146" s="393"/>
      <c r="AK146" s="393"/>
      <c r="AL146" s="393"/>
      <c r="AM146" s="393"/>
      <c r="AN146" s="393"/>
      <c r="AO146" s="393"/>
      <c r="AQ146" s="393"/>
      <c r="AR146" s="393"/>
      <c r="AS146" s="393"/>
      <c r="AT146" s="393"/>
      <c r="AU146" s="393"/>
      <c r="AV146" s="393"/>
      <c r="AW146" s="393"/>
      <c r="AX146" s="393"/>
      <c r="AY146" s="393"/>
      <c r="BA146" s="393"/>
      <c r="BB146" s="393"/>
      <c r="BC146" s="393"/>
      <c r="BD146" s="393"/>
      <c r="BE146" s="393"/>
      <c r="BF146" s="393"/>
      <c r="BG146" s="393"/>
      <c r="BH146" s="393"/>
      <c r="BI146" s="393"/>
      <c r="BK146" s="393"/>
      <c r="BL146" s="393"/>
      <c r="BM146" s="393"/>
      <c r="BN146" s="393"/>
      <c r="BO146" s="393"/>
      <c r="BP146" s="393"/>
      <c r="BQ146" s="393"/>
      <c r="BR146" s="393"/>
      <c r="BS146" s="393"/>
      <c r="BU146" s="393"/>
      <c r="BV146" s="393"/>
      <c r="BW146" s="393"/>
      <c r="BX146" s="393"/>
      <c r="BY146" s="393"/>
      <c r="BZ146" s="393"/>
      <c r="CA146" s="393"/>
      <c r="CB146" s="393"/>
      <c r="CC146" s="393"/>
    </row>
    <row r="147" spans="2:81" s="227" customFormat="1" x14ac:dyDescent="0.25">
      <c r="B147" s="388"/>
      <c r="C147" s="392"/>
      <c r="D147" s="392"/>
      <c r="E147" s="392"/>
      <c r="F147" s="392"/>
      <c r="G147" s="392"/>
      <c r="H147" s="392"/>
      <c r="I147" s="392"/>
      <c r="J147" s="392"/>
      <c r="K147" s="392"/>
      <c r="M147" s="393"/>
      <c r="N147" s="393"/>
      <c r="O147" s="393"/>
      <c r="P147" s="393"/>
      <c r="Q147" s="393"/>
      <c r="R147" s="393"/>
      <c r="S147" s="393"/>
      <c r="T147" s="393"/>
      <c r="U147" s="393"/>
      <c r="W147" s="393"/>
      <c r="X147" s="393"/>
      <c r="Y147" s="393"/>
      <c r="Z147" s="393"/>
      <c r="AA147" s="393"/>
      <c r="AB147" s="393"/>
      <c r="AC147" s="393"/>
      <c r="AD147" s="393"/>
      <c r="AE147" s="393"/>
      <c r="AG147" s="393"/>
      <c r="AH147" s="393"/>
      <c r="AI147" s="393"/>
      <c r="AJ147" s="393"/>
      <c r="AK147" s="393"/>
      <c r="AL147" s="393"/>
      <c r="AM147" s="393"/>
      <c r="AN147" s="393"/>
      <c r="AO147" s="393"/>
      <c r="AQ147" s="393"/>
      <c r="AR147" s="393"/>
      <c r="AS147" s="393"/>
      <c r="AT147" s="393"/>
      <c r="AU147" s="393"/>
      <c r="AV147" s="393"/>
      <c r="AW147" s="393"/>
      <c r="AX147" s="393"/>
      <c r="AY147" s="393"/>
      <c r="BA147" s="393"/>
      <c r="BB147" s="393"/>
      <c r="BC147" s="393"/>
      <c r="BD147" s="393"/>
      <c r="BE147" s="393"/>
      <c r="BF147" s="393"/>
      <c r="BG147" s="393"/>
      <c r="BH147" s="393"/>
      <c r="BI147" s="393"/>
      <c r="BK147" s="393"/>
      <c r="BL147" s="393"/>
      <c r="BM147" s="393"/>
      <c r="BN147" s="393"/>
      <c r="BO147" s="393"/>
      <c r="BP147" s="393"/>
      <c r="BQ147" s="393"/>
      <c r="BR147" s="393"/>
      <c r="BS147" s="393"/>
      <c r="BU147" s="393"/>
      <c r="BV147" s="393"/>
      <c r="BW147" s="393"/>
      <c r="BX147" s="393"/>
      <c r="BY147" s="393"/>
      <c r="BZ147" s="393"/>
      <c r="CA147" s="393"/>
      <c r="CB147" s="393"/>
      <c r="CC147" s="393"/>
    </row>
    <row r="148" spans="2:81" s="227" customFormat="1" x14ac:dyDescent="0.25">
      <c r="B148" s="388"/>
      <c r="C148" s="392"/>
      <c r="D148" s="392"/>
      <c r="E148" s="392"/>
      <c r="F148" s="392"/>
      <c r="G148" s="392"/>
      <c r="H148" s="392"/>
      <c r="I148" s="392"/>
      <c r="J148" s="392"/>
      <c r="K148" s="392"/>
      <c r="M148" s="393"/>
      <c r="N148" s="393"/>
      <c r="O148" s="393"/>
      <c r="P148" s="393"/>
      <c r="Q148" s="393"/>
      <c r="R148" s="393"/>
      <c r="S148" s="393"/>
      <c r="T148" s="393"/>
      <c r="U148" s="393"/>
      <c r="W148" s="393"/>
      <c r="X148" s="393"/>
      <c r="Y148" s="393"/>
      <c r="Z148" s="393"/>
      <c r="AA148" s="393"/>
      <c r="AB148" s="393"/>
      <c r="AC148" s="393"/>
      <c r="AD148" s="393"/>
      <c r="AE148" s="393"/>
      <c r="AG148" s="393"/>
      <c r="AH148" s="393"/>
      <c r="AI148" s="393"/>
      <c r="AJ148" s="393"/>
      <c r="AK148" s="393"/>
      <c r="AL148" s="393"/>
      <c r="AM148" s="393"/>
      <c r="AN148" s="393"/>
      <c r="AO148" s="393"/>
      <c r="AQ148" s="393"/>
      <c r="AR148" s="393"/>
      <c r="AS148" s="393"/>
      <c r="AT148" s="393"/>
      <c r="AU148" s="393"/>
      <c r="AV148" s="393"/>
      <c r="AW148" s="393"/>
      <c r="AX148" s="393"/>
      <c r="AY148" s="393"/>
      <c r="BA148" s="393"/>
      <c r="BB148" s="393"/>
      <c r="BC148" s="393"/>
      <c r="BD148" s="393"/>
      <c r="BE148" s="393"/>
      <c r="BF148" s="393"/>
      <c r="BG148" s="393"/>
      <c r="BH148" s="393"/>
      <c r="BI148" s="393"/>
      <c r="BK148" s="393"/>
      <c r="BL148" s="393"/>
      <c r="BM148" s="393"/>
      <c r="BN148" s="393"/>
      <c r="BO148" s="393"/>
      <c r="BP148" s="393"/>
      <c r="BQ148" s="393"/>
      <c r="BR148" s="393"/>
      <c r="BS148" s="393"/>
      <c r="BU148" s="393"/>
      <c r="BV148" s="393"/>
      <c r="BW148" s="393"/>
      <c r="BX148" s="393"/>
      <c r="BY148" s="393"/>
      <c r="BZ148" s="393"/>
      <c r="CA148" s="393"/>
      <c r="CB148" s="393"/>
      <c r="CC148" s="393"/>
    </row>
    <row r="149" spans="2:81" s="227" customFormat="1" x14ac:dyDescent="0.25">
      <c r="B149" s="388"/>
      <c r="C149" s="392"/>
      <c r="D149" s="392"/>
      <c r="E149" s="392"/>
      <c r="F149" s="392"/>
      <c r="G149" s="392"/>
      <c r="H149" s="392"/>
      <c r="I149" s="392"/>
      <c r="J149" s="392"/>
      <c r="K149" s="392"/>
      <c r="M149" s="393"/>
      <c r="N149" s="393"/>
      <c r="O149" s="393"/>
      <c r="P149" s="393"/>
      <c r="Q149" s="393"/>
      <c r="R149" s="393"/>
      <c r="S149" s="393"/>
      <c r="T149" s="393"/>
      <c r="U149" s="393"/>
      <c r="W149" s="393"/>
      <c r="X149" s="393"/>
      <c r="Y149" s="393"/>
      <c r="Z149" s="393"/>
      <c r="AA149" s="393"/>
      <c r="AB149" s="393"/>
      <c r="AC149" s="393"/>
      <c r="AD149" s="393"/>
      <c r="AE149" s="393"/>
      <c r="AG149" s="393"/>
      <c r="AH149" s="393"/>
      <c r="AI149" s="393"/>
      <c r="AJ149" s="393"/>
      <c r="AK149" s="393"/>
      <c r="AL149" s="393"/>
      <c r="AM149" s="393"/>
      <c r="AN149" s="393"/>
      <c r="AO149" s="393"/>
      <c r="AQ149" s="393"/>
      <c r="AR149" s="393"/>
      <c r="AS149" s="393"/>
      <c r="AT149" s="393"/>
      <c r="AU149" s="393"/>
      <c r="AV149" s="393"/>
      <c r="AW149" s="393"/>
      <c r="AX149" s="393"/>
      <c r="AY149" s="393"/>
      <c r="BA149" s="393"/>
      <c r="BB149" s="393"/>
      <c r="BC149" s="393"/>
      <c r="BD149" s="393"/>
      <c r="BE149" s="393"/>
      <c r="BF149" s="393"/>
      <c r="BG149" s="393"/>
      <c r="BH149" s="393"/>
      <c r="BI149" s="393"/>
      <c r="BK149" s="393"/>
      <c r="BL149" s="393"/>
      <c r="BM149" s="393"/>
      <c r="BN149" s="393"/>
      <c r="BO149" s="393"/>
      <c r="BP149" s="393"/>
      <c r="BQ149" s="393"/>
      <c r="BR149" s="393"/>
      <c r="BS149" s="393"/>
      <c r="BU149" s="393"/>
      <c r="BV149" s="393"/>
      <c r="BW149" s="393"/>
      <c r="BX149" s="393"/>
      <c r="BY149" s="393"/>
      <c r="BZ149" s="393"/>
      <c r="CA149" s="393"/>
      <c r="CB149" s="393"/>
      <c r="CC149" s="393"/>
    </row>
    <row r="150" spans="2:81" s="227" customFormat="1" x14ac:dyDescent="0.25">
      <c r="B150" s="388"/>
      <c r="C150" s="392"/>
      <c r="D150" s="392"/>
      <c r="E150" s="392"/>
      <c r="F150" s="392"/>
      <c r="G150" s="392"/>
      <c r="H150" s="392"/>
      <c r="I150" s="392"/>
      <c r="J150" s="392"/>
      <c r="K150" s="392"/>
      <c r="M150" s="393"/>
      <c r="N150" s="393"/>
      <c r="O150" s="393"/>
      <c r="P150" s="393"/>
      <c r="Q150" s="393"/>
      <c r="R150" s="393"/>
      <c r="S150" s="393"/>
      <c r="T150" s="393"/>
      <c r="U150" s="393"/>
      <c r="W150" s="393"/>
      <c r="X150" s="393"/>
      <c r="Y150" s="393"/>
      <c r="Z150" s="393"/>
      <c r="AA150" s="393"/>
      <c r="AB150" s="393"/>
      <c r="AC150" s="393"/>
      <c r="AD150" s="393"/>
      <c r="AE150" s="393"/>
      <c r="AG150" s="393"/>
      <c r="AH150" s="393"/>
      <c r="AI150" s="393"/>
      <c r="AJ150" s="393"/>
      <c r="AK150" s="393"/>
      <c r="AL150" s="393"/>
      <c r="AM150" s="393"/>
      <c r="AN150" s="393"/>
      <c r="AO150" s="393"/>
      <c r="AQ150" s="393"/>
      <c r="AR150" s="393"/>
      <c r="AS150" s="393"/>
      <c r="AT150" s="393"/>
      <c r="AU150" s="393"/>
      <c r="AV150" s="393"/>
      <c r="AW150" s="393"/>
      <c r="AX150" s="393"/>
      <c r="AY150" s="393"/>
      <c r="BA150" s="393"/>
      <c r="BB150" s="393"/>
      <c r="BC150" s="393"/>
      <c r="BD150" s="393"/>
      <c r="BE150" s="393"/>
      <c r="BF150" s="393"/>
      <c r="BG150" s="393"/>
      <c r="BH150" s="393"/>
      <c r="BI150" s="393"/>
      <c r="BK150" s="393"/>
      <c r="BL150" s="393"/>
      <c r="BM150" s="393"/>
      <c r="BN150" s="393"/>
      <c r="BO150" s="393"/>
      <c r="BP150" s="393"/>
      <c r="BQ150" s="393"/>
      <c r="BR150" s="393"/>
      <c r="BS150" s="393"/>
      <c r="BU150" s="393"/>
      <c r="BV150" s="393"/>
      <c r="BW150" s="393"/>
      <c r="BX150" s="393"/>
      <c r="BY150" s="393"/>
      <c r="BZ150" s="393"/>
      <c r="CA150" s="393"/>
      <c r="CB150" s="393"/>
      <c r="CC150" s="393"/>
    </row>
    <row r="151" spans="2:81" s="227" customFormat="1" x14ac:dyDescent="0.25">
      <c r="B151" s="388"/>
      <c r="C151" s="392"/>
      <c r="D151" s="392"/>
      <c r="E151" s="392"/>
      <c r="F151" s="392"/>
      <c r="G151" s="392"/>
      <c r="H151" s="392"/>
      <c r="I151" s="392"/>
      <c r="J151" s="392"/>
      <c r="K151" s="392"/>
      <c r="M151" s="393"/>
      <c r="N151" s="393"/>
      <c r="O151" s="393"/>
      <c r="P151" s="393"/>
      <c r="Q151" s="393"/>
      <c r="R151" s="393"/>
      <c r="S151" s="393"/>
      <c r="T151" s="393"/>
      <c r="U151" s="393"/>
      <c r="W151" s="393"/>
      <c r="X151" s="393"/>
      <c r="Y151" s="393"/>
      <c r="Z151" s="393"/>
      <c r="AA151" s="393"/>
      <c r="AB151" s="393"/>
      <c r="AC151" s="393"/>
      <c r="AD151" s="393"/>
      <c r="AE151" s="393"/>
      <c r="AG151" s="393"/>
      <c r="AH151" s="393"/>
      <c r="AI151" s="393"/>
      <c r="AJ151" s="393"/>
      <c r="AK151" s="393"/>
      <c r="AL151" s="393"/>
      <c r="AM151" s="393"/>
      <c r="AN151" s="393"/>
      <c r="AO151" s="393"/>
      <c r="AQ151" s="393"/>
      <c r="AR151" s="393"/>
      <c r="AS151" s="393"/>
      <c r="AT151" s="393"/>
      <c r="AU151" s="393"/>
      <c r="AV151" s="393"/>
      <c r="AW151" s="393"/>
      <c r="AX151" s="393"/>
      <c r="AY151" s="393"/>
      <c r="BA151" s="393"/>
      <c r="BB151" s="393"/>
      <c r="BC151" s="393"/>
      <c r="BD151" s="393"/>
      <c r="BE151" s="393"/>
      <c r="BF151" s="393"/>
      <c r="BG151" s="393"/>
      <c r="BH151" s="393"/>
      <c r="BI151" s="393"/>
      <c r="BK151" s="393"/>
      <c r="BL151" s="393"/>
      <c r="BM151" s="393"/>
      <c r="BN151" s="393"/>
      <c r="BO151" s="393"/>
      <c r="BP151" s="393"/>
      <c r="BQ151" s="393"/>
      <c r="BR151" s="393"/>
      <c r="BS151" s="393"/>
      <c r="BU151" s="393"/>
      <c r="BV151" s="393"/>
      <c r="BW151" s="393"/>
      <c r="BX151" s="393"/>
      <c r="BY151" s="393"/>
      <c r="BZ151" s="393"/>
      <c r="CA151" s="393"/>
      <c r="CB151" s="393"/>
      <c r="CC151" s="393"/>
    </row>
    <row r="152" spans="2:81" s="227" customFormat="1" x14ac:dyDescent="0.25">
      <c r="B152" s="388"/>
      <c r="C152" s="392"/>
      <c r="D152" s="392"/>
      <c r="E152" s="392"/>
      <c r="F152" s="392"/>
      <c r="G152" s="392"/>
      <c r="H152" s="392"/>
      <c r="I152" s="392"/>
      <c r="J152" s="392"/>
      <c r="K152" s="392"/>
      <c r="M152" s="393"/>
      <c r="N152" s="393"/>
      <c r="O152" s="393"/>
      <c r="P152" s="393"/>
      <c r="Q152" s="393"/>
      <c r="R152" s="393"/>
      <c r="S152" s="393"/>
      <c r="T152" s="393"/>
      <c r="U152" s="393"/>
      <c r="W152" s="393"/>
      <c r="X152" s="393"/>
      <c r="Y152" s="393"/>
      <c r="Z152" s="393"/>
      <c r="AA152" s="393"/>
      <c r="AB152" s="393"/>
      <c r="AC152" s="393"/>
      <c r="AD152" s="393"/>
      <c r="AE152" s="393"/>
      <c r="AG152" s="393"/>
      <c r="AH152" s="393"/>
      <c r="AI152" s="393"/>
      <c r="AJ152" s="393"/>
      <c r="AK152" s="393"/>
      <c r="AL152" s="393"/>
      <c r="AM152" s="393"/>
      <c r="AN152" s="393"/>
      <c r="AO152" s="393"/>
      <c r="AQ152" s="393"/>
      <c r="AR152" s="393"/>
      <c r="AS152" s="393"/>
      <c r="AT152" s="393"/>
      <c r="AU152" s="393"/>
      <c r="AV152" s="393"/>
      <c r="AW152" s="393"/>
      <c r="AX152" s="393"/>
      <c r="AY152" s="393"/>
      <c r="BA152" s="393"/>
      <c r="BB152" s="393"/>
      <c r="BC152" s="393"/>
      <c r="BD152" s="393"/>
      <c r="BE152" s="393"/>
      <c r="BF152" s="393"/>
      <c r="BG152" s="393"/>
      <c r="BH152" s="393"/>
      <c r="BI152" s="393"/>
      <c r="BK152" s="393"/>
      <c r="BL152" s="393"/>
      <c r="BM152" s="393"/>
      <c r="BN152" s="393"/>
      <c r="BO152" s="393"/>
      <c r="BP152" s="393"/>
      <c r="BQ152" s="393"/>
      <c r="BR152" s="393"/>
      <c r="BS152" s="393"/>
      <c r="BU152" s="393"/>
      <c r="BV152" s="393"/>
      <c r="BW152" s="393"/>
      <c r="BX152" s="393"/>
      <c r="BY152" s="393"/>
      <c r="BZ152" s="393"/>
      <c r="CA152" s="393"/>
      <c r="CB152" s="393"/>
      <c r="CC152" s="393"/>
    </row>
    <row r="153" spans="2:81" s="227" customFormat="1" x14ac:dyDescent="0.25">
      <c r="B153" s="388"/>
      <c r="C153" s="392"/>
      <c r="D153" s="392"/>
      <c r="E153" s="392"/>
      <c r="F153" s="392"/>
      <c r="G153" s="392"/>
      <c r="H153" s="392"/>
      <c r="I153" s="392"/>
      <c r="J153" s="392"/>
      <c r="K153" s="392"/>
      <c r="M153" s="393"/>
      <c r="N153" s="393"/>
      <c r="O153" s="393"/>
      <c r="P153" s="393"/>
      <c r="Q153" s="393"/>
      <c r="R153" s="393"/>
      <c r="S153" s="393"/>
      <c r="T153" s="393"/>
      <c r="U153" s="393"/>
      <c r="W153" s="393"/>
      <c r="X153" s="393"/>
      <c r="Y153" s="393"/>
      <c r="Z153" s="393"/>
      <c r="AA153" s="393"/>
      <c r="AB153" s="393"/>
      <c r="AC153" s="393"/>
      <c r="AD153" s="393"/>
      <c r="AE153" s="393"/>
      <c r="AG153" s="393"/>
      <c r="AH153" s="393"/>
      <c r="AI153" s="393"/>
      <c r="AJ153" s="393"/>
      <c r="AK153" s="393"/>
      <c r="AL153" s="393"/>
      <c r="AM153" s="393"/>
      <c r="AN153" s="393"/>
      <c r="AO153" s="393"/>
      <c r="AQ153" s="393"/>
      <c r="AR153" s="393"/>
      <c r="AS153" s="393"/>
      <c r="AT153" s="393"/>
      <c r="AU153" s="393"/>
      <c r="AV153" s="393"/>
      <c r="AW153" s="393"/>
      <c r="AX153" s="393"/>
      <c r="AY153" s="393"/>
      <c r="BA153" s="393"/>
      <c r="BB153" s="393"/>
      <c r="BC153" s="393"/>
      <c r="BD153" s="393"/>
      <c r="BE153" s="393"/>
      <c r="BF153" s="393"/>
      <c r="BG153" s="393"/>
      <c r="BH153" s="393"/>
      <c r="BI153" s="393"/>
      <c r="BK153" s="393"/>
      <c r="BL153" s="393"/>
      <c r="BM153" s="393"/>
      <c r="BN153" s="393"/>
      <c r="BO153" s="393"/>
      <c r="BP153" s="393"/>
      <c r="BQ153" s="393"/>
      <c r="BR153" s="393"/>
      <c r="BS153" s="393"/>
      <c r="BU153" s="393"/>
      <c r="BV153" s="393"/>
      <c r="BW153" s="393"/>
      <c r="BX153" s="393"/>
      <c r="BY153" s="393"/>
      <c r="BZ153" s="393"/>
      <c r="CA153" s="393"/>
      <c r="CB153" s="393"/>
      <c r="CC153" s="393"/>
    </row>
    <row r="154" spans="2:81" s="227" customFormat="1" x14ac:dyDescent="0.25">
      <c r="B154" s="388"/>
      <c r="C154" s="392"/>
      <c r="D154" s="392"/>
      <c r="E154" s="392"/>
      <c r="F154" s="392"/>
      <c r="G154" s="392"/>
      <c r="H154" s="392"/>
      <c r="I154" s="392"/>
      <c r="J154" s="392"/>
      <c r="K154" s="392"/>
      <c r="M154" s="393"/>
      <c r="N154" s="393"/>
      <c r="O154" s="393"/>
      <c r="P154" s="393"/>
      <c r="Q154" s="393"/>
      <c r="R154" s="393"/>
      <c r="S154" s="393"/>
      <c r="T154" s="393"/>
      <c r="U154" s="393"/>
      <c r="W154" s="393"/>
      <c r="X154" s="393"/>
      <c r="Y154" s="393"/>
      <c r="Z154" s="393"/>
      <c r="AA154" s="393"/>
      <c r="AB154" s="393"/>
      <c r="AC154" s="393"/>
      <c r="AD154" s="393"/>
      <c r="AE154" s="393"/>
      <c r="AG154" s="393"/>
      <c r="AH154" s="393"/>
      <c r="AI154" s="393"/>
      <c r="AJ154" s="393"/>
      <c r="AK154" s="393"/>
      <c r="AL154" s="393"/>
      <c r="AM154" s="393"/>
      <c r="AN154" s="393"/>
      <c r="AO154" s="393"/>
      <c r="AQ154" s="393"/>
      <c r="AR154" s="393"/>
      <c r="AS154" s="393"/>
      <c r="AT154" s="393"/>
      <c r="AU154" s="393"/>
      <c r="AV154" s="393"/>
      <c r="AW154" s="393"/>
      <c r="AX154" s="393"/>
      <c r="AY154" s="393"/>
      <c r="BA154" s="393"/>
      <c r="BB154" s="393"/>
      <c r="BC154" s="393"/>
      <c r="BD154" s="393"/>
      <c r="BE154" s="393"/>
      <c r="BF154" s="393"/>
      <c r="BG154" s="393"/>
      <c r="BH154" s="393"/>
      <c r="BI154" s="393"/>
      <c r="BK154" s="393"/>
      <c r="BL154" s="393"/>
      <c r="BM154" s="393"/>
      <c r="BN154" s="393"/>
      <c r="BO154" s="393"/>
      <c r="BP154" s="393"/>
      <c r="BQ154" s="393"/>
      <c r="BR154" s="393"/>
      <c r="BS154" s="393"/>
      <c r="BU154" s="393"/>
      <c r="BV154" s="393"/>
      <c r="BW154" s="393"/>
      <c r="BX154" s="393"/>
      <c r="BY154" s="393"/>
      <c r="BZ154" s="393"/>
      <c r="CA154" s="393"/>
      <c r="CB154" s="393"/>
      <c r="CC154" s="393"/>
    </row>
    <row r="155" spans="2:81" s="227" customFormat="1" x14ac:dyDescent="0.25">
      <c r="B155" s="388"/>
      <c r="C155" s="392"/>
      <c r="D155" s="392"/>
      <c r="E155" s="392"/>
      <c r="F155" s="392"/>
      <c r="G155" s="392"/>
      <c r="H155" s="392"/>
      <c r="I155" s="392"/>
      <c r="J155" s="392"/>
      <c r="K155" s="392"/>
      <c r="M155" s="393"/>
      <c r="N155" s="393"/>
      <c r="O155" s="393"/>
      <c r="P155" s="393"/>
      <c r="Q155" s="393"/>
      <c r="R155" s="393"/>
      <c r="S155" s="393"/>
      <c r="T155" s="393"/>
      <c r="U155" s="393"/>
      <c r="W155" s="393"/>
      <c r="X155" s="393"/>
      <c r="Y155" s="393"/>
      <c r="Z155" s="393"/>
      <c r="AA155" s="393"/>
      <c r="AB155" s="393"/>
      <c r="AC155" s="393"/>
      <c r="AD155" s="393"/>
      <c r="AE155" s="393"/>
      <c r="AG155" s="393"/>
      <c r="AH155" s="393"/>
      <c r="AI155" s="393"/>
      <c r="AJ155" s="393"/>
      <c r="AK155" s="393"/>
      <c r="AL155" s="393"/>
      <c r="AM155" s="393"/>
      <c r="AN155" s="393"/>
      <c r="AO155" s="393"/>
      <c r="AQ155" s="393"/>
      <c r="AR155" s="393"/>
      <c r="AS155" s="393"/>
      <c r="AT155" s="393"/>
      <c r="AU155" s="393"/>
      <c r="AV155" s="393"/>
      <c r="AW155" s="393"/>
      <c r="AX155" s="393"/>
      <c r="AY155" s="393"/>
      <c r="BA155" s="393"/>
      <c r="BB155" s="393"/>
      <c r="BC155" s="393"/>
      <c r="BD155" s="393"/>
      <c r="BE155" s="393"/>
      <c r="BF155" s="393"/>
      <c r="BG155" s="393"/>
      <c r="BH155" s="393"/>
      <c r="BI155" s="393"/>
      <c r="BK155" s="393"/>
      <c r="BL155" s="393"/>
      <c r="BM155" s="393"/>
      <c r="BN155" s="393"/>
      <c r="BO155" s="393"/>
      <c r="BP155" s="393"/>
      <c r="BQ155" s="393"/>
      <c r="BR155" s="393"/>
      <c r="BS155" s="393"/>
      <c r="BU155" s="393"/>
      <c r="BV155" s="393"/>
      <c r="BW155" s="393"/>
      <c r="BX155" s="393"/>
      <c r="BY155" s="393"/>
      <c r="BZ155" s="393"/>
      <c r="CA155" s="393"/>
      <c r="CB155" s="393"/>
      <c r="CC155" s="393"/>
    </row>
    <row r="156" spans="2:81" s="227" customFormat="1" x14ac:dyDescent="0.25">
      <c r="B156" s="388"/>
      <c r="C156" s="392"/>
      <c r="D156" s="392"/>
      <c r="E156" s="392"/>
      <c r="F156" s="392"/>
      <c r="G156" s="392"/>
      <c r="H156" s="392"/>
      <c r="I156" s="392"/>
      <c r="J156" s="392"/>
      <c r="K156" s="392"/>
      <c r="M156" s="393"/>
      <c r="N156" s="393"/>
      <c r="O156" s="393"/>
      <c r="P156" s="393"/>
      <c r="Q156" s="393"/>
      <c r="R156" s="393"/>
      <c r="S156" s="393"/>
      <c r="T156" s="393"/>
      <c r="U156" s="393"/>
      <c r="W156" s="393"/>
      <c r="X156" s="393"/>
      <c r="Y156" s="393"/>
      <c r="Z156" s="393"/>
      <c r="AA156" s="393"/>
      <c r="AB156" s="393"/>
      <c r="AC156" s="393"/>
      <c r="AD156" s="393"/>
      <c r="AE156" s="393"/>
      <c r="AG156" s="393"/>
      <c r="AH156" s="393"/>
      <c r="AI156" s="393"/>
      <c r="AJ156" s="393"/>
      <c r="AK156" s="393"/>
      <c r="AL156" s="393"/>
      <c r="AM156" s="393"/>
      <c r="AN156" s="393"/>
      <c r="AO156" s="393"/>
      <c r="AQ156" s="393"/>
      <c r="AR156" s="393"/>
      <c r="AS156" s="393"/>
      <c r="AT156" s="393"/>
      <c r="AU156" s="393"/>
      <c r="AV156" s="393"/>
      <c r="AW156" s="393"/>
      <c r="AX156" s="393"/>
      <c r="AY156" s="393"/>
      <c r="BA156" s="393"/>
      <c r="BB156" s="393"/>
      <c r="BC156" s="393"/>
      <c r="BD156" s="393"/>
      <c r="BE156" s="393"/>
      <c r="BF156" s="393"/>
      <c r="BG156" s="393"/>
      <c r="BH156" s="393"/>
      <c r="BI156" s="393"/>
      <c r="BK156" s="393"/>
      <c r="BL156" s="393"/>
      <c r="BM156" s="393"/>
      <c r="BN156" s="393"/>
      <c r="BO156" s="393"/>
      <c r="BP156" s="393"/>
      <c r="BQ156" s="393"/>
      <c r="BR156" s="393"/>
      <c r="BS156" s="393"/>
      <c r="BU156" s="393"/>
      <c r="BV156" s="393"/>
      <c r="BW156" s="393"/>
      <c r="BX156" s="393"/>
      <c r="BY156" s="393"/>
      <c r="BZ156" s="393"/>
      <c r="CA156" s="393"/>
      <c r="CB156" s="393"/>
      <c r="CC156" s="393"/>
    </row>
    <row r="157" spans="2:81" s="227" customFormat="1" x14ac:dyDescent="0.25">
      <c r="B157" s="388"/>
      <c r="C157" s="392"/>
      <c r="D157" s="392"/>
      <c r="E157" s="392"/>
      <c r="F157" s="392"/>
      <c r="G157" s="392"/>
      <c r="H157" s="392"/>
      <c r="I157" s="392"/>
      <c r="J157" s="392"/>
      <c r="K157" s="392"/>
      <c r="M157" s="393"/>
      <c r="N157" s="393"/>
      <c r="O157" s="393"/>
      <c r="P157" s="393"/>
      <c r="Q157" s="393"/>
      <c r="R157" s="393"/>
      <c r="S157" s="393"/>
      <c r="T157" s="393"/>
      <c r="U157" s="393"/>
      <c r="W157" s="393"/>
      <c r="X157" s="393"/>
      <c r="Y157" s="393"/>
      <c r="Z157" s="393"/>
      <c r="AA157" s="393"/>
      <c r="AB157" s="393"/>
      <c r="AC157" s="393"/>
      <c r="AD157" s="393"/>
      <c r="AE157" s="393"/>
      <c r="AG157" s="393"/>
      <c r="AH157" s="393"/>
      <c r="AI157" s="393"/>
      <c r="AJ157" s="393"/>
      <c r="AK157" s="393"/>
      <c r="AL157" s="393"/>
      <c r="AM157" s="393"/>
      <c r="AN157" s="393"/>
      <c r="AO157" s="393"/>
      <c r="AQ157" s="393"/>
      <c r="AR157" s="393"/>
      <c r="AS157" s="393"/>
      <c r="AT157" s="393"/>
      <c r="AU157" s="393"/>
      <c r="AV157" s="393"/>
      <c r="AW157" s="393"/>
      <c r="AX157" s="393"/>
      <c r="AY157" s="393"/>
      <c r="BA157" s="393"/>
      <c r="BB157" s="393"/>
      <c r="BC157" s="393"/>
      <c r="BD157" s="393"/>
      <c r="BE157" s="393"/>
      <c r="BF157" s="393"/>
      <c r="BG157" s="393"/>
      <c r="BH157" s="393"/>
      <c r="BI157" s="393"/>
      <c r="BK157" s="393"/>
      <c r="BL157" s="393"/>
      <c r="BM157" s="393"/>
      <c r="BN157" s="393"/>
      <c r="BO157" s="393"/>
      <c r="BP157" s="393"/>
      <c r="BQ157" s="393"/>
      <c r="BR157" s="393"/>
      <c r="BS157" s="393"/>
      <c r="BU157" s="393"/>
      <c r="BV157" s="393"/>
      <c r="BW157" s="393"/>
      <c r="BX157" s="393"/>
      <c r="BY157" s="393"/>
      <c r="BZ157" s="393"/>
      <c r="CA157" s="393"/>
      <c r="CB157" s="393"/>
      <c r="CC157" s="393"/>
    </row>
    <row r="158" spans="2:81" s="227" customFormat="1" x14ac:dyDescent="0.25">
      <c r="B158" s="388"/>
      <c r="C158" s="392"/>
      <c r="D158" s="392"/>
      <c r="E158" s="392"/>
      <c r="F158" s="392"/>
      <c r="G158" s="392"/>
      <c r="H158" s="392"/>
      <c r="I158" s="392"/>
      <c r="J158" s="392"/>
      <c r="K158" s="392"/>
      <c r="M158" s="393"/>
      <c r="N158" s="393"/>
      <c r="O158" s="393"/>
      <c r="P158" s="393"/>
      <c r="Q158" s="393"/>
      <c r="R158" s="393"/>
      <c r="S158" s="393"/>
      <c r="T158" s="393"/>
      <c r="U158" s="393"/>
      <c r="W158" s="393"/>
      <c r="X158" s="393"/>
      <c r="Y158" s="393"/>
      <c r="Z158" s="393"/>
      <c r="AA158" s="393"/>
      <c r="AB158" s="393"/>
      <c r="AC158" s="393"/>
      <c r="AD158" s="393"/>
      <c r="AE158" s="393"/>
      <c r="AG158" s="393"/>
      <c r="AH158" s="393"/>
      <c r="AI158" s="393"/>
      <c r="AJ158" s="393"/>
      <c r="AK158" s="393"/>
      <c r="AL158" s="393"/>
      <c r="AM158" s="393"/>
      <c r="AN158" s="393"/>
      <c r="AO158" s="393"/>
      <c r="AQ158" s="393"/>
      <c r="AR158" s="393"/>
      <c r="AS158" s="393"/>
      <c r="AT158" s="393"/>
      <c r="AU158" s="393"/>
      <c r="AV158" s="393"/>
      <c r="AW158" s="393"/>
      <c r="AX158" s="393"/>
      <c r="AY158" s="393"/>
      <c r="BA158" s="393"/>
      <c r="BB158" s="393"/>
      <c r="BC158" s="393"/>
      <c r="BD158" s="393"/>
      <c r="BE158" s="393"/>
      <c r="BF158" s="393"/>
      <c r="BG158" s="393"/>
      <c r="BH158" s="393"/>
      <c r="BI158" s="393"/>
      <c r="BK158" s="393"/>
      <c r="BL158" s="393"/>
      <c r="BM158" s="393"/>
      <c r="BN158" s="393"/>
      <c r="BO158" s="393"/>
      <c r="BP158" s="393"/>
      <c r="BQ158" s="393"/>
      <c r="BR158" s="393"/>
      <c r="BS158" s="393"/>
      <c r="BU158" s="393"/>
      <c r="BV158" s="393"/>
      <c r="BW158" s="393"/>
      <c r="BX158" s="393"/>
      <c r="BY158" s="393"/>
      <c r="BZ158" s="393"/>
      <c r="CA158" s="393"/>
      <c r="CB158" s="393"/>
      <c r="CC158" s="393"/>
    </row>
    <row r="159" spans="2:81" s="227" customFormat="1" x14ac:dyDescent="0.25">
      <c r="B159" s="388"/>
      <c r="C159" s="392"/>
      <c r="D159" s="392"/>
      <c r="E159" s="392"/>
      <c r="F159" s="392"/>
      <c r="G159" s="392"/>
      <c r="H159" s="392"/>
      <c r="I159" s="392"/>
      <c r="J159" s="392"/>
      <c r="K159" s="392"/>
      <c r="M159" s="393"/>
      <c r="N159" s="393"/>
      <c r="O159" s="393"/>
      <c r="P159" s="393"/>
      <c r="Q159" s="393"/>
      <c r="R159" s="393"/>
      <c r="S159" s="393"/>
      <c r="T159" s="393"/>
      <c r="U159" s="393"/>
      <c r="W159" s="393"/>
      <c r="X159" s="393"/>
      <c r="Y159" s="393"/>
      <c r="Z159" s="393"/>
      <c r="AA159" s="393"/>
      <c r="AB159" s="393"/>
      <c r="AC159" s="393"/>
      <c r="AD159" s="393"/>
      <c r="AE159" s="393"/>
      <c r="AG159" s="393"/>
      <c r="AH159" s="393"/>
      <c r="AI159" s="393"/>
      <c r="AJ159" s="393"/>
      <c r="AK159" s="393"/>
      <c r="AL159" s="393"/>
      <c r="AM159" s="393"/>
      <c r="AN159" s="393"/>
      <c r="AO159" s="393"/>
      <c r="AQ159" s="393"/>
      <c r="AR159" s="393"/>
      <c r="AS159" s="393"/>
      <c r="AT159" s="393"/>
      <c r="AU159" s="393"/>
      <c r="AV159" s="393"/>
      <c r="AW159" s="393"/>
      <c r="AX159" s="393"/>
      <c r="AY159" s="393"/>
      <c r="BA159" s="393"/>
      <c r="BB159" s="393"/>
      <c r="BC159" s="393"/>
      <c r="BD159" s="393"/>
      <c r="BE159" s="393"/>
      <c r="BF159" s="393"/>
      <c r="BG159" s="393"/>
      <c r="BH159" s="393"/>
      <c r="BI159" s="393"/>
      <c r="BK159" s="393"/>
      <c r="BL159" s="393"/>
      <c r="BM159" s="393"/>
      <c r="BN159" s="393"/>
      <c r="BO159" s="393"/>
      <c r="BP159" s="393"/>
      <c r="BQ159" s="393"/>
      <c r="BR159" s="393"/>
      <c r="BS159" s="393"/>
      <c r="BU159" s="393"/>
      <c r="BV159" s="393"/>
      <c r="BW159" s="393"/>
      <c r="BX159" s="393"/>
      <c r="BY159" s="393"/>
      <c r="BZ159" s="393"/>
      <c r="CA159" s="393"/>
      <c r="CB159" s="393"/>
      <c r="CC159" s="393"/>
    </row>
    <row r="160" spans="2:81" s="227" customFormat="1" x14ac:dyDescent="0.25">
      <c r="B160" s="388"/>
      <c r="C160" s="392"/>
      <c r="D160" s="392"/>
      <c r="E160" s="392"/>
      <c r="F160" s="392"/>
      <c r="G160" s="392"/>
      <c r="H160" s="392"/>
      <c r="I160" s="392"/>
      <c r="J160" s="392"/>
      <c r="K160" s="392"/>
      <c r="M160" s="393"/>
      <c r="N160" s="393"/>
      <c r="O160" s="393"/>
      <c r="P160" s="393"/>
      <c r="Q160" s="393"/>
      <c r="R160" s="393"/>
      <c r="S160" s="393"/>
      <c r="T160" s="393"/>
      <c r="U160" s="393"/>
      <c r="W160" s="393"/>
      <c r="X160" s="393"/>
      <c r="Y160" s="393"/>
      <c r="Z160" s="393"/>
      <c r="AA160" s="393"/>
      <c r="AB160" s="393"/>
      <c r="AC160" s="393"/>
      <c r="AD160" s="393"/>
      <c r="AE160" s="393"/>
      <c r="AG160" s="393"/>
      <c r="AH160" s="393"/>
      <c r="AI160" s="393"/>
      <c r="AJ160" s="393"/>
      <c r="AK160" s="393"/>
      <c r="AL160" s="393"/>
      <c r="AM160" s="393"/>
      <c r="AN160" s="393"/>
      <c r="AO160" s="393"/>
      <c r="AQ160" s="393"/>
      <c r="AR160" s="393"/>
      <c r="AS160" s="393"/>
      <c r="AT160" s="393"/>
      <c r="AU160" s="393"/>
      <c r="AV160" s="393"/>
      <c r="AW160" s="393"/>
      <c r="AX160" s="393"/>
      <c r="AY160" s="393"/>
      <c r="BA160" s="393"/>
      <c r="BB160" s="393"/>
      <c r="BC160" s="393"/>
      <c r="BD160" s="393"/>
      <c r="BE160" s="393"/>
      <c r="BF160" s="393"/>
      <c r="BG160" s="393"/>
      <c r="BH160" s="393"/>
      <c r="BI160" s="393"/>
      <c r="BK160" s="393"/>
      <c r="BL160" s="393"/>
      <c r="BM160" s="393"/>
      <c r="BN160" s="393"/>
      <c r="BO160" s="393"/>
      <c r="BP160" s="393"/>
      <c r="BQ160" s="393"/>
      <c r="BR160" s="393"/>
      <c r="BS160" s="393"/>
      <c r="BU160" s="393"/>
      <c r="BV160" s="393"/>
      <c r="BW160" s="393"/>
      <c r="BX160" s="393"/>
      <c r="BY160" s="393"/>
      <c r="BZ160" s="393"/>
      <c r="CA160" s="393"/>
      <c r="CB160" s="393"/>
      <c r="CC160" s="393"/>
    </row>
    <row r="161" spans="2:81" s="227" customFormat="1" x14ac:dyDescent="0.25">
      <c r="B161" s="388"/>
      <c r="C161" s="392"/>
      <c r="D161" s="392"/>
      <c r="E161" s="392"/>
      <c r="F161" s="392"/>
      <c r="G161" s="392"/>
      <c r="H161" s="392"/>
      <c r="I161" s="392"/>
      <c r="J161" s="392"/>
      <c r="K161" s="392"/>
      <c r="M161" s="393"/>
      <c r="N161" s="393"/>
      <c r="O161" s="393"/>
      <c r="P161" s="393"/>
      <c r="Q161" s="393"/>
      <c r="R161" s="393"/>
      <c r="S161" s="393"/>
      <c r="T161" s="393"/>
      <c r="U161" s="393"/>
      <c r="W161" s="393"/>
      <c r="X161" s="393"/>
      <c r="Y161" s="393"/>
      <c r="Z161" s="393"/>
      <c r="AA161" s="393"/>
      <c r="AB161" s="393"/>
      <c r="AC161" s="393"/>
      <c r="AD161" s="393"/>
      <c r="AE161" s="393"/>
      <c r="AG161" s="393"/>
      <c r="AH161" s="393"/>
      <c r="AI161" s="393"/>
      <c r="AJ161" s="393"/>
      <c r="AK161" s="393"/>
      <c r="AL161" s="393"/>
      <c r="AM161" s="393"/>
      <c r="AN161" s="393"/>
      <c r="AO161" s="393"/>
      <c r="AQ161" s="393"/>
      <c r="AR161" s="393"/>
      <c r="AS161" s="393"/>
      <c r="AT161" s="393"/>
      <c r="AU161" s="393"/>
      <c r="AV161" s="393"/>
      <c r="AW161" s="393"/>
      <c r="AX161" s="393"/>
      <c r="AY161" s="393"/>
      <c r="BA161" s="393"/>
      <c r="BB161" s="393"/>
      <c r="BC161" s="393"/>
      <c r="BD161" s="393"/>
      <c r="BE161" s="393"/>
      <c r="BF161" s="393"/>
      <c r="BG161" s="393"/>
      <c r="BH161" s="393"/>
      <c r="BI161" s="393"/>
      <c r="BK161" s="393"/>
      <c r="BL161" s="393"/>
      <c r="BM161" s="393"/>
      <c r="BN161" s="393"/>
      <c r="BO161" s="393"/>
      <c r="BP161" s="393"/>
      <c r="BQ161" s="393"/>
      <c r="BR161" s="393"/>
      <c r="BS161" s="393"/>
      <c r="BU161" s="393"/>
      <c r="BV161" s="393"/>
      <c r="BW161" s="393"/>
      <c r="BX161" s="393"/>
      <c r="BY161" s="393"/>
      <c r="BZ161" s="393"/>
      <c r="CA161" s="393"/>
      <c r="CB161" s="393"/>
      <c r="CC161" s="393"/>
    </row>
    <row r="162" spans="2:81" s="227" customFormat="1" x14ac:dyDescent="0.25">
      <c r="B162" s="388"/>
      <c r="C162" s="392"/>
      <c r="D162" s="392"/>
      <c r="E162" s="392"/>
      <c r="F162" s="392"/>
      <c r="G162" s="392"/>
      <c r="H162" s="392"/>
      <c r="I162" s="392"/>
      <c r="J162" s="392"/>
      <c r="K162" s="392"/>
      <c r="M162" s="393"/>
      <c r="N162" s="393"/>
      <c r="O162" s="393"/>
      <c r="P162" s="393"/>
      <c r="Q162" s="393"/>
      <c r="R162" s="393"/>
      <c r="S162" s="393"/>
      <c r="T162" s="393"/>
      <c r="U162" s="393"/>
      <c r="W162" s="393"/>
      <c r="X162" s="393"/>
      <c r="Y162" s="393"/>
      <c r="Z162" s="393"/>
      <c r="AA162" s="393"/>
      <c r="AB162" s="393"/>
      <c r="AC162" s="393"/>
      <c r="AD162" s="393"/>
      <c r="AE162" s="393"/>
      <c r="AG162" s="393"/>
      <c r="AH162" s="393"/>
      <c r="AI162" s="393"/>
      <c r="AJ162" s="393"/>
      <c r="AK162" s="393"/>
      <c r="AL162" s="393"/>
      <c r="AM162" s="393"/>
      <c r="AN162" s="393"/>
      <c r="AO162" s="393"/>
      <c r="AQ162" s="393"/>
      <c r="AR162" s="393"/>
      <c r="AS162" s="393"/>
      <c r="AT162" s="393"/>
      <c r="AU162" s="393"/>
      <c r="AV162" s="393"/>
      <c r="AW162" s="393"/>
      <c r="AX162" s="393"/>
      <c r="AY162" s="393"/>
      <c r="BA162" s="393"/>
      <c r="BB162" s="393"/>
      <c r="BC162" s="393"/>
      <c r="BD162" s="393"/>
      <c r="BE162" s="393"/>
      <c r="BF162" s="393"/>
      <c r="BG162" s="393"/>
      <c r="BH162" s="393"/>
      <c r="BI162" s="393"/>
      <c r="BK162" s="393"/>
      <c r="BL162" s="393"/>
      <c r="BM162" s="393"/>
      <c r="BN162" s="393"/>
      <c r="BO162" s="393"/>
      <c r="BP162" s="393"/>
      <c r="BQ162" s="393"/>
      <c r="BR162" s="393"/>
      <c r="BS162" s="393"/>
      <c r="BU162" s="393"/>
      <c r="BV162" s="393"/>
      <c r="BW162" s="393"/>
      <c r="BX162" s="393"/>
      <c r="BY162" s="393"/>
      <c r="BZ162" s="393"/>
      <c r="CA162" s="393"/>
      <c r="CB162" s="393"/>
      <c r="CC162" s="393"/>
    </row>
    <row r="163" spans="2:81" x14ac:dyDescent="0.25">
      <c r="B163" s="395"/>
      <c r="C163" s="396"/>
      <c r="D163" s="396"/>
      <c r="E163" s="396"/>
      <c r="F163" s="396"/>
      <c r="G163" s="396"/>
      <c r="H163" s="396"/>
      <c r="I163" s="396"/>
      <c r="J163" s="396"/>
      <c r="K163" s="396"/>
    </row>
    <row r="164" spans="2:81" x14ac:dyDescent="0.25">
      <c r="B164" s="395"/>
      <c r="C164" s="396"/>
      <c r="D164" s="396"/>
      <c r="E164" s="396"/>
      <c r="F164" s="396"/>
      <c r="G164" s="396"/>
      <c r="H164" s="396"/>
      <c r="I164" s="396"/>
      <c r="J164" s="396"/>
      <c r="K164" s="396"/>
    </row>
    <row r="165" spans="2:81" x14ac:dyDescent="0.25">
      <c r="B165" s="395"/>
      <c r="C165" s="396"/>
      <c r="D165" s="396"/>
      <c r="E165" s="396"/>
      <c r="F165" s="396"/>
      <c r="G165" s="396"/>
      <c r="H165" s="396"/>
      <c r="I165" s="396"/>
      <c r="J165" s="396"/>
      <c r="K165" s="396"/>
    </row>
    <row r="166" spans="2:81" x14ac:dyDescent="0.25">
      <c r="B166" s="395"/>
      <c r="C166" s="396"/>
      <c r="D166" s="396"/>
      <c r="E166" s="396"/>
      <c r="F166" s="396"/>
      <c r="G166" s="396"/>
      <c r="H166" s="396"/>
      <c r="I166" s="396"/>
      <c r="J166" s="396"/>
      <c r="K166" s="396"/>
    </row>
    <row r="167" spans="2:81" x14ac:dyDescent="0.25">
      <c r="B167" s="395"/>
      <c r="C167" s="396"/>
      <c r="D167" s="396"/>
      <c r="E167" s="396"/>
      <c r="F167" s="396"/>
      <c r="G167" s="396"/>
      <c r="H167" s="396"/>
      <c r="I167" s="396"/>
      <c r="J167" s="396"/>
      <c r="K167" s="396"/>
    </row>
    <row r="168" spans="2:81" x14ac:dyDescent="0.25">
      <c r="B168" s="395"/>
      <c r="C168" s="396"/>
      <c r="D168" s="396"/>
      <c r="E168" s="396"/>
      <c r="F168" s="396"/>
      <c r="G168" s="396"/>
      <c r="H168" s="396"/>
      <c r="I168" s="396"/>
      <c r="J168" s="396"/>
      <c r="K168" s="396"/>
    </row>
    <row r="169" spans="2:81" x14ac:dyDescent="0.25">
      <c r="B169" s="395"/>
      <c r="C169" s="396"/>
      <c r="D169" s="396"/>
      <c r="E169" s="396"/>
      <c r="F169" s="396"/>
      <c r="G169" s="396"/>
      <c r="H169" s="396"/>
      <c r="I169" s="396"/>
      <c r="J169" s="396"/>
      <c r="K169" s="396"/>
    </row>
    <row r="170" spans="2:81" x14ac:dyDescent="0.25">
      <c r="B170" s="395"/>
      <c r="C170" s="396"/>
      <c r="D170" s="396"/>
      <c r="E170" s="396"/>
      <c r="F170" s="396"/>
      <c r="G170" s="396"/>
      <c r="H170" s="396"/>
      <c r="I170" s="396"/>
      <c r="J170" s="396"/>
      <c r="K170" s="396"/>
    </row>
    <row r="171" spans="2:81" x14ac:dyDescent="0.25">
      <c r="B171" s="395"/>
      <c r="C171" s="396"/>
      <c r="D171" s="396"/>
      <c r="E171" s="396"/>
      <c r="F171" s="396"/>
      <c r="G171" s="396"/>
      <c r="H171" s="396"/>
      <c r="I171" s="396"/>
      <c r="J171" s="396"/>
      <c r="K171" s="396"/>
    </row>
    <row r="172" spans="2:81" x14ac:dyDescent="0.25">
      <c r="B172" s="395"/>
      <c r="C172" s="396"/>
      <c r="D172" s="396"/>
      <c r="E172" s="396"/>
      <c r="F172" s="396"/>
      <c r="G172" s="396"/>
      <c r="H172" s="396"/>
      <c r="I172" s="396"/>
      <c r="J172" s="396"/>
      <c r="K172" s="396"/>
    </row>
    <row r="173" spans="2:81" x14ac:dyDescent="0.25">
      <c r="B173" s="395"/>
      <c r="C173" s="396"/>
      <c r="D173" s="396"/>
      <c r="E173" s="396"/>
      <c r="F173" s="396"/>
      <c r="G173" s="396"/>
      <c r="H173" s="396"/>
      <c r="I173" s="396"/>
      <c r="J173" s="396"/>
      <c r="K173" s="396"/>
    </row>
    <row r="174" spans="2:81" x14ac:dyDescent="0.25">
      <c r="B174" s="395"/>
      <c r="C174" s="396"/>
      <c r="D174" s="396"/>
      <c r="E174" s="396"/>
      <c r="F174" s="396"/>
      <c r="G174" s="396"/>
      <c r="H174" s="396"/>
      <c r="I174" s="396"/>
      <c r="J174" s="396"/>
      <c r="K174" s="396"/>
    </row>
    <row r="175" spans="2:81" x14ac:dyDescent="0.25">
      <c r="B175" s="395"/>
      <c r="C175" s="396"/>
      <c r="D175" s="396"/>
      <c r="E175" s="396"/>
      <c r="F175" s="396"/>
      <c r="G175" s="396"/>
      <c r="H175" s="396"/>
      <c r="I175" s="396"/>
      <c r="J175" s="396"/>
      <c r="K175" s="396"/>
    </row>
    <row r="176" spans="2:81" x14ac:dyDescent="0.25">
      <c r="B176" s="395"/>
      <c r="C176" s="396"/>
      <c r="D176" s="396"/>
      <c r="E176" s="396"/>
      <c r="F176" s="396"/>
      <c r="G176" s="396"/>
      <c r="H176" s="396"/>
      <c r="I176" s="396"/>
      <c r="J176" s="396"/>
      <c r="K176" s="396"/>
    </row>
    <row r="177" spans="2:11" x14ac:dyDescent="0.25">
      <c r="B177" s="395"/>
      <c r="C177" s="396"/>
      <c r="D177" s="396"/>
      <c r="E177" s="396"/>
      <c r="F177" s="396"/>
      <c r="G177" s="396"/>
      <c r="H177" s="396"/>
      <c r="I177" s="396"/>
      <c r="J177" s="396"/>
      <c r="K177" s="396"/>
    </row>
    <row r="178" spans="2:11" x14ac:dyDescent="0.25">
      <c r="B178" s="395"/>
      <c r="C178" s="396"/>
      <c r="D178" s="396"/>
      <c r="E178" s="396"/>
      <c r="F178" s="396"/>
      <c r="G178" s="396"/>
      <c r="H178" s="396"/>
      <c r="I178" s="396"/>
      <c r="J178" s="396"/>
      <c r="K178" s="396"/>
    </row>
    <row r="179" spans="2:11" x14ac:dyDescent="0.25">
      <c r="B179" s="395"/>
      <c r="C179" s="396"/>
      <c r="D179" s="396"/>
      <c r="E179" s="396"/>
      <c r="F179" s="396"/>
      <c r="G179" s="396"/>
      <c r="H179" s="396"/>
      <c r="I179" s="396"/>
      <c r="J179" s="396"/>
      <c r="K179" s="396"/>
    </row>
    <row r="180" spans="2:11" x14ac:dyDescent="0.25">
      <c r="B180" s="395"/>
      <c r="C180" s="396"/>
      <c r="D180" s="396"/>
      <c r="E180" s="396"/>
      <c r="F180" s="396"/>
      <c r="G180" s="396"/>
      <c r="H180" s="396"/>
      <c r="I180" s="396"/>
      <c r="J180" s="396"/>
      <c r="K180" s="396"/>
    </row>
    <row r="181" spans="2:11" x14ac:dyDescent="0.25">
      <c r="B181" s="395"/>
      <c r="C181" s="396"/>
      <c r="D181" s="396"/>
      <c r="E181" s="396"/>
      <c r="F181" s="396"/>
      <c r="G181" s="396"/>
      <c r="H181" s="396"/>
      <c r="I181" s="396"/>
      <c r="J181" s="396"/>
      <c r="K181" s="396"/>
    </row>
    <row r="182" spans="2:11" x14ac:dyDescent="0.25">
      <c r="B182" s="395"/>
      <c r="C182" s="396"/>
      <c r="D182" s="396"/>
      <c r="E182" s="396"/>
      <c r="F182" s="396"/>
      <c r="G182" s="396"/>
      <c r="H182" s="396"/>
      <c r="I182" s="396"/>
      <c r="J182" s="396"/>
      <c r="K182" s="396"/>
    </row>
    <row r="183" spans="2:11" x14ac:dyDescent="0.25">
      <c r="B183" s="395"/>
      <c r="C183" s="396"/>
      <c r="D183" s="396"/>
      <c r="E183" s="396"/>
      <c r="F183" s="396"/>
      <c r="G183" s="396"/>
      <c r="H183" s="396"/>
      <c r="I183" s="396"/>
      <c r="J183" s="396"/>
      <c r="K183" s="396"/>
    </row>
    <row r="184" spans="2:11" x14ac:dyDescent="0.25">
      <c r="B184" s="395"/>
      <c r="C184" s="396"/>
      <c r="D184" s="396"/>
      <c r="E184" s="396"/>
      <c r="F184" s="396"/>
      <c r="G184" s="396"/>
      <c r="H184" s="396"/>
      <c r="I184" s="396"/>
      <c r="J184" s="396"/>
      <c r="K184" s="396"/>
    </row>
    <row r="185" spans="2:11" x14ac:dyDescent="0.25">
      <c r="B185" s="395"/>
      <c r="C185" s="396"/>
      <c r="D185" s="396"/>
      <c r="E185" s="396"/>
      <c r="F185" s="396"/>
      <c r="G185" s="396"/>
      <c r="H185" s="396"/>
      <c r="I185" s="396"/>
      <c r="J185" s="396"/>
      <c r="K185" s="396"/>
    </row>
  </sheetData>
  <sheetProtection formatColumns="0" insertRows="0"/>
  <mergeCells count="32">
    <mergeCell ref="BA121:BI140"/>
    <mergeCell ref="BK121:BS140"/>
    <mergeCell ref="C120:K120"/>
    <mergeCell ref="M120:U120"/>
    <mergeCell ref="W120:AE120"/>
    <mergeCell ref="AG120:AO120"/>
    <mergeCell ref="AQ120:AY120"/>
    <mergeCell ref="BA120:BI120"/>
    <mergeCell ref="C121:K140"/>
    <mergeCell ref="M121:U140"/>
    <mergeCell ref="W121:AE140"/>
    <mergeCell ref="AG121:AO140"/>
    <mergeCell ref="AQ121:AY140"/>
    <mergeCell ref="BC5:BG5"/>
    <mergeCell ref="BM5:BQ5"/>
    <mergeCell ref="B2:K2"/>
    <mergeCell ref="L2:U2"/>
    <mergeCell ref="V2:AE2"/>
    <mergeCell ref="AF2:AO2"/>
    <mergeCell ref="AP2:AY2"/>
    <mergeCell ref="AZ2:BI2"/>
    <mergeCell ref="E5:I5"/>
    <mergeCell ref="O5:S5"/>
    <mergeCell ref="Y5:AC5"/>
    <mergeCell ref="AI5:AM5"/>
    <mergeCell ref="AS5:AW5"/>
    <mergeCell ref="BT2:CC2"/>
    <mergeCell ref="BW5:CA5"/>
    <mergeCell ref="BU120:CC120"/>
    <mergeCell ref="BU121:CC140"/>
    <mergeCell ref="BJ2:BS2"/>
    <mergeCell ref="BK120:BS120"/>
  </mergeCells>
  <dataValidations count="2">
    <dataValidation type="whole" operator="greaterThanOrEqual" allowBlank="1" showInputMessage="1" showErrorMessage="1" errorTitle="Data Type Error" error="Value must be a number greater than or equal to 0." sqref="B99:D99 L78:N78 B113:D113 B92:D92 B78:D78 B58:D58 L58:N58 L44:N44 L92:N92 L99:N99 B44:D44 V99:X99 L113:N113 V113:X113 V92:X92 V78:X78 V58:X58 V44:X44 C95:D98 M95:N98 W95:X98 AF99:AH99 AF113:AH113 AF92:AH92 AF78:AH78 AF58:AH58 AF44:AH44 AG95:AH98 AP99:AR99 AP113:AR113 AP92:AR92 AP78:AR78 AP58:AR58 AP44:AR44 AQ95:AR98 AZ99:BB99 AZ113:BB113 AZ92:BB92 AZ78:BB78 AZ58:BB58 AZ44:BB44 BA95:BB98 C61:D77 BA61:BB77 AQ61:AR77 AG61:AH77 W61:X77 M61:N77 BJ99:BL99 BJ113:BL113 BJ92:BL92 BJ78:BL78 BJ58:BL58 BJ44:BL44 BK95:BL98 BK61:BL77 W85:X91 BK85:BL91 BA85:BB91 AQ85:AR91 AG85:AH91 M85:N91 C85:D91 BK104:BL112 BA104:BB112 AQ104:AR112 AG104:AH112 C104:D112 M104:N112 W104:X112 BT99:BV99 BT113:BV113 BT92:BV92 BT78:BV78 BT58:BV58 BT44:BV44 BU85:BV91 BU104:BV112 BU95:BV98 BU61:BV77 BU47:BV57 BK47:BL57 C47:D57 M47:N57 AG47:AH57 AQ47:AR57 BA47:BB57 W47:X57 BU10:BV43 AQ10:AR43 M10:N43 C10:D43 AG10:AH43 W10:X43 BK10:BL43 BA10:BB43" xr:uid="{5E3FFBC2-84FB-4094-AB84-7B0099691DAA}">
      <formula1>0</formula1>
    </dataValidation>
    <dataValidation type="custom" operator="greaterThanOrEqual" allowBlank="1" showInputMessage="1" showErrorMessage="1" errorTitle="data type error" error="value must be a number" sqref="Y92:AD92 L132 B125 L125 L121:L123 B121:B123 Y99:AD99 Y113:AD113 Y58:AD58 V121:V123 V132 V125 V61 Y10:AD20 Y78:AD78 V85 AF61 AF85 AF95 V95 AF104 V104 E89:K92 B132 L89:L91 E61:K78 L95:L98 L110:L112 AZ10:AZ29 E110:K113 O61:U78 B95:B98 AI92:AN92 AI99:AN99 AI113:AN113 AI58:AN58 AF121:AF123 AF132 AF125 AI10:AN20 AI78:AN78 AP61 AP85 AP95 AP104 AF10:AF29 AS92:AX92 AS99:AX99 AS113:AX113 AS58:AX58 AP121:AP123 AP132 AP125 AS10:AX20 AS78:AX78 AZ61 AZ85 AZ95 AZ104 AP10:AP29 BC92:BH92 BC99:BH99 BC113:BH113 BC58:BH58 AZ121:AZ123 AZ132 AZ125 BC10:BH20 BC78:BH78 BC61:BH61 BC85:BH85 BC95:BH95 BC104:BH104 L61:L77 L51:L57 B61:B77 E51:K58 BI38:BI44 E95:K99 V10:V29 Y104:AD104 Y95:AD95 Y85:AD85 Y61:AD61 Y44:AD44 AO61:AO78 O95:U99 AI104:AN104 AI95:AN95 AI85:AN85 AI61:AN61 AI44:AN44 BI110:BI113 AE61:AE78 AE95:AE99 AS104:AX104 AS95:AX95 AS85:AX85 AS61:AX61 AS44:AX44 BI89:BI92 AY61:AY78 BI52:BI58 AO95:AO99 AY95:AY99 BC44:BH44 BJ110:BJ112 BJ89:BJ91 BI61:BI78 BJ52:BJ57 BI95:BI99 BJ61:BJ77 BJ95:BJ98 BJ121:BJ123 BJ132 BJ125 BJ38:BJ43 BM95:BS99 BM61:BS78 BM51:BS58 O85:U92 BS47 BM85:BS92 BI85:BJ88 AY85:AY92 AE85:AE92 AO85:AO92 B85:B91 E85:L88 BM104:BS113 BI104:BJ109 AE104:AE113 AO104:AO113 AY104:AY113 B104:B112 E104:L109 O104:U113 BT121:BT123 BT132 BT125 BT85:BT91 BT51:BT57 CC47 BT95:BT98 BT61:BT77 BT104:BT112 BW61:CC78 BW85:CC92 BW95:CC99 BW104:CC113 BW48:CC58 BM48:BT50 BJ48:BJ50 BI47:BI50 AY47:AY58 AE47:AE58 AO47:AO58 E47:L50 B47:B57 O47:U58 BI51:BJ51 BW10:CC44 BT10:BT43 AO10:AO44 AE10:AE44 AY10:AY44 O10:U44 B10:B43 L10:L43 BI10:BJ37 BM10:BS44 E10:K44" xr:uid="{58C33585-F417-4039-B4D3-4C710731FB03}">
      <formula1>ISNUMBER(B10)</formula1>
    </dataValidation>
  </dataValidations>
  <pageMargins left="0.3" right="0.3" top="0.75" bottom="0.3" header="0.3" footer="0.25"/>
  <pageSetup scale="44" fitToHeight="2" orientation="landscape" r:id="rId1"/>
  <headerFooter>
    <oddHeader>&amp;C&amp;"-,Bold"&amp;22Metropolitan Community College
&amp;A</oddHeader>
  </headerFooter>
  <colBreaks count="1" manualBreakCount="1">
    <brk id="2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2EA82-4AA9-4F38-BFBA-5E15C65C5671}">
  <sheetPr>
    <pageSetUpPr fitToPage="1"/>
  </sheetPr>
  <dimension ref="A1:P60"/>
  <sheetViews>
    <sheetView zoomScaleNormal="100" workbookViewId="0">
      <pane xSplit="1" ySplit="3" topLeftCell="C4" activePane="bottomRight" state="frozen"/>
      <selection pane="topRight" activeCell="B1" sqref="B1"/>
      <selection pane="bottomLeft" activeCell="A4" sqref="A4"/>
      <selection pane="bottomRight" activeCell="L4" sqref="L4"/>
    </sheetView>
  </sheetViews>
  <sheetFormatPr defaultColWidth="11.42578125" defaultRowHeight="15" x14ac:dyDescent="0.25"/>
  <cols>
    <col min="1" max="1" width="32.5703125" style="1" customWidth="1"/>
    <col min="2" max="4" width="12.7109375" style="1" customWidth="1"/>
    <col min="5" max="14" width="13.28515625" style="1" customWidth="1"/>
    <col min="15" max="16384" width="11.42578125" style="1"/>
  </cols>
  <sheetData>
    <row r="1" spans="1:14" x14ac:dyDescent="0.25">
      <c r="B1" s="2"/>
      <c r="C1" s="2"/>
      <c r="D1" s="2"/>
      <c r="E1" s="2"/>
    </row>
    <row r="2" spans="1:14" ht="15.75" thickBot="1" x14ac:dyDescent="0.3">
      <c r="A2" s="3" t="s">
        <v>0</v>
      </c>
      <c r="B2" s="4" t="s">
        <v>1</v>
      </c>
      <c r="C2" s="5" t="s">
        <v>2</v>
      </c>
      <c r="D2" s="5" t="s">
        <v>2</v>
      </c>
      <c r="E2" s="5" t="s">
        <v>2</v>
      </c>
      <c r="F2" s="4" t="s">
        <v>2</v>
      </c>
      <c r="G2" s="4" t="s">
        <v>2</v>
      </c>
      <c r="H2" s="4" t="s">
        <v>2</v>
      </c>
      <c r="I2" s="4" t="s">
        <v>2</v>
      </c>
      <c r="J2" s="4" t="s">
        <v>2</v>
      </c>
      <c r="K2" s="4" t="s">
        <v>2</v>
      </c>
      <c r="L2" s="4" t="s">
        <v>2</v>
      </c>
      <c r="M2" s="4" t="s">
        <v>3</v>
      </c>
      <c r="N2" s="4" t="s">
        <v>3</v>
      </c>
    </row>
    <row r="3" spans="1:14" ht="15.75" thickBot="1" x14ac:dyDescent="0.3">
      <c r="A3" s="6" t="s">
        <v>4</v>
      </c>
      <c r="B3" s="7" t="s">
        <v>5</v>
      </c>
      <c r="C3" s="8" t="s">
        <v>6</v>
      </c>
      <c r="D3" s="8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58</v>
      </c>
    </row>
    <row r="4" spans="1:14" ht="30" customHeight="1" x14ac:dyDescent="0.25">
      <c r="A4" s="10" t="s">
        <v>17</v>
      </c>
      <c r="B4" s="11"/>
      <c r="C4" s="12">
        <v>37221331</v>
      </c>
      <c r="D4" s="12">
        <f>C50-C49</f>
        <v>40304806</v>
      </c>
      <c r="E4" s="12">
        <f t="shared" ref="E4:N4" si="0">D50-D49</f>
        <v>42522880</v>
      </c>
      <c r="F4" s="12">
        <f t="shared" si="0"/>
        <v>44755991</v>
      </c>
      <c r="G4" s="12">
        <f t="shared" si="0"/>
        <v>48772441.530000001</v>
      </c>
      <c r="H4" s="12">
        <f t="shared" si="0"/>
        <v>49103484.530000001</v>
      </c>
      <c r="I4" s="12">
        <f t="shared" si="0"/>
        <v>44063289.530000001</v>
      </c>
      <c r="J4" s="12">
        <f t="shared" si="0"/>
        <v>42139502.530000001</v>
      </c>
      <c r="K4" s="12">
        <f t="shared" si="0"/>
        <v>53092428.530000001</v>
      </c>
      <c r="L4" s="12">
        <f t="shared" si="0"/>
        <v>52956994.530000001</v>
      </c>
      <c r="M4" s="12">
        <f t="shared" si="0"/>
        <v>53830193.849999994</v>
      </c>
      <c r="N4" s="12">
        <f t="shared" si="0"/>
        <v>47130927.849999994</v>
      </c>
    </row>
    <row r="5" spans="1:14" x14ac:dyDescent="0.25">
      <c r="A5" s="13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x14ac:dyDescent="0.25">
      <c r="A6" s="13" t="s">
        <v>18</v>
      </c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x14ac:dyDescent="0.25">
      <c r="A7" s="14" t="s">
        <v>19</v>
      </c>
      <c r="B7" s="15"/>
      <c r="C7" s="16">
        <v>26173652</v>
      </c>
      <c r="D7" s="16">
        <v>24783439</v>
      </c>
      <c r="E7" s="16">
        <v>24373946</v>
      </c>
      <c r="F7" s="16">
        <v>25354254.529999997</v>
      </c>
      <c r="G7" s="16">
        <f>G13-G8-G9-G11</f>
        <v>25926155</v>
      </c>
      <c r="H7" s="16">
        <f>25425823-H10-H11</f>
        <v>27552769</v>
      </c>
      <c r="I7" s="16">
        <f>23967864+1995876+23872</f>
        <v>25987612</v>
      </c>
      <c r="J7" s="16">
        <f>21134926+1617709+8316+1</f>
        <v>22760952</v>
      </c>
      <c r="K7" s="16">
        <f>19496124+2243578</f>
        <v>21739702</v>
      </c>
      <c r="L7" s="16">
        <v>23166257.32</v>
      </c>
      <c r="M7" s="16">
        <v>26000000</v>
      </c>
      <c r="N7" s="16">
        <v>27300000</v>
      </c>
    </row>
    <row r="8" spans="1:14" x14ac:dyDescent="0.25">
      <c r="A8" s="14" t="s">
        <v>20</v>
      </c>
      <c r="B8" s="15"/>
      <c r="C8" s="17">
        <v>-1303358</v>
      </c>
      <c r="D8" s="17">
        <v>-1321609</v>
      </c>
      <c r="E8" s="17">
        <v>-1119309</v>
      </c>
      <c r="F8" s="17">
        <v>-677085</v>
      </c>
      <c r="G8" s="18">
        <v>-980153</v>
      </c>
      <c r="H8" s="18">
        <f>(-2089456-H9)</f>
        <v>-357308</v>
      </c>
      <c r="I8" s="18">
        <v>-216793</v>
      </c>
      <c r="J8" s="18">
        <v>-210039</v>
      </c>
      <c r="K8" s="18">
        <v>-777048</v>
      </c>
      <c r="L8" s="18">
        <v>-1191273</v>
      </c>
      <c r="M8" s="18">
        <v>-1683365.85</v>
      </c>
      <c r="N8" s="18">
        <v>-1422000</v>
      </c>
    </row>
    <row r="9" spans="1:14" ht="15.75" thickBot="1" x14ac:dyDescent="0.3">
      <c r="A9" s="19" t="s">
        <v>21</v>
      </c>
      <c r="B9" s="20"/>
      <c r="C9" s="21">
        <v>-918645</v>
      </c>
      <c r="D9" s="21">
        <v>-969346</v>
      </c>
      <c r="E9" s="21">
        <v>-1303932</v>
      </c>
      <c r="F9" s="21">
        <v>-1435841.7000000002</v>
      </c>
      <c r="G9" s="22">
        <f>-2210886-G8</f>
        <v>-1230733</v>
      </c>
      <c r="H9" s="22">
        <f>-(1191903+540245)</f>
        <v>-1732148</v>
      </c>
      <c r="I9" s="22">
        <f>-1995876-I8</f>
        <v>-1779083</v>
      </c>
      <c r="J9" s="22">
        <f>-(1409290+208419)-J8</f>
        <v>-1407670</v>
      </c>
      <c r="K9" s="22">
        <f>-(2053988+189589)-K8</f>
        <v>-1466529</v>
      </c>
      <c r="L9" s="22">
        <v>-1443620</v>
      </c>
      <c r="M9" s="22">
        <v>-2057447.15</v>
      </c>
      <c r="N9" s="22">
        <v>-1738000</v>
      </c>
    </row>
    <row r="10" spans="1:14" ht="15.75" thickTop="1" x14ac:dyDescent="0.25">
      <c r="A10" s="14" t="s">
        <v>22</v>
      </c>
      <c r="B10" s="11"/>
      <c r="C10" s="23">
        <f t="shared" ref="C10:H10" si="1">SUM(C8:C9)</f>
        <v>-2222003</v>
      </c>
      <c r="D10" s="23">
        <f t="shared" si="1"/>
        <v>-2290955</v>
      </c>
      <c r="E10" s="23">
        <f t="shared" si="1"/>
        <v>-2423241</v>
      </c>
      <c r="F10" s="23">
        <f t="shared" si="1"/>
        <v>-2112926.7000000002</v>
      </c>
      <c r="G10" s="23">
        <f t="shared" si="1"/>
        <v>-2210886</v>
      </c>
      <c r="H10" s="23">
        <f t="shared" si="1"/>
        <v>-2089456</v>
      </c>
      <c r="I10" s="23">
        <f t="shared" ref="I10:L10" si="2">SUM(I8:I9)</f>
        <v>-1995876</v>
      </c>
      <c r="J10" s="23">
        <f t="shared" si="2"/>
        <v>-1617709</v>
      </c>
      <c r="K10" s="23">
        <f t="shared" si="2"/>
        <v>-2243577</v>
      </c>
      <c r="L10" s="23">
        <f t="shared" si="2"/>
        <v>-2634893</v>
      </c>
      <c r="M10" s="23">
        <f t="shared" ref="M10:N10" si="3">SUM(M8:M9)</f>
        <v>-3740813</v>
      </c>
      <c r="N10" s="23">
        <f t="shared" si="3"/>
        <v>-3160000</v>
      </c>
    </row>
    <row r="11" spans="1:14" ht="18" customHeight="1" x14ac:dyDescent="0.25">
      <c r="A11" s="24" t="s">
        <v>23</v>
      </c>
      <c r="B11" s="25"/>
      <c r="C11" s="26">
        <v>-326147</v>
      </c>
      <c r="D11" s="26">
        <v>-273474</v>
      </c>
      <c r="E11" s="26">
        <v>-36717</v>
      </c>
      <c r="F11" s="26">
        <v>-45843</v>
      </c>
      <c r="G11" s="26">
        <v>-34085</v>
      </c>
      <c r="H11" s="26">
        <v>-37490</v>
      </c>
      <c r="I11" s="26">
        <v>-23872</v>
      </c>
      <c r="J11" s="26">
        <v>-8316</v>
      </c>
      <c r="K11" s="26">
        <v>0</v>
      </c>
      <c r="L11" s="26">
        <v>0</v>
      </c>
      <c r="M11" s="26">
        <v>0</v>
      </c>
      <c r="N11" s="26">
        <v>0</v>
      </c>
    </row>
    <row r="12" spans="1:14" x14ac:dyDescent="0.25">
      <c r="A12" s="14" t="s">
        <v>24</v>
      </c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s="28" customFormat="1" x14ac:dyDescent="0.25">
      <c r="A13" s="27" t="s">
        <v>25</v>
      </c>
      <c r="B13" s="15"/>
      <c r="C13" s="16">
        <f>C7+C10+C11</f>
        <v>23625502</v>
      </c>
      <c r="D13" s="16">
        <f>D7+D10+D11</f>
        <v>22219010</v>
      </c>
      <c r="E13" s="16">
        <f t="shared" ref="E13:F13" si="4">E7+E10+E11</f>
        <v>21913988</v>
      </c>
      <c r="F13" s="16">
        <f t="shared" si="4"/>
        <v>23195484.829999998</v>
      </c>
      <c r="G13" s="16">
        <v>23681184</v>
      </c>
      <c r="H13" s="16">
        <f t="shared" ref="H13:L13" si="5">H7+H10+H11</f>
        <v>25425823</v>
      </c>
      <c r="I13" s="16">
        <f t="shared" si="5"/>
        <v>23967864</v>
      </c>
      <c r="J13" s="16">
        <f t="shared" si="5"/>
        <v>21134927</v>
      </c>
      <c r="K13" s="16">
        <f t="shared" si="5"/>
        <v>19496125</v>
      </c>
      <c r="L13" s="16">
        <f t="shared" si="5"/>
        <v>20531364.32</v>
      </c>
      <c r="M13" s="16">
        <f t="shared" ref="M13:N13" si="6">M7+M10+M11</f>
        <v>22259187</v>
      </c>
      <c r="N13" s="16">
        <f t="shared" si="6"/>
        <v>24140000</v>
      </c>
    </row>
    <row r="14" spans="1:14" s="28" customFormat="1" x14ac:dyDescent="0.25">
      <c r="A14" s="27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</row>
    <row r="15" spans="1:14" x14ac:dyDescent="0.25">
      <c r="A15" s="13" t="s">
        <v>26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1:14" s="28" customFormat="1" x14ac:dyDescent="0.25">
      <c r="A16" s="27" t="s">
        <v>27</v>
      </c>
      <c r="B16" s="16"/>
      <c r="C16" s="16">
        <v>-15</v>
      </c>
      <c r="D16" s="16">
        <v>20</v>
      </c>
      <c r="E16" s="16">
        <v>35</v>
      </c>
      <c r="F16" s="16">
        <v>-40</v>
      </c>
      <c r="G16" s="16"/>
      <c r="H16" s="16"/>
      <c r="I16" s="16"/>
      <c r="J16" s="16"/>
      <c r="K16" s="16"/>
      <c r="L16" s="16"/>
      <c r="M16" s="16"/>
      <c r="N16" s="16"/>
    </row>
    <row r="17" spans="1:16" s="28" customFormat="1" x14ac:dyDescent="0.25">
      <c r="A17" s="27" t="s">
        <v>28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</row>
    <row r="18" spans="1:16" s="28" customFormat="1" x14ac:dyDescent="0.25">
      <c r="A18" s="27" t="s">
        <v>29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6" s="28" customFormat="1" x14ac:dyDescent="0.25">
      <c r="A19" s="27" t="s">
        <v>30</v>
      </c>
      <c r="B19" s="16"/>
      <c r="C19" s="16">
        <v>30032</v>
      </c>
      <c r="D19" s="16">
        <v>24001</v>
      </c>
      <c r="E19" s="16">
        <v>16511</v>
      </c>
      <c r="F19" s="16">
        <v>13889</v>
      </c>
      <c r="G19" s="16">
        <v>11776</v>
      </c>
      <c r="H19" s="16">
        <v>12447</v>
      </c>
      <c r="I19" s="16">
        <v>11931</v>
      </c>
      <c r="J19" s="16">
        <v>8771</v>
      </c>
      <c r="K19" s="16">
        <v>8670</v>
      </c>
      <c r="L19" s="16">
        <v>8625</v>
      </c>
      <c r="M19" s="16">
        <v>0</v>
      </c>
      <c r="N19" s="16">
        <v>0</v>
      </c>
    </row>
    <row r="20" spans="1:16" s="28" customFormat="1" x14ac:dyDescent="0.25">
      <c r="A20" s="27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P20" s="28" t="s">
        <v>31</v>
      </c>
    </row>
    <row r="21" spans="1:16" x14ac:dyDescent="0.25">
      <c r="A21" s="29" t="s">
        <v>32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</row>
    <row r="22" spans="1:16" x14ac:dyDescent="0.25">
      <c r="A22" s="14" t="s">
        <v>33</v>
      </c>
      <c r="B22" s="12"/>
      <c r="C22" s="12">
        <f>SUM(C16:C21)</f>
        <v>30017</v>
      </c>
      <c r="D22" s="12">
        <f>SUM(D16:D21)</f>
        <v>24021</v>
      </c>
      <c r="E22" s="12">
        <f>SUM(E15:E21)</f>
        <v>16546</v>
      </c>
      <c r="F22" s="12">
        <f t="shared" ref="F22:L22" si="7">SUM(F15:F21)</f>
        <v>13849</v>
      </c>
      <c r="G22" s="12">
        <f t="shared" si="7"/>
        <v>11776</v>
      </c>
      <c r="H22" s="12">
        <f t="shared" si="7"/>
        <v>12447</v>
      </c>
      <c r="I22" s="12">
        <f t="shared" si="7"/>
        <v>11931</v>
      </c>
      <c r="J22" s="12">
        <f t="shared" si="7"/>
        <v>8771</v>
      </c>
      <c r="K22" s="12">
        <f t="shared" si="7"/>
        <v>8670</v>
      </c>
      <c r="L22" s="12">
        <f t="shared" si="7"/>
        <v>8625</v>
      </c>
      <c r="M22" s="12">
        <f t="shared" ref="M22:N22" si="8">SUM(M15:M21)</f>
        <v>0</v>
      </c>
      <c r="N22" s="12">
        <f t="shared" si="8"/>
        <v>0</v>
      </c>
    </row>
    <row r="23" spans="1:16" x14ac:dyDescent="0.25">
      <c r="A23" s="14"/>
      <c r="B23" s="31"/>
      <c r="C23" s="32"/>
      <c r="D23" s="32"/>
      <c r="E23" s="33"/>
      <c r="F23" s="33"/>
      <c r="G23" s="33"/>
      <c r="H23" s="33"/>
      <c r="I23" s="33"/>
      <c r="J23" s="33"/>
      <c r="K23" s="33"/>
      <c r="L23" s="33"/>
      <c r="M23" s="33"/>
      <c r="N23" s="33"/>
    </row>
    <row r="24" spans="1:16" x14ac:dyDescent="0.25">
      <c r="A24" s="14"/>
      <c r="B24" s="31"/>
      <c r="C24" s="32"/>
      <c r="D24" s="32"/>
      <c r="E24" s="33"/>
      <c r="F24" s="33"/>
      <c r="G24" s="33"/>
      <c r="H24" s="33"/>
      <c r="I24" s="33"/>
      <c r="J24" s="33"/>
      <c r="K24" s="33"/>
      <c r="L24" s="33"/>
      <c r="M24" s="33"/>
      <c r="N24" s="33"/>
    </row>
    <row r="25" spans="1:16" x14ac:dyDescent="0.25">
      <c r="A25" s="13" t="s">
        <v>34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16" s="28" customFormat="1" x14ac:dyDescent="0.25">
      <c r="A26" s="34" t="s">
        <v>35</v>
      </c>
      <c r="B26" s="16"/>
      <c r="C26" s="16">
        <v>61494</v>
      </c>
      <c r="D26" s="16">
        <v>35413</v>
      </c>
      <c r="E26" s="16">
        <v>33660</v>
      </c>
      <c r="F26" s="16">
        <v>121346</v>
      </c>
      <c r="G26" s="16">
        <v>539393</v>
      </c>
      <c r="H26" s="16">
        <v>871316</v>
      </c>
      <c r="I26" s="16">
        <v>438058</v>
      </c>
      <c r="J26" s="16">
        <v>37880</v>
      </c>
      <c r="K26" s="16">
        <v>68282</v>
      </c>
      <c r="L26" s="16">
        <v>1623202</v>
      </c>
      <c r="M26" s="16">
        <v>1100000</v>
      </c>
      <c r="N26" s="16">
        <v>1500000</v>
      </c>
    </row>
    <row r="27" spans="1:16" s="28" customFormat="1" x14ac:dyDescent="0.25">
      <c r="A27" s="34" t="s">
        <v>36</v>
      </c>
      <c r="B27" s="16"/>
      <c r="C27" s="16">
        <v>548540</v>
      </c>
      <c r="D27" s="16">
        <v>429370</v>
      </c>
      <c r="E27" s="16">
        <v>468446</v>
      </c>
      <c r="F27" s="16">
        <v>513340</v>
      </c>
      <c r="G27" s="16">
        <v>495654</v>
      </c>
      <c r="H27" s="16">
        <v>419356</v>
      </c>
      <c r="I27" s="16">
        <v>376900</v>
      </c>
      <c r="J27" s="16">
        <v>7092232</v>
      </c>
      <c r="K27" s="16">
        <v>424519</v>
      </c>
      <c r="L27" s="16">
        <v>4594418</v>
      </c>
      <c r="M27" s="16">
        <v>500000</v>
      </c>
      <c r="N27" s="16">
        <v>500000</v>
      </c>
    </row>
    <row r="28" spans="1:16" s="28" customFormat="1" x14ac:dyDescent="0.25">
      <c r="A28" s="34" t="s">
        <v>37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6" s="28" customFormat="1" x14ac:dyDescent="0.25">
      <c r="A29" s="34" t="s">
        <v>38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6" s="28" customFormat="1" x14ac:dyDescent="0.25">
      <c r="A30" s="34" t="s">
        <v>39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1:16" s="28" customFormat="1" x14ac:dyDescent="0.25">
      <c r="A31" s="34" t="s">
        <v>40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</row>
    <row r="32" spans="1:16" s="28" customFormat="1" x14ac:dyDescent="0.25">
      <c r="A32" s="34" t="s">
        <v>41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</row>
    <row r="33" spans="1:14" s="28" customFormat="1" x14ac:dyDescent="0.25">
      <c r="A33" s="34" t="s">
        <v>30</v>
      </c>
      <c r="B33" s="16"/>
      <c r="C33" s="16">
        <v>461525</v>
      </c>
      <c r="D33" s="16">
        <v>449275</v>
      </c>
      <c r="E33" s="16">
        <v>279231</v>
      </c>
      <c r="F33" s="16">
        <v>245309</v>
      </c>
      <c r="G33" s="16">
        <f>394628+49103</f>
        <v>443731</v>
      </c>
      <c r="H33" s="16">
        <f>357805+75995</f>
        <v>433800</v>
      </c>
      <c r="I33" s="16">
        <v>402489</v>
      </c>
      <c r="J33" s="16">
        <v>434880</v>
      </c>
      <c r="K33" s="16">
        <f>274004+125916</f>
        <v>399920</v>
      </c>
      <c r="L33" s="16">
        <v>1086983</v>
      </c>
      <c r="M33" s="16">
        <v>450000</v>
      </c>
      <c r="N33" s="16">
        <v>472500</v>
      </c>
    </row>
    <row r="34" spans="1:14" s="28" customFormat="1" x14ac:dyDescent="0.25">
      <c r="A34" s="34" t="s">
        <v>42</v>
      </c>
      <c r="B34" s="16"/>
      <c r="C34" s="16">
        <v>40837780</v>
      </c>
      <c r="D34" s="16">
        <v>41648716</v>
      </c>
      <c r="E34" s="16">
        <v>43593700</v>
      </c>
      <c r="F34" s="16">
        <v>45367736</v>
      </c>
      <c r="G34" s="16">
        <v>48215973</v>
      </c>
      <c r="H34" s="16">
        <v>49304410</v>
      </c>
      <c r="I34" s="16">
        <v>53398047</v>
      </c>
      <c r="J34" s="16">
        <v>57934039</v>
      </c>
      <c r="K34" s="16">
        <v>60860649</v>
      </c>
      <c r="L34" s="16">
        <v>65453446</v>
      </c>
      <c r="M34" s="16">
        <v>73920010</v>
      </c>
      <c r="N34" s="16">
        <v>0</v>
      </c>
    </row>
    <row r="35" spans="1:14" s="28" customFormat="1" x14ac:dyDescent="0.25">
      <c r="A35" s="34" t="s">
        <v>43</v>
      </c>
      <c r="B35" s="16"/>
      <c r="C35" s="16">
        <v>24263936</v>
      </c>
      <c r="D35" s="16">
        <v>25400240</v>
      </c>
      <c r="E35" s="16">
        <v>26547893</v>
      </c>
      <c r="F35" s="16">
        <v>26069548</v>
      </c>
      <c r="G35" s="16">
        <v>26511946</v>
      </c>
      <c r="H35" s="16">
        <v>26483916</v>
      </c>
      <c r="I35" s="16">
        <v>27323388</v>
      </c>
      <c r="J35" s="16">
        <v>28361113</v>
      </c>
      <c r="K35" s="16">
        <v>29372659</v>
      </c>
      <c r="L35" s="16">
        <v>30364671</v>
      </c>
      <c r="M35" s="16">
        <v>31165360</v>
      </c>
      <c r="N35" s="16">
        <v>109230838.34999999</v>
      </c>
    </row>
    <row r="36" spans="1:14" s="28" customFormat="1" x14ac:dyDescent="0.25">
      <c r="A36" s="27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</row>
    <row r="37" spans="1:14" x14ac:dyDescent="0.25">
      <c r="A37" s="29" t="s">
        <v>32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</row>
    <row r="38" spans="1:14" x14ac:dyDescent="0.25">
      <c r="A38" s="14" t="s">
        <v>44</v>
      </c>
      <c r="B38" s="12"/>
      <c r="C38" s="12">
        <f t="shared" ref="C38:E38" si="9">SUM(C25:C37)</f>
        <v>66173275</v>
      </c>
      <c r="D38" s="12">
        <f t="shared" si="9"/>
        <v>67963014</v>
      </c>
      <c r="E38" s="12">
        <f t="shared" si="9"/>
        <v>70922930</v>
      </c>
      <c r="F38" s="12">
        <f t="shared" ref="F38:L38" si="10">SUM(F25:F37)</f>
        <v>72317279</v>
      </c>
      <c r="G38" s="12">
        <f t="shared" si="10"/>
        <v>76206697</v>
      </c>
      <c r="H38" s="12">
        <f t="shared" si="10"/>
        <v>77512798</v>
      </c>
      <c r="I38" s="12">
        <f t="shared" si="10"/>
        <v>81938882</v>
      </c>
      <c r="J38" s="12">
        <f t="shared" si="10"/>
        <v>93860144</v>
      </c>
      <c r="K38" s="12">
        <f t="shared" si="10"/>
        <v>91126029</v>
      </c>
      <c r="L38" s="12">
        <f t="shared" si="10"/>
        <v>103122720</v>
      </c>
      <c r="M38" s="12">
        <f t="shared" ref="M38:N38" si="11">SUM(M25:M37)</f>
        <v>107135370</v>
      </c>
      <c r="N38" s="12">
        <f t="shared" si="11"/>
        <v>111703338.34999999</v>
      </c>
    </row>
    <row r="39" spans="1:14" x14ac:dyDescent="0.25">
      <c r="A39" s="14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x14ac:dyDescent="0.25">
      <c r="A40" s="14" t="s">
        <v>45</v>
      </c>
      <c r="B40" s="16"/>
      <c r="C40" s="16">
        <v>2222003</v>
      </c>
      <c r="D40" s="16">
        <v>2290955</v>
      </c>
      <c r="E40" s="16">
        <v>2423241</v>
      </c>
      <c r="F40" s="16">
        <v>2112926.7000000002</v>
      </c>
      <c r="G40" s="16">
        <v>2210886</v>
      </c>
      <c r="H40" s="16">
        <v>2089456</v>
      </c>
      <c r="I40" s="16">
        <f>-I10</f>
        <v>1995876</v>
      </c>
      <c r="J40" s="16">
        <f t="shared" ref="J40:K40" si="12">-J10</f>
        <v>1617709</v>
      </c>
      <c r="K40" s="16">
        <f t="shared" si="12"/>
        <v>2243577</v>
      </c>
      <c r="L40" s="16">
        <f>-L10</f>
        <v>2634893</v>
      </c>
      <c r="M40" s="16">
        <f>-M10</f>
        <v>3740813</v>
      </c>
      <c r="N40" s="16">
        <f>-N10</f>
        <v>3160000</v>
      </c>
    </row>
    <row r="41" spans="1:14" x14ac:dyDescent="0.25">
      <c r="A41" s="14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</row>
    <row r="42" spans="1:14" x14ac:dyDescent="0.25">
      <c r="A42" s="14" t="s">
        <v>46</v>
      </c>
      <c r="B42" s="12"/>
      <c r="C42" s="12">
        <f t="shared" ref="C42:D42" si="13">C38+C22+C13+C40</f>
        <v>92050797</v>
      </c>
      <c r="D42" s="12">
        <f t="shared" si="13"/>
        <v>92497000</v>
      </c>
      <c r="E42" s="12">
        <f>E38+E22+E13+E40</f>
        <v>95276705</v>
      </c>
      <c r="F42" s="12">
        <f t="shared" ref="F42:L42" si="14">F38+F22+F13+F40</f>
        <v>97639539.530000001</v>
      </c>
      <c r="G42" s="12">
        <f t="shared" si="14"/>
        <v>102110543</v>
      </c>
      <c r="H42" s="12">
        <f t="shared" si="14"/>
        <v>105040524</v>
      </c>
      <c r="I42" s="12">
        <f t="shared" si="14"/>
        <v>107914553</v>
      </c>
      <c r="J42" s="12">
        <f t="shared" si="14"/>
        <v>116621551</v>
      </c>
      <c r="K42" s="12">
        <f t="shared" si="14"/>
        <v>112874401</v>
      </c>
      <c r="L42" s="12">
        <f t="shared" si="14"/>
        <v>126297602.31999999</v>
      </c>
      <c r="M42" s="12">
        <f t="shared" ref="M42:N42" si="15">M38+M22+M13+M40</f>
        <v>133135370</v>
      </c>
      <c r="N42" s="12">
        <f t="shared" si="15"/>
        <v>139003338.34999999</v>
      </c>
    </row>
    <row r="43" spans="1:14" x14ac:dyDescent="0.25">
      <c r="A43" s="14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x14ac:dyDescent="0.25">
      <c r="A44" s="14" t="s">
        <v>47</v>
      </c>
      <c r="B44" s="12"/>
      <c r="C44" s="23">
        <f t="shared" ref="C44:L44" si="16">C42+C4</f>
        <v>129272128</v>
      </c>
      <c r="D44" s="23">
        <f t="shared" si="16"/>
        <v>132801806</v>
      </c>
      <c r="E44" s="23">
        <f t="shared" si="16"/>
        <v>137799585</v>
      </c>
      <c r="F44" s="23">
        <f t="shared" si="16"/>
        <v>142395530.53</v>
      </c>
      <c r="G44" s="23">
        <f t="shared" si="16"/>
        <v>150882984.53</v>
      </c>
      <c r="H44" s="23">
        <f t="shared" si="16"/>
        <v>154144008.53</v>
      </c>
      <c r="I44" s="23">
        <f t="shared" si="16"/>
        <v>151977842.53</v>
      </c>
      <c r="J44" s="23">
        <f t="shared" si="16"/>
        <v>158761053.53</v>
      </c>
      <c r="K44" s="23">
        <f t="shared" si="16"/>
        <v>165966829.53</v>
      </c>
      <c r="L44" s="23">
        <f t="shared" si="16"/>
        <v>179254596.84999999</v>
      </c>
      <c r="M44" s="23">
        <f t="shared" ref="M44:N44" si="17">M42+M4</f>
        <v>186965563.84999999</v>
      </c>
      <c r="N44" s="23">
        <f t="shared" si="17"/>
        <v>186134266.19999999</v>
      </c>
    </row>
    <row r="45" spans="1:14" x14ac:dyDescent="0.25">
      <c r="A45" s="14"/>
      <c r="B45" s="1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</row>
    <row r="46" spans="1:14" x14ac:dyDescent="0.25">
      <c r="A46" s="14" t="s">
        <v>48</v>
      </c>
      <c r="B46" s="16"/>
      <c r="C46" s="17">
        <v>-86962125</v>
      </c>
      <c r="D46" s="17">
        <v>-88193387</v>
      </c>
      <c r="E46" s="17">
        <v>-90769502</v>
      </c>
      <c r="F46" s="17">
        <v>-91713447</v>
      </c>
      <c r="G46" s="17">
        <v>-99774630</v>
      </c>
      <c r="H46" s="17">
        <f>-H55</f>
        <v>-108234161</v>
      </c>
      <c r="I46" s="17">
        <v>-108107310</v>
      </c>
      <c r="J46" s="17">
        <v>-104259335</v>
      </c>
      <c r="K46" s="17">
        <f>-113009835-K47</f>
        <v>-110955847</v>
      </c>
      <c r="L46" s="17">
        <v>-122946607</v>
      </c>
      <c r="M46" s="17">
        <f>-139834636-M47</f>
        <v>-136093823</v>
      </c>
      <c r="N46" s="17">
        <f>M46*1.05</f>
        <v>-142898514.15000001</v>
      </c>
    </row>
    <row r="47" spans="1:14" x14ac:dyDescent="0.25">
      <c r="A47" s="14" t="s">
        <v>49</v>
      </c>
      <c r="B47" s="16"/>
      <c r="C47" s="17">
        <v>-2005197</v>
      </c>
      <c r="D47" s="17">
        <v>-2085539</v>
      </c>
      <c r="E47" s="17">
        <v>-2274092</v>
      </c>
      <c r="F47" s="17">
        <v>-1909642</v>
      </c>
      <c r="G47" s="17">
        <v>-2004870</v>
      </c>
      <c r="H47" s="17">
        <v>-1846558</v>
      </c>
      <c r="I47" s="17">
        <v>-1731030</v>
      </c>
      <c r="J47" s="17">
        <v>-1409290</v>
      </c>
      <c r="K47" s="17">
        <v>-2053988</v>
      </c>
      <c r="L47" s="17">
        <v>-2477796</v>
      </c>
      <c r="M47" s="17">
        <f>M10</f>
        <v>-3740813</v>
      </c>
      <c r="N47" s="17">
        <v>-3000000</v>
      </c>
    </row>
    <row r="48" spans="1:14" x14ac:dyDescent="0.25">
      <c r="A48" s="14" t="s">
        <v>50</v>
      </c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</row>
    <row r="49" spans="1:14" x14ac:dyDescent="0.25">
      <c r="A49" s="35" t="s">
        <v>51</v>
      </c>
      <c r="B49" s="36"/>
      <c r="C49" s="37">
        <v>-40304806</v>
      </c>
      <c r="D49" s="37">
        <f>-(D44+D46+D47)</f>
        <v>-42522880</v>
      </c>
      <c r="E49" s="37">
        <f t="shared" ref="E49:K49" si="18">-(E44+E46+E47)</f>
        <v>-44755991</v>
      </c>
      <c r="F49" s="37">
        <f t="shared" si="18"/>
        <v>-48772441.530000001</v>
      </c>
      <c r="G49" s="37">
        <f t="shared" si="18"/>
        <v>-49103484.530000001</v>
      </c>
      <c r="H49" s="37">
        <f t="shared" si="18"/>
        <v>-44063289.530000001</v>
      </c>
      <c r="I49" s="38">
        <f t="shared" si="18"/>
        <v>-42139502.530000001</v>
      </c>
      <c r="J49" s="38">
        <f t="shared" si="18"/>
        <v>-53092428.530000001</v>
      </c>
      <c r="K49" s="38">
        <f t="shared" si="18"/>
        <v>-52956994.530000001</v>
      </c>
      <c r="L49" s="38">
        <v>-53830193.849999994</v>
      </c>
      <c r="M49" s="38">
        <v>-47130927.849999994</v>
      </c>
      <c r="N49" s="38">
        <v>-40235752.049999982</v>
      </c>
    </row>
    <row r="50" spans="1:14" x14ac:dyDescent="0.25">
      <c r="A50" s="24" t="s">
        <v>52</v>
      </c>
      <c r="B50" s="39"/>
      <c r="C50" s="40">
        <f t="shared" ref="C50:L50" si="19">C49+C48+C47+C46+C44</f>
        <v>0</v>
      </c>
      <c r="D50" s="40">
        <f>D49+D48+D47+D46+D44</f>
        <v>0</v>
      </c>
      <c r="E50" s="40">
        <f t="shared" si="19"/>
        <v>0</v>
      </c>
      <c r="F50" s="40">
        <f t="shared" si="19"/>
        <v>0</v>
      </c>
      <c r="G50" s="40">
        <f t="shared" si="19"/>
        <v>0</v>
      </c>
      <c r="H50" s="40">
        <f t="shared" si="19"/>
        <v>0</v>
      </c>
      <c r="I50" s="40">
        <f t="shared" si="19"/>
        <v>0</v>
      </c>
      <c r="J50" s="40">
        <f t="shared" si="19"/>
        <v>0</v>
      </c>
      <c r="K50" s="40">
        <f t="shared" si="19"/>
        <v>0</v>
      </c>
      <c r="L50" s="40">
        <f t="shared" si="19"/>
        <v>0</v>
      </c>
      <c r="M50" s="40">
        <f t="shared" ref="M50:N50" si="20">M49+M48+M47+M46+M44</f>
        <v>0</v>
      </c>
      <c r="N50" s="40">
        <f t="shared" si="20"/>
        <v>0</v>
      </c>
    </row>
    <row r="51" spans="1:14" x14ac:dyDescent="0.25">
      <c r="A51" s="14"/>
      <c r="B51" s="15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</row>
    <row r="52" spans="1:14" x14ac:dyDescent="0.25">
      <c r="A52" s="14" t="s">
        <v>53</v>
      </c>
      <c r="B52" s="15"/>
      <c r="C52" s="41">
        <v>86962125</v>
      </c>
      <c r="D52" s="41">
        <v>88193387</v>
      </c>
      <c r="E52" s="41">
        <v>90769502</v>
      </c>
      <c r="F52" s="41">
        <v>91713447</v>
      </c>
      <c r="G52" s="41">
        <f>-G46</f>
        <v>99774630</v>
      </c>
      <c r="H52" s="41">
        <v>108234161</v>
      </c>
      <c r="I52" s="41">
        <f t="shared" ref="I52:N52" si="21">-I46</f>
        <v>108107310</v>
      </c>
      <c r="J52" s="41">
        <f t="shared" si="21"/>
        <v>104259335</v>
      </c>
      <c r="K52" s="41">
        <f t="shared" si="21"/>
        <v>110955847</v>
      </c>
      <c r="L52" s="41">
        <f t="shared" si="21"/>
        <v>122946607</v>
      </c>
      <c r="M52" s="41">
        <f t="shared" si="21"/>
        <v>136093823</v>
      </c>
      <c r="N52" s="41">
        <f t="shared" si="21"/>
        <v>142898514.15000001</v>
      </c>
    </row>
    <row r="53" spans="1:14" x14ac:dyDescent="0.25">
      <c r="A53" s="14" t="s">
        <v>54</v>
      </c>
      <c r="B53" s="15"/>
      <c r="C53" s="41">
        <v>0</v>
      </c>
      <c r="D53" s="41">
        <v>0</v>
      </c>
      <c r="E53" s="41">
        <v>0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</row>
    <row r="54" spans="1:14" x14ac:dyDescent="0.25">
      <c r="A54" s="14" t="s">
        <v>55</v>
      </c>
      <c r="B54" s="15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</row>
    <row r="55" spans="1:14" x14ac:dyDescent="0.25">
      <c r="A55" s="24" t="s">
        <v>56</v>
      </c>
      <c r="B55" s="25"/>
      <c r="C55" s="43">
        <v>86962125</v>
      </c>
      <c r="D55" s="43">
        <v>88193387</v>
      </c>
      <c r="E55" s="43">
        <v>90769502</v>
      </c>
      <c r="F55" s="43">
        <v>91713447</v>
      </c>
      <c r="G55" s="43">
        <f t="shared" ref="G55:L55" si="22">G52+G53</f>
        <v>99774630</v>
      </c>
      <c r="H55" s="43">
        <f t="shared" si="22"/>
        <v>108234161</v>
      </c>
      <c r="I55" s="43">
        <f t="shared" si="22"/>
        <v>108107310</v>
      </c>
      <c r="J55" s="43">
        <f t="shared" si="22"/>
        <v>104259335</v>
      </c>
      <c r="K55" s="43">
        <f t="shared" si="22"/>
        <v>110955847</v>
      </c>
      <c r="L55" s="43">
        <f t="shared" si="22"/>
        <v>122946607</v>
      </c>
      <c r="M55" s="43">
        <f t="shared" ref="M55:N55" si="23">M52+M53</f>
        <v>136093823</v>
      </c>
      <c r="N55" s="43">
        <f t="shared" si="23"/>
        <v>142898514.15000001</v>
      </c>
    </row>
    <row r="56" spans="1:14" x14ac:dyDescent="0.25">
      <c r="A56" s="44"/>
      <c r="B56" s="44"/>
      <c r="C56" s="44"/>
      <c r="D56" s="44"/>
      <c r="E56" s="44"/>
    </row>
    <row r="60" spans="1:14" x14ac:dyDescent="0.25">
      <c r="C60" s="45"/>
    </row>
  </sheetData>
  <sheetProtection formatColumns="0" insertRows="0" selectLockedCells="1"/>
  <dataValidations count="1">
    <dataValidation type="whole" operator="lessThan" allowBlank="1" showErrorMessage="1" prompt="Amount must be negative." sqref="C8:C9 C11 C46:C49" xr:uid="{41CAACD9-9120-4453-976E-6B51D06FEED1}">
      <formula1>0</formula1>
    </dataValidation>
  </dataValidations>
  <pageMargins left="0.3" right="0.3" top="0.75" bottom="0.3" header="0.3" footer="0.25"/>
  <pageSetup scale="65" orientation="landscape" r:id="rId1"/>
  <headerFooter>
    <oddHeader>&amp;C&amp;"-,Bold"&amp;16Metropolitan Community College
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Enrollment &amp; Tuition Summary </vt:lpstr>
      <vt:lpstr>Student Fee Schedule</vt:lpstr>
      <vt:lpstr>Student Financial Aid</vt:lpstr>
      <vt:lpstr>Cash Fund Revenue Summary</vt:lpstr>
      <vt:lpstr>'Cash Fund Revenue Summary'!Print_Area</vt:lpstr>
      <vt:lpstr>'Enrollment &amp; Tuition Summary '!Print_Area</vt:lpstr>
      <vt:lpstr>'Student Fee Schedule'!Print_Area</vt:lpstr>
      <vt:lpstr>'Student Financial Aid'!Print_Area</vt:lpstr>
      <vt:lpstr>'Enrollment &amp; Tuition Summary '!Print_Titles</vt:lpstr>
      <vt:lpstr>'Student Financial Aid'!Print_Titles</vt:lpstr>
    </vt:vector>
  </TitlesOfParts>
  <Company>Metropolitan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Schumacher, Brenda</dc:creator>
  <cp:lastModifiedBy>Timm, Gary</cp:lastModifiedBy>
  <cp:lastPrinted>2022-11-21T17:18:20Z</cp:lastPrinted>
  <dcterms:created xsi:type="dcterms:W3CDTF">2022-11-18T23:37:34Z</dcterms:created>
  <dcterms:modified xsi:type="dcterms:W3CDTF">2024-04-24T21:28:02Z</dcterms:modified>
</cp:coreProperties>
</file>