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A3087948-088A-4277-BEF9-C98980620852}" xr6:coauthVersionLast="47" xr6:coauthVersionMax="47" xr10:uidLastSave="{00000000-0000-0000-0000-000000000000}"/>
  <bookViews>
    <workbookView xWindow="-120" yWindow="-120" windowWidth="29040" windowHeight="17640" xr2:uid="{00000000-000D-0000-FFFF-FFFF00000000}"/>
  </bookViews>
  <sheets>
    <sheet name="Enrollment &amp; Tuition Summary" sheetId="1" r:id="rId1"/>
    <sheet name="Student Fee Schedule" sheetId="5" r:id="rId2"/>
    <sheet name="Student Financial Aid" sheetId="6" r:id="rId3"/>
    <sheet name="Cash Fund Revenue Summary" sheetId="8" r:id="rId4"/>
  </sheets>
  <definedNames>
    <definedName name="_xlnm.Print_Area" localSheetId="3">'Cash Fund Revenue Summary'!$A$1:$L$77</definedName>
    <definedName name="_xlnm.Print_Area" localSheetId="0">'Enrollment &amp; Tuition Summary'!$A$1:$AL$34</definedName>
    <definedName name="_xlnm.Print_Area" localSheetId="1">'Student Fee Schedule'!$B$1:$AK$52</definedName>
    <definedName name="_xlnm.Print_Titles" localSheetId="2">'Student Financial Aid'!$A:$A,'Student Financial Aid'!$2:$6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8" i="8" l="1"/>
  <c r="M56" i="8"/>
  <c r="M67" i="8" s="1"/>
  <c r="L68" i="8" l="1"/>
  <c r="L32" i="8" l="1"/>
  <c r="L52" i="8"/>
  <c r="D49" i="8"/>
  <c r="K52" i="8" l="1"/>
  <c r="L10" i="8"/>
  <c r="L12" i="8" s="1"/>
  <c r="L54" i="8" s="1"/>
  <c r="K32" i="8" l="1"/>
  <c r="N68" i="8" l="1"/>
  <c r="N67" i="8"/>
  <c r="N70" i="8" s="1"/>
  <c r="N52" i="8"/>
  <c r="M52" i="8"/>
  <c r="N32" i="8"/>
  <c r="M32" i="8"/>
  <c r="N10" i="8"/>
  <c r="N12" i="8" s="1"/>
  <c r="M10" i="8"/>
  <c r="M12" i="8" s="1"/>
  <c r="M54" i="8" s="1"/>
  <c r="CC149" i="6"/>
  <c r="BU149" i="6"/>
  <c r="BV149" i="6" s="1"/>
  <c r="CC148" i="6"/>
  <c r="BU148" i="6"/>
  <c r="BV148" i="6" s="1"/>
  <c r="CC147" i="6"/>
  <c r="BU147" i="6"/>
  <c r="BV147" i="6" s="1"/>
  <c r="CC146" i="6"/>
  <c r="BU146" i="6"/>
  <c r="BV146" i="6" s="1"/>
  <c r="CC145" i="6"/>
  <c r="BU145" i="6"/>
  <c r="BV145" i="6" s="1"/>
  <c r="CC144" i="6"/>
  <c r="BU144" i="6"/>
  <c r="BV144" i="6" s="1"/>
  <c r="CC143" i="6"/>
  <c r="BU143" i="6"/>
  <c r="BV143" i="6" s="1"/>
  <c r="CC142" i="6"/>
  <c r="BV142" i="6"/>
  <c r="BU142" i="6"/>
  <c r="CC141" i="6"/>
  <c r="BU141" i="6"/>
  <c r="BV141" i="6" s="1"/>
  <c r="CC140" i="6"/>
  <c r="BU140" i="6"/>
  <c r="BV140" i="6" s="1"/>
  <c r="CC139" i="6"/>
  <c r="BU139" i="6"/>
  <c r="BV139" i="6" s="1"/>
  <c r="CC138" i="6"/>
  <c r="BU138" i="6"/>
  <c r="BV138" i="6" s="1"/>
  <c r="CC137" i="6"/>
  <c r="BU137" i="6"/>
  <c r="BV137" i="6" s="1"/>
  <c r="CC130" i="6"/>
  <c r="BU130" i="6"/>
  <c r="BV130" i="6" s="1"/>
  <c r="CC129" i="6"/>
  <c r="BU129" i="6"/>
  <c r="BV129" i="6" s="1"/>
  <c r="CC128" i="6"/>
  <c r="BU128" i="6"/>
  <c r="BV128" i="6" s="1"/>
  <c r="CC127" i="6"/>
  <c r="BU127" i="6"/>
  <c r="BV127" i="6" s="1"/>
  <c r="CC126" i="6"/>
  <c r="BU126" i="6"/>
  <c r="BV126" i="6" s="1"/>
  <c r="CC125" i="6"/>
  <c r="BU125" i="6"/>
  <c r="BV125" i="6" s="1"/>
  <c r="CC124" i="6"/>
  <c r="BU124" i="6"/>
  <c r="BV124" i="6" s="1"/>
  <c r="CC123" i="6"/>
  <c r="BU123" i="6"/>
  <c r="BV123" i="6" s="1"/>
  <c r="CC122" i="6"/>
  <c r="BU122" i="6"/>
  <c r="BV122" i="6" s="1"/>
  <c r="CC121" i="6"/>
  <c r="BU121" i="6"/>
  <c r="BV121" i="6" s="1"/>
  <c r="CC120" i="6"/>
  <c r="BU120" i="6"/>
  <c r="BV120" i="6" s="1"/>
  <c r="CC119" i="6"/>
  <c r="BU119" i="6"/>
  <c r="BV119" i="6" s="1"/>
  <c r="CC118" i="6"/>
  <c r="BU118" i="6"/>
  <c r="BV118" i="6" s="1"/>
  <c r="CC117" i="6"/>
  <c r="BU117" i="6"/>
  <c r="BV117" i="6" s="1"/>
  <c r="CC116" i="6"/>
  <c r="BU116" i="6"/>
  <c r="BV116" i="6" s="1"/>
  <c r="CC115" i="6"/>
  <c r="BU115" i="6"/>
  <c r="BV115" i="6" s="1"/>
  <c r="CC114" i="6"/>
  <c r="BU114" i="6"/>
  <c r="BV114" i="6" s="1"/>
  <c r="CC113" i="6"/>
  <c r="BU113" i="6"/>
  <c r="BV113" i="6" s="1"/>
  <c r="CC112" i="6"/>
  <c r="BU112" i="6"/>
  <c r="BV112" i="6" s="1"/>
  <c r="CC111" i="6"/>
  <c r="BU111" i="6"/>
  <c r="BV111" i="6" s="1"/>
  <c r="CC110" i="6"/>
  <c r="BU110" i="6"/>
  <c r="BV110" i="6" s="1"/>
  <c r="CC109" i="6"/>
  <c r="BU109" i="6"/>
  <c r="BV109" i="6" s="1"/>
  <c r="CC108" i="6"/>
  <c r="BU108" i="6"/>
  <c r="BV108" i="6" s="1"/>
  <c r="CC107" i="6"/>
  <c r="BU107" i="6"/>
  <c r="BV107" i="6" s="1"/>
  <c r="CC102" i="6"/>
  <c r="BU102" i="6"/>
  <c r="BV102" i="6" s="1"/>
  <c r="CC101" i="6"/>
  <c r="BU101" i="6"/>
  <c r="BV101" i="6" s="1"/>
  <c r="CC100" i="6"/>
  <c r="BU100" i="6"/>
  <c r="BV100" i="6" s="1"/>
  <c r="CC99" i="6"/>
  <c r="BU99" i="6"/>
  <c r="BV99" i="6" s="1"/>
  <c r="CC98" i="6"/>
  <c r="BU98" i="6"/>
  <c r="BV98" i="6" s="1"/>
  <c r="CC97" i="6"/>
  <c r="BU97" i="6"/>
  <c r="BV97" i="6" s="1"/>
  <c r="CC96" i="6"/>
  <c r="BU96" i="6"/>
  <c r="BV96" i="6" s="1"/>
  <c r="CC95" i="6"/>
  <c r="BU95" i="6"/>
  <c r="CC94" i="6"/>
  <c r="BU94" i="6"/>
  <c r="BV94" i="6" s="1"/>
  <c r="CC85" i="6"/>
  <c r="BU85" i="6"/>
  <c r="BV85" i="6" s="1"/>
  <c r="CC84" i="6"/>
  <c r="BU84" i="6"/>
  <c r="BV84" i="6" s="1"/>
  <c r="CC83" i="6"/>
  <c r="BU83" i="6"/>
  <c r="BV83" i="6" s="1"/>
  <c r="CC82" i="6"/>
  <c r="BU82" i="6"/>
  <c r="BV82" i="6" s="1"/>
  <c r="CC81" i="6"/>
  <c r="BU81" i="6"/>
  <c r="BV81" i="6" s="1"/>
  <c r="CC80" i="6"/>
  <c r="BU80" i="6"/>
  <c r="BV80" i="6" s="1"/>
  <c r="CC79" i="6"/>
  <c r="BU79" i="6"/>
  <c r="BV79" i="6" s="1"/>
  <c r="CC78" i="6"/>
  <c r="BU78" i="6"/>
  <c r="BV78" i="6" s="1"/>
  <c r="CC77" i="6"/>
  <c r="BU77" i="6"/>
  <c r="BV77" i="6" s="1"/>
  <c r="CC76" i="6"/>
  <c r="BU76" i="6"/>
  <c r="BV76" i="6" s="1"/>
  <c r="CC75" i="6"/>
  <c r="BU75" i="6"/>
  <c r="BV75" i="6" s="1"/>
  <c r="CC74" i="6"/>
  <c r="BU74" i="6"/>
  <c r="BV74" i="6" s="1"/>
  <c r="CC73" i="6"/>
  <c r="BU73" i="6"/>
  <c r="BV73" i="6" s="1"/>
  <c r="CC72" i="6"/>
  <c r="BU72" i="6"/>
  <c r="BV72" i="6" s="1"/>
  <c r="CC71" i="6"/>
  <c r="BU71" i="6"/>
  <c r="BV71" i="6" s="1"/>
  <c r="CC70" i="6"/>
  <c r="BU70" i="6"/>
  <c r="BV70" i="6" s="1"/>
  <c r="CC69" i="6"/>
  <c r="BU69" i="6"/>
  <c r="BV69" i="6" s="1"/>
  <c r="CC68" i="6"/>
  <c r="BU68" i="6"/>
  <c r="BV68" i="6" s="1"/>
  <c r="CC67" i="6"/>
  <c r="BU67" i="6"/>
  <c r="BV67" i="6" s="1"/>
  <c r="CC66" i="6"/>
  <c r="BU66" i="6"/>
  <c r="BV66" i="6" s="1"/>
  <c r="CC65" i="6"/>
  <c r="BU65" i="6"/>
  <c r="BV65" i="6" s="1"/>
  <c r="CC64" i="6"/>
  <c r="BU64" i="6"/>
  <c r="BV64" i="6" s="1"/>
  <c r="CC59" i="6"/>
  <c r="BU59" i="6"/>
  <c r="BV59" i="6" s="1"/>
  <c r="CC58" i="6"/>
  <c r="BU58" i="6"/>
  <c r="BV58" i="6" s="1"/>
  <c r="CC57" i="6"/>
  <c r="BU57" i="6"/>
  <c r="BV57" i="6" s="1"/>
  <c r="CC56" i="6"/>
  <c r="BU56" i="6"/>
  <c r="BV56" i="6" s="1"/>
  <c r="CC55" i="6"/>
  <c r="BU55" i="6"/>
  <c r="BV55" i="6" s="1"/>
  <c r="CC54" i="6"/>
  <c r="BU54" i="6"/>
  <c r="BV54" i="6" s="1"/>
  <c r="CC53" i="6"/>
  <c r="BU53" i="6"/>
  <c r="BV53" i="6" s="1"/>
  <c r="CC52" i="6"/>
  <c r="BU52" i="6"/>
  <c r="BV52" i="6" s="1"/>
  <c r="CC51" i="6"/>
  <c r="BU51" i="6"/>
  <c r="BV51" i="6" s="1"/>
  <c r="CC50" i="6"/>
  <c r="BU50" i="6"/>
  <c r="BV50" i="6" s="1"/>
  <c r="CC49" i="6"/>
  <c r="BU49" i="6"/>
  <c r="BV49" i="6" s="1"/>
  <c r="CC48" i="6"/>
  <c r="BU48" i="6"/>
  <c r="BV48" i="6" s="1"/>
  <c r="CC47" i="6"/>
  <c r="BU47" i="6"/>
  <c r="BV47" i="6" s="1"/>
  <c r="CC46" i="6"/>
  <c r="BU46" i="6"/>
  <c r="BV46" i="6" s="1"/>
  <c r="CC45" i="6"/>
  <c r="BU45" i="6"/>
  <c r="BV45" i="6" s="1"/>
  <c r="CC44" i="6"/>
  <c r="BU44" i="6"/>
  <c r="BV44" i="6" s="1"/>
  <c r="CC43" i="6"/>
  <c r="BU43" i="6"/>
  <c r="BV43" i="6" s="1"/>
  <c r="CC42" i="6"/>
  <c r="BU42" i="6"/>
  <c r="BV42" i="6" s="1"/>
  <c r="CC41" i="6"/>
  <c r="BU41" i="6"/>
  <c r="CC40" i="6"/>
  <c r="BU40" i="6"/>
  <c r="BV40" i="6" s="1"/>
  <c r="CC39" i="6"/>
  <c r="BU39" i="6"/>
  <c r="BV39" i="6" s="1"/>
  <c r="CC38" i="6"/>
  <c r="BU38" i="6"/>
  <c r="BV38" i="6" s="1"/>
  <c r="CC37" i="6"/>
  <c r="BU37" i="6"/>
  <c r="BV37" i="6" s="1"/>
  <c r="CC36" i="6"/>
  <c r="BU36" i="6"/>
  <c r="BV36" i="6" s="1"/>
  <c r="CC35" i="6"/>
  <c r="BU35" i="6"/>
  <c r="BV35" i="6" s="1"/>
  <c r="CC30" i="6"/>
  <c r="BU30" i="6"/>
  <c r="BV30" i="6" s="1"/>
  <c r="CC29" i="6"/>
  <c r="BU29" i="6"/>
  <c r="BV29" i="6" s="1"/>
  <c r="CC28" i="6"/>
  <c r="BV28" i="6"/>
  <c r="BU28" i="6"/>
  <c r="CC27" i="6"/>
  <c r="BU27" i="6"/>
  <c r="BV27" i="6" s="1"/>
  <c r="CC26" i="6"/>
  <c r="BU26" i="6"/>
  <c r="BV26" i="6" s="1"/>
  <c r="CC25" i="6"/>
  <c r="BU25" i="6"/>
  <c r="BV25" i="6" s="1"/>
  <c r="CC24" i="6"/>
  <c r="BU24" i="6"/>
  <c r="BV24" i="6" s="1"/>
  <c r="CC23" i="6"/>
  <c r="BU23" i="6"/>
  <c r="BV23" i="6" s="1"/>
  <c r="CC22" i="6"/>
  <c r="BU22" i="6"/>
  <c r="BV22" i="6" s="1"/>
  <c r="CC21" i="6"/>
  <c r="BU21" i="6"/>
  <c r="BV21" i="6" s="1"/>
  <c r="CC20" i="6"/>
  <c r="BU20" i="6"/>
  <c r="BV20" i="6" s="1"/>
  <c r="CC19" i="6"/>
  <c r="BU19" i="6"/>
  <c r="BV19" i="6" s="1"/>
  <c r="CC18" i="6"/>
  <c r="BU18" i="6"/>
  <c r="BV18" i="6" s="1"/>
  <c r="CC17" i="6"/>
  <c r="BU17" i="6"/>
  <c r="BV17" i="6" s="1"/>
  <c r="CC16" i="6"/>
  <c r="BU16" i="6"/>
  <c r="BV16" i="6" s="1"/>
  <c r="CC15" i="6"/>
  <c r="BU15" i="6"/>
  <c r="BV15" i="6" s="1"/>
  <c r="CC14" i="6"/>
  <c r="BU14" i="6"/>
  <c r="BV14" i="6" s="1"/>
  <c r="CC13" i="6"/>
  <c r="BV13" i="6"/>
  <c r="BU13" i="6"/>
  <c r="CC12" i="6"/>
  <c r="BU12" i="6"/>
  <c r="BV12" i="6" s="1"/>
  <c r="BT160" i="6"/>
  <c r="BT158" i="6"/>
  <c r="BT154" i="6"/>
  <c r="BU154" i="6" s="1"/>
  <c r="CB151" i="6"/>
  <c r="CA151" i="6"/>
  <c r="BZ151" i="6"/>
  <c r="BY151" i="6"/>
  <c r="BX151" i="6"/>
  <c r="BW151" i="6"/>
  <c r="BT151" i="6"/>
  <c r="CB132" i="6"/>
  <c r="CA132" i="6"/>
  <c r="BZ132" i="6"/>
  <c r="BY132" i="6"/>
  <c r="BX132" i="6"/>
  <c r="BW132" i="6"/>
  <c r="BT132" i="6"/>
  <c r="CB104" i="6"/>
  <c r="CA104" i="6"/>
  <c r="CA134" i="6" s="1"/>
  <c r="BZ104" i="6"/>
  <c r="BY104" i="6"/>
  <c r="BX104" i="6"/>
  <c r="BW104" i="6"/>
  <c r="BT104" i="6"/>
  <c r="CB87" i="6"/>
  <c r="CA87" i="6"/>
  <c r="BZ87" i="6"/>
  <c r="BY87" i="6"/>
  <c r="BX87" i="6"/>
  <c r="BW87" i="6"/>
  <c r="BT87" i="6"/>
  <c r="CB61" i="6"/>
  <c r="CA61" i="6"/>
  <c r="BZ61" i="6"/>
  <c r="BY61" i="6"/>
  <c r="BX61" i="6"/>
  <c r="BW61" i="6"/>
  <c r="BT61" i="6"/>
  <c r="CB32" i="6"/>
  <c r="CA32" i="6"/>
  <c r="BZ32" i="6"/>
  <c r="BY32" i="6"/>
  <c r="BX32" i="6"/>
  <c r="BW32" i="6"/>
  <c r="BT32" i="6"/>
  <c r="CC11" i="6"/>
  <c r="BU11" i="6"/>
  <c r="Y51" i="5"/>
  <c r="N54" i="8" l="1"/>
  <c r="M70" i="8"/>
  <c r="BU104" i="6"/>
  <c r="BV104" i="6" s="1"/>
  <c r="CC104" i="6"/>
  <c r="CC132" i="6"/>
  <c r="CC151" i="6"/>
  <c r="BY134" i="6"/>
  <c r="BU87" i="6"/>
  <c r="BV87" i="6" s="1"/>
  <c r="CC87" i="6"/>
  <c r="CA89" i="6"/>
  <c r="CA153" i="6" s="1"/>
  <c r="BT89" i="6"/>
  <c r="BW89" i="6"/>
  <c r="CC61" i="6"/>
  <c r="BU61" i="6"/>
  <c r="BV61" i="6" s="1"/>
  <c r="BW134" i="6"/>
  <c r="BX134" i="6"/>
  <c r="BV95" i="6"/>
  <c r="BZ134" i="6"/>
  <c r="BZ153" i="6" s="1"/>
  <c r="CB134" i="6"/>
  <c r="BT134" i="6"/>
  <c r="BZ89" i="6"/>
  <c r="BY89" i="6"/>
  <c r="BV41" i="6"/>
  <c r="CB89" i="6"/>
  <c r="BX89" i="6"/>
  <c r="BU32" i="6"/>
  <c r="BV32" i="6" s="1"/>
  <c r="CC32" i="6"/>
  <c r="BV11" i="6"/>
  <c r="BU132" i="6"/>
  <c r="BU151" i="6"/>
  <c r="BS149" i="6"/>
  <c r="BK149" i="6"/>
  <c r="BL149" i="6" s="1"/>
  <c r="BS148" i="6"/>
  <c r="BK148" i="6"/>
  <c r="BL148" i="6" s="1"/>
  <c r="BS147" i="6"/>
  <c r="BK147" i="6"/>
  <c r="BL147" i="6" s="1"/>
  <c r="BS146" i="6"/>
  <c r="BK146" i="6"/>
  <c r="BL146" i="6" s="1"/>
  <c r="BS145" i="6"/>
  <c r="BK145" i="6"/>
  <c r="BL145" i="6" s="1"/>
  <c r="BS144" i="6"/>
  <c r="BK144" i="6"/>
  <c r="BL144" i="6" s="1"/>
  <c r="BS143" i="6"/>
  <c r="BK143" i="6"/>
  <c r="BL143" i="6" s="1"/>
  <c r="BS142" i="6"/>
  <c r="BK142" i="6"/>
  <c r="BL142" i="6" s="1"/>
  <c r="BS141" i="6"/>
  <c r="BL141" i="6"/>
  <c r="BK141" i="6"/>
  <c r="BS140" i="6"/>
  <c r="BK140" i="6"/>
  <c r="BL140" i="6" s="1"/>
  <c r="BS139" i="6"/>
  <c r="BK139" i="6"/>
  <c r="BL139" i="6" s="1"/>
  <c r="BS138" i="6"/>
  <c r="BK138" i="6"/>
  <c r="BL138" i="6" s="1"/>
  <c r="BS137" i="6"/>
  <c r="BK137" i="6"/>
  <c r="BL137" i="6" s="1"/>
  <c r="BS130" i="6"/>
  <c r="BK130" i="6"/>
  <c r="BL130" i="6" s="1"/>
  <c r="BS129" i="6"/>
  <c r="BK129" i="6"/>
  <c r="BL129" i="6" s="1"/>
  <c r="BS128" i="6"/>
  <c r="BK128" i="6"/>
  <c r="BL128" i="6" s="1"/>
  <c r="BS127" i="6"/>
  <c r="BK127" i="6"/>
  <c r="BL127" i="6" s="1"/>
  <c r="BS126" i="6"/>
  <c r="BK126" i="6"/>
  <c r="BL126" i="6" s="1"/>
  <c r="BS125" i="6"/>
  <c r="BK125" i="6"/>
  <c r="BL125" i="6" s="1"/>
  <c r="BS124" i="6"/>
  <c r="BK124" i="6"/>
  <c r="BL124" i="6" s="1"/>
  <c r="BS123" i="6"/>
  <c r="BK123" i="6"/>
  <c r="BL123" i="6" s="1"/>
  <c r="BS122" i="6"/>
  <c r="BK122" i="6"/>
  <c r="BL122" i="6" s="1"/>
  <c r="BS121" i="6"/>
  <c r="BK121" i="6"/>
  <c r="BL121" i="6" s="1"/>
  <c r="BS120" i="6"/>
  <c r="BK120" i="6"/>
  <c r="BL120" i="6" s="1"/>
  <c r="BS119" i="6"/>
  <c r="BK119" i="6"/>
  <c r="BL119" i="6" s="1"/>
  <c r="BS118" i="6"/>
  <c r="BK118" i="6"/>
  <c r="BL118" i="6" s="1"/>
  <c r="BS117" i="6"/>
  <c r="BK117" i="6"/>
  <c r="BL117" i="6" s="1"/>
  <c r="BS116" i="6"/>
  <c r="BK116" i="6"/>
  <c r="BL116" i="6" s="1"/>
  <c r="BS115" i="6"/>
  <c r="BK115" i="6"/>
  <c r="BL115" i="6" s="1"/>
  <c r="BS114" i="6"/>
  <c r="BK114" i="6"/>
  <c r="BL114" i="6" s="1"/>
  <c r="BS113" i="6"/>
  <c r="BK113" i="6"/>
  <c r="BL113" i="6" s="1"/>
  <c r="BS112" i="6"/>
  <c r="BK112" i="6"/>
  <c r="BL112" i="6" s="1"/>
  <c r="BS111" i="6"/>
  <c r="BK111" i="6"/>
  <c r="BL111" i="6" s="1"/>
  <c r="BS110" i="6"/>
  <c r="BK110" i="6"/>
  <c r="BL110" i="6" s="1"/>
  <c r="BS109" i="6"/>
  <c r="BK109" i="6"/>
  <c r="BL109" i="6" s="1"/>
  <c r="BS108" i="6"/>
  <c r="BK108" i="6"/>
  <c r="BL108" i="6" s="1"/>
  <c r="BS107" i="6"/>
  <c r="BK107" i="6"/>
  <c r="BL107" i="6" s="1"/>
  <c r="BS102" i="6"/>
  <c r="BK102" i="6"/>
  <c r="BL102" i="6" s="1"/>
  <c r="BS101" i="6"/>
  <c r="BK101" i="6"/>
  <c r="BL101" i="6" s="1"/>
  <c r="BS100" i="6"/>
  <c r="BK100" i="6"/>
  <c r="BL100" i="6" s="1"/>
  <c r="BS99" i="6"/>
  <c r="BK99" i="6"/>
  <c r="BL99" i="6" s="1"/>
  <c r="BS98" i="6"/>
  <c r="BK98" i="6"/>
  <c r="BL98" i="6" s="1"/>
  <c r="BS97" i="6"/>
  <c r="BK97" i="6"/>
  <c r="BL97" i="6" s="1"/>
  <c r="BS96" i="6"/>
  <c r="BK96" i="6"/>
  <c r="BL96" i="6" s="1"/>
  <c r="BS95" i="6"/>
  <c r="BK95" i="6"/>
  <c r="BL95" i="6" s="1"/>
  <c r="BS94" i="6"/>
  <c r="BK94" i="6"/>
  <c r="BL94" i="6" s="1"/>
  <c r="BS85" i="6"/>
  <c r="BK85" i="6"/>
  <c r="BL85" i="6" s="1"/>
  <c r="BS84" i="6"/>
  <c r="BK84" i="6"/>
  <c r="BL84" i="6" s="1"/>
  <c r="BS83" i="6"/>
  <c r="BK83" i="6"/>
  <c r="BL83" i="6" s="1"/>
  <c r="BS82" i="6"/>
  <c r="BK82" i="6"/>
  <c r="BL82" i="6" s="1"/>
  <c r="BS81" i="6"/>
  <c r="BK81" i="6"/>
  <c r="BL81" i="6" s="1"/>
  <c r="BS80" i="6"/>
  <c r="BL80" i="6"/>
  <c r="BK80" i="6"/>
  <c r="BS79" i="6"/>
  <c r="BK79" i="6"/>
  <c r="BL79" i="6" s="1"/>
  <c r="BS78" i="6"/>
  <c r="BK78" i="6"/>
  <c r="BL78" i="6" s="1"/>
  <c r="BS77" i="6"/>
  <c r="BK77" i="6"/>
  <c r="BL77" i="6" s="1"/>
  <c r="BS76" i="6"/>
  <c r="BK76" i="6"/>
  <c r="BL76" i="6" s="1"/>
  <c r="BS75" i="6"/>
  <c r="BK75" i="6"/>
  <c r="BL75" i="6" s="1"/>
  <c r="BS74" i="6"/>
  <c r="BK74" i="6"/>
  <c r="BL74" i="6" s="1"/>
  <c r="BS73" i="6"/>
  <c r="BK73" i="6"/>
  <c r="BL73" i="6" s="1"/>
  <c r="BS72" i="6"/>
  <c r="BK72" i="6"/>
  <c r="BL72" i="6" s="1"/>
  <c r="BS71" i="6"/>
  <c r="BK71" i="6"/>
  <c r="BL71" i="6" s="1"/>
  <c r="BS70" i="6"/>
  <c r="BK70" i="6"/>
  <c r="BL70" i="6" s="1"/>
  <c r="BS69" i="6"/>
  <c r="BK69" i="6"/>
  <c r="BL69" i="6" s="1"/>
  <c r="BS68" i="6"/>
  <c r="BK68" i="6"/>
  <c r="BL68" i="6" s="1"/>
  <c r="BS67" i="6"/>
  <c r="BK67" i="6"/>
  <c r="BL67" i="6" s="1"/>
  <c r="BS66" i="6"/>
  <c r="BK66" i="6"/>
  <c r="BL66" i="6" s="1"/>
  <c r="BS65" i="6"/>
  <c r="BK65" i="6"/>
  <c r="BL65" i="6" s="1"/>
  <c r="BS64" i="6"/>
  <c r="BK64" i="6"/>
  <c r="BL64" i="6" s="1"/>
  <c r="BS59" i="6"/>
  <c r="BK59" i="6"/>
  <c r="BL59" i="6" s="1"/>
  <c r="BS58" i="6"/>
  <c r="BK58" i="6"/>
  <c r="BL58" i="6" s="1"/>
  <c r="BS57" i="6"/>
  <c r="BK57" i="6"/>
  <c r="BL57" i="6" s="1"/>
  <c r="BS56" i="6"/>
  <c r="BK56" i="6"/>
  <c r="BL56" i="6" s="1"/>
  <c r="BS55" i="6"/>
  <c r="BK55" i="6"/>
  <c r="BL55" i="6" s="1"/>
  <c r="BS54" i="6"/>
  <c r="BK54" i="6"/>
  <c r="BL54" i="6" s="1"/>
  <c r="BS53" i="6"/>
  <c r="BK53" i="6"/>
  <c r="BL53" i="6" s="1"/>
  <c r="BS52" i="6"/>
  <c r="BK52" i="6"/>
  <c r="BL52" i="6" s="1"/>
  <c r="BS51" i="6"/>
  <c r="BK51" i="6"/>
  <c r="BL51" i="6" s="1"/>
  <c r="BS50" i="6"/>
  <c r="BK50" i="6"/>
  <c r="BL50" i="6" s="1"/>
  <c r="BS49" i="6"/>
  <c r="BK49" i="6"/>
  <c r="BL49" i="6" s="1"/>
  <c r="BS48" i="6"/>
  <c r="BK48" i="6"/>
  <c r="BL48" i="6" s="1"/>
  <c r="BS47" i="6"/>
  <c r="BK47" i="6"/>
  <c r="BL47" i="6" s="1"/>
  <c r="BS46" i="6"/>
  <c r="BK46" i="6"/>
  <c r="BL46" i="6" s="1"/>
  <c r="BS45" i="6"/>
  <c r="BK45" i="6"/>
  <c r="BL45" i="6" s="1"/>
  <c r="BS44" i="6"/>
  <c r="BK44" i="6"/>
  <c r="BL44" i="6" s="1"/>
  <c r="BS43" i="6"/>
  <c r="BK43" i="6"/>
  <c r="BL43" i="6" s="1"/>
  <c r="BS42" i="6"/>
  <c r="BK42" i="6"/>
  <c r="BL42" i="6" s="1"/>
  <c r="BS41" i="6"/>
  <c r="BK41" i="6"/>
  <c r="BL41" i="6" s="1"/>
  <c r="BS40" i="6"/>
  <c r="BK40" i="6"/>
  <c r="BL40" i="6" s="1"/>
  <c r="BS39" i="6"/>
  <c r="BK39" i="6"/>
  <c r="BL39" i="6" s="1"/>
  <c r="BS38" i="6"/>
  <c r="BK38" i="6"/>
  <c r="BL38" i="6" s="1"/>
  <c r="BS37" i="6"/>
  <c r="BK37" i="6"/>
  <c r="BL37" i="6" s="1"/>
  <c r="BS36" i="6"/>
  <c r="BK36" i="6"/>
  <c r="BL36" i="6" s="1"/>
  <c r="BS35" i="6"/>
  <c r="BK35" i="6"/>
  <c r="BL35" i="6" s="1"/>
  <c r="BS30" i="6"/>
  <c r="BK30" i="6"/>
  <c r="BL30" i="6" s="1"/>
  <c r="BS29" i="6"/>
  <c r="BK29" i="6"/>
  <c r="BL29" i="6" s="1"/>
  <c r="BS28" i="6"/>
  <c r="BL28" i="6"/>
  <c r="BK28" i="6"/>
  <c r="BS27" i="6"/>
  <c r="BK27" i="6"/>
  <c r="BL27" i="6" s="1"/>
  <c r="BS26" i="6"/>
  <c r="BK26" i="6"/>
  <c r="BL26" i="6" s="1"/>
  <c r="BS25" i="6"/>
  <c r="BK25" i="6"/>
  <c r="BL25" i="6" s="1"/>
  <c r="BS24" i="6"/>
  <c r="BK24" i="6"/>
  <c r="BL24" i="6" s="1"/>
  <c r="BS23" i="6"/>
  <c r="BK23" i="6"/>
  <c r="BL23" i="6" s="1"/>
  <c r="BS22" i="6"/>
  <c r="BK22" i="6"/>
  <c r="BL22" i="6" s="1"/>
  <c r="BS21" i="6"/>
  <c r="BK21" i="6"/>
  <c r="BL21" i="6" s="1"/>
  <c r="BS20" i="6"/>
  <c r="BK20" i="6"/>
  <c r="BL20" i="6" s="1"/>
  <c r="BS19" i="6"/>
  <c r="BK19" i="6"/>
  <c r="BL19" i="6" s="1"/>
  <c r="BS18" i="6"/>
  <c r="BK18" i="6"/>
  <c r="BL18" i="6" s="1"/>
  <c r="BS17" i="6"/>
  <c r="BK17" i="6"/>
  <c r="BL17" i="6" s="1"/>
  <c r="BS16" i="6"/>
  <c r="BK16" i="6"/>
  <c r="BL16" i="6" s="1"/>
  <c r="BS15" i="6"/>
  <c r="BK15" i="6"/>
  <c r="BL15" i="6" s="1"/>
  <c r="BS14" i="6"/>
  <c r="BK14" i="6"/>
  <c r="BL14" i="6" s="1"/>
  <c r="BS13" i="6"/>
  <c r="BK13" i="6"/>
  <c r="BL13" i="6" s="1"/>
  <c r="BS12" i="6"/>
  <c r="BK12" i="6"/>
  <c r="BL12" i="6" s="1"/>
  <c r="BJ160" i="6"/>
  <c r="BJ158" i="6"/>
  <c r="BJ154" i="6"/>
  <c r="BK154" i="6" s="1"/>
  <c r="BR151" i="6"/>
  <c r="BQ151" i="6"/>
  <c r="BP151" i="6"/>
  <c r="BO151" i="6"/>
  <c r="BN151" i="6"/>
  <c r="BM151" i="6"/>
  <c r="BJ151" i="6"/>
  <c r="BR132" i="6"/>
  <c r="BQ132" i="6"/>
  <c r="BP132" i="6"/>
  <c r="BO132" i="6"/>
  <c r="BN132" i="6"/>
  <c r="BM132" i="6"/>
  <c r="BJ132" i="6"/>
  <c r="BR104" i="6"/>
  <c r="BQ104" i="6"/>
  <c r="BP104" i="6"/>
  <c r="BO104" i="6"/>
  <c r="BN104" i="6"/>
  <c r="BM104" i="6"/>
  <c r="BJ104" i="6"/>
  <c r="BR87" i="6"/>
  <c r="BQ87" i="6"/>
  <c r="BP87" i="6"/>
  <c r="BO87" i="6"/>
  <c r="BN87" i="6"/>
  <c r="BM87" i="6"/>
  <c r="BJ87" i="6"/>
  <c r="BP61" i="6"/>
  <c r="BO61" i="6"/>
  <c r="BN61" i="6"/>
  <c r="BM61" i="6"/>
  <c r="BR61" i="6"/>
  <c r="BQ61" i="6"/>
  <c r="BJ61" i="6"/>
  <c r="BR32" i="6"/>
  <c r="BQ32" i="6"/>
  <c r="BP32" i="6"/>
  <c r="BO32" i="6"/>
  <c r="BN32" i="6"/>
  <c r="BM32" i="6"/>
  <c r="BJ32" i="6"/>
  <c r="BS11" i="6"/>
  <c r="BK11" i="6"/>
  <c r="BL11" i="6" s="1"/>
  <c r="BY153" i="6" l="1"/>
  <c r="CC134" i="6"/>
  <c r="CC89" i="6"/>
  <c r="CC153" i="6" s="1"/>
  <c r="BT163" i="6" s="1"/>
  <c r="BW153" i="6"/>
  <c r="BT167" i="6" s="1"/>
  <c r="BT153" i="6"/>
  <c r="BU89" i="6"/>
  <c r="BV89" i="6" s="1"/>
  <c r="BX153" i="6"/>
  <c r="CB153" i="6"/>
  <c r="BT162" i="6" s="1"/>
  <c r="BV151" i="6"/>
  <c r="BU134" i="6"/>
  <c r="BV132" i="6"/>
  <c r="BQ134" i="6"/>
  <c r="BO89" i="6"/>
  <c r="BS104" i="6"/>
  <c r="BS151" i="6"/>
  <c r="BM134" i="6"/>
  <c r="BS132" i="6"/>
  <c r="BS87" i="6"/>
  <c r="BS61" i="6"/>
  <c r="BP134" i="6"/>
  <c r="BR134" i="6"/>
  <c r="BJ134" i="6"/>
  <c r="BN134" i="6"/>
  <c r="BO134" i="6"/>
  <c r="BR89" i="6"/>
  <c r="BJ89" i="6"/>
  <c r="BM89" i="6"/>
  <c r="BN89" i="6"/>
  <c r="BP89" i="6"/>
  <c r="BS32" i="6"/>
  <c r="BQ89" i="6"/>
  <c r="BQ153" i="6" s="1"/>
  <c r="BK132" i="6"/>
  <c r="BK104" i="6"/>
  <c r="BL104" i="6" s="1"/>
  <c r="BK32" i="6"/>
  <c r="BK61" i="6"/>
  <c r="BL61" i="6" s="1"/>
  <c r="BK151" i="6"/>
  <c r="BK87" i="6"/>
  <c r="BL87" i="6" s="1"/>
  <c r="L67" i="8"/>
  <c r="L70" i="8" s="1"/>
  <c r="K68" i="8"/>
  <c r="K67" i="8"/>
  <c r="J68" i="8"/>
  <c r="J67" i="8"/>
  <c r="J9" i="8"/>
  <c r="BT164" i="6" l="1"/>
  <c r="BU153" i="6"/>
  <c r="BV153" i="6" s="1"/>
  <c r="BO153" i="6"/>
  <c r="BV134" i="6"/>
  <c r="BS134" i="6"/>
  <c r="BP153" i="6"/>
  <c r="BM153" i="6"/>
  <c r="BJ167" i="6" s="1"/>
  <c r="BS89" i="6"/>
  <c r="BS153" i="6" s="1"/>
  <c r="BJ163" i="6" s="1"/>
  <c r="BJ153" i="6"/>
  <c r="BN153" i="6"/>
  <c r="BR153" i="6"/>
  <c r="BJ162" i="6" s="1"/>
  <c r="BL151" i="6"/>
  <c r="BL32" i="6"/>
  <c r="BK89" i="6"/>
  <c r="BK134" i="6"/>
  <c r="BL132" i="6"/>
  <c r="BA51" i="6"/>
  <c r="BT161" i="6" l="1"/>
  <c r="BT170" i="6" s="1"/>
  <c r="BT168" i="6"/>
  <c r="BJ164" i="6"/>
  <c r="BL134" i="6"/>
  <c r="BL89" i="6"/>
  <c r="BK153" i="6"/>
  <c r="AZ166" i="6"/>
  <c r="AZ51" i="6"/>
  <c r="BH51" i="6"/>
  <c r="BI51" i="6" s="1"/>
  <c r="BG51" i="6"/>
  <c r="BT169" i="6" l="1"/>
  <c r="BT174" i="6"/>
  <c r="BT165" i="6"/>
  <c r="BT171" i="6"/>
  <c r="BT172" i="6"/>
  <c r="BT173" i="6"/>
  <c r="BL153" i="6"/>
  <c r="BJ161" i="6"/>
  <c r="BJ168" i="6"/>
  <c r="C25" i="6"/>
  <c r="D25" i="6" s="1"/>
  <c r="K25" i="6"/>
  <c r="M25" i="6"/>
  <c r="N25" i="6" s="1"/>
  <c r="U25" i="6"/>
  <c r="W25" i="6"/>
  <c r="X25" i="6"/>
  <c r="AE25" i="6"/>
  <c r="AG25" i="6"/>
  <c r="AH25" i="6" s="1"/>
  <c r="AO25" i="6"/>
  <c r="AQ25" i="6"/>
  <c r="AR25" i="6" s="1"/>
  <c r="AY25" i="6"/>
  <c r="BA25" i="6"/>
  <c r="BB25" i="6" s="1"/>
  <c r="BI25" i="6"/>
  <c r="C26" i="6"/>
  <c r="D26" i="6" s="1"/>
  <c r="K26" i="6"/>
  <c r="M26" i="6"/>
  <c r="N26" i="6" s="1"/>
  <c r="U26" i="6"/>
  <c r="W26" i="6"/>
  <c r="X26" i="6" s="1"/>
  <c r="AE26" i="6"/>
  <c r="AG26" i="6"/>
  <c r="AH26" i="6" s="1"/>
  <c r="AO26" i="6"/>
  <c r="AQ26" i="6"/>
  <c r="AR26" i="6" s="1"/>
  <c r="AY26" i="6"/>
  <c r="BA26" i="6"/>
  <c r="BB26" i="6"/>
  <c r="BI26" i="6"/>
  <c r="BI24" i="6"/>
  <c r="BA24" i="6"/>
  <c r="BB24" i="6" s="1"/>
  <c r="AY24" i="6"/>
  <c r="AQ24" i="6"/>
  <c r="AR24" i="6" s="1"/>
  <c r="AO24" i="6"/>
  <c r="AG24" i="6"/>
  <c r="AH24" i="6" s="1"/>
  <c r="AE24" i="6"/>
  <c r="W24" i="6"/>
  <c r="X24" i="6" s="1"/>
  <c r="U24" i="6"/>
  <c r="M24" i="6"/>
  <c r="N24" i="6" s="1"/>
  <c r="K24" i="6"/>
  <c r="C24" i="6"/>
  <c r="D24" i="6" s="1"/>
  <c r="BJ173" i="6" l="1"/>
  <c r="BJ172" i="6"/>
  <c r="BJ171" i="6"/>
  <c r="BJ174" i="6"/>
  <c r="BJ165" i="6"/>
  <c r="BJ170" i="6"/>
  <c r="BJ169" i="6"/>
  <c r="K149" i="6"/>
  <c r="K148" i="6"/>
  <c r="K147" i="6"/>
  <c r="K146" i="6"/>
  <c r="K145" i="6"/>
  <c r="K144" i="6"/>
  <c r="K143" i="6"/>
  <c r="K142" i="6"/>
  <c r="K141" i="6"/>
  <c r="K140" i="6"/>
  <c r="K139" i="6"/>
  <c r="K138" i="6"/>
  <c r="K137" i="6"/>
  <c r="K130" i="6"/>
  <c r="K129" i="6"/>
  <c r="K128" i="6"/>
  <c r="K127" i="6"/>
  <c r="K126" i="6"/>
  <c r="K125" i="6"/>
  <c r="K124" i="6"/>
  <c r="K121" i="6"/>
  <c r="K119" i="6"/>
  <c r="K118" i="6"/>
  <c r="K117" i="6"/>
  <c r="K116" i="6"/>
  <c r="K115" i="6"/>
  <c r="K113" i="6"/>
  <c r="K112" i="6"/>
  <c r="K111" i="6"/>
  <c r="K110" i="6"/>
  <c r="K109" i="6"/>
  <c r="K108" i="6"/>
  <c r="K107" i="6"/>
  <c r="K102" i="6"/>
  <c r="K101" i="6"/>
  <c r="K100" i="6"/>
  <c r="K99" i="6"/>
  <c r="K98" i="6"/>
  <c r="K97" i="6"/>
  <c r="K96" i="6"/>
  <c r="K95" i="6"/>
  <c r="K94" i="6"/>
  <c r="K85" i="6"/>
  <c r="K84" i="6"/>
  <c r="K83" i="6"/>
  <c r="K82" i="6"/>
  <c r="K81" i="6"/>
  <c r="K80" i="6"/>
  <c r="K79" i="6"/>
  <c r="K78" i="6"/>
  <c r="K77" i="6"/>
  <c r="K76" i="6"/>
  <c r="K75" i="6"/>
  <c r="K74" i="6"/>
  <c r="K73" i="6"/>
  <c r="K72" i="6"/>
  <c r="K71" i="6"/>
  <c r="K70" i="6"/>
  <c r="K69" i="6"/>
  <c r="K68" i="6"/>
  <c r="K67" i="6"/>
  <c r="K66" i="6"/>
  <c r="K65" i="6"/>
  <c r="K64" i="6"/>
  <c r="K59" i="6"/>
  <c r="K58" i="6"/>
  <c r="K57" i="6"/>
  <c r="K56" i="6"/>
  <c r="K55" i="6"/>
  <c r="K54" i="6"/>
  <c r="K53" i="6"/>
  <c r="K52" i="6"/>
  <c r="K51" i="6"/>
  <c r="K50" i="6"/>
  <c r="K49" i="6"/>
  <c r="K48" i="6"/>
  <c r="K46" i="6"/>
  <c r="K45" i="6"/>
  <c r="K44" i="6"/>
  <c r="K43" i="6"/>
  <c r="K42" i="6"/>
  <c r="K41" i="6"/>
  <c r="K39" i="6"/>
  <c r="K37" i="6"/>
  <c r="K36" i="6"/>
  <c r="K35" i="6"/>
  <c r="K30" i="6"/>
  <c r="K29" i="6"/>
  <c r="K28" i="6"/>
  <c r="K27" i="6"/>
  <c r="K23" i="6"/>
  <c r="K22" i="6"/>
  <c r="K21" i="6"/>
  <c r="K19" i="6"/>
  <c r="K18" i="6"/>
  <c r="K17" i="6"/>
  <c r="K16" i="6"/>
  <c r="K15" i="6"/>
  <c r="K14" i="6"/>
  <c r="K13" i="6"/>
  <c r="K12" i="6"/>
  <c r="K11" i="6"/>
  <c r="U149" i="6"/>
  <c r="U148" i="6"/>
  <c r="U147" i="6"/>
  <c r="U146" i="6"/>
  <c r="U145" i="6"/>
  <c r="U144" i="6"/>
  <c r="U143" i="6"/>
  <c r="U142" i="6"/>
  <c r="U141" i="6"/>
  <c r="U140" i="6"/>
  <c r="U139" i="6"/>
  <c r="U138" i="6"/>
  <c r="U137" i="6"/>
  <c r="U130" i="6"/>
  <c r="U129" i="6"/>
  <c r="U128" i="6"/>
  <c r="U127" i="6"/>
  <c r="U126" i="6"/>
  <c r="U125" i="6"/>
  <c r="U124" i="6"/>
  <c r="U121" i="6"/>
  <c r="U120" i="6"/>
  <c r="U119" i="6"/>
  <c r="U118" i="6"/>
  <c r="U117" i="6"/>
  <c r="U116" i="6"/>
  <c r="U115" i="6"/>
  <c r="U114" i="6"/>
  <c r="U113" i="6"/>
  <c r="U112" i="6"/>
  <c r="U111" i="6"/>
  <c r="U110" i="6"/>
  <c r="U109" i="6"/>
  <c r="U108" i="6"/>
  <c r="U107" i="6"/>
  <c r="U102" i="6"/>
  <c r="U101" i="6"/>
  <c r="U100" i="6"/>
  <c r="U99" i="6"/>
  <c r="U98" i="6"/>
  <c r="U97" i="6"/>
  <c r="U96" i="6"/>
  <c r="U95" i="6"/>
  <c r="U94" i="6"/>
  <c r="U85" i="6"/>
  <c r="U84" i="6"/>
  <c r="U83" i="6"/>
  <c r="U82" i="6"/>
  <c r="U81" i="6"/>
  <c r="U80" i="6"/>
  <c r="U79" i="6"/>
  <c r="U78" i="6"/>
  <c r="U77" i="6"/>
  <c r="U76" i="6"/>
  <c r="U75" i="6"/>
  <c r="U74" i="6"/>
  <c r="U73" i="6"/>
  <c r="U72" i="6"/>
  <c r="U71" i="6"/>
  <c r="U70" i="6"/>
  <c r="U69" i="6"/>
  <c r="U68" i="6"/>
  <c r="U67" i="6"/>
  <c r="U66" i="6"/>
  <c r="U65" i="6"/>
  <c r="U64" i="6"/>
  <c r="U59" i="6"/>
  <c r="U58" i="6"/>
  <c r="U57" i="6"/>
  <c r="U56" i="6"/>
  <c r="U55" i="6"/>
  <c r="U54" i="6"/>
  <c r="U53" i="6"/>
  <c r="U52" i="6"/>
  <c r="U51" i="6"/>
  <c r="U50" i="6"/>
  <c r="U49" i="6"/>
  <c r="U48" i="6"/>
  <c r="U47" i="6"/>
  <c r="U46" i="6"/>
  <c r="U45" i="6"/>
  <c r="U44" i="6"/>
  <c r="U43" i="6"/>
  <c r="U42" i="6"/>
  <c r="U41" i="6"/>
  <c r="U40" i="6"/>
  <c r="U39" i="6"/>
  <c r="U38" i="6"/>
  <c r="U37" i="6"/>
  <c r="U36" i="6"/>
  <c r="U35" i="6"/>
  <c r="U30" i="6"/>
  <c r="U29" i="6"/>
  <c r="U28" i="6"/>
  <c r="U27" i="6"/>
  <c r="U23" i="6"/>
  <c r="U22" i="6"/>
  <c r="U21" i="6"/>
  <c r="U20" i="6"/>
  <c r="U19" i="6"/>
  <c r="U18" i="6"/>
  <c r="U17" i="6"/>
  <c r="U16" i="6"/>
  <c r="U15" i="6"/>
  <c r="U14" i="6"/>
  <c r="U13" i="6"/>
  <c r="U12" i="6"/>
  <c r="U11" i="6"/>
  <c r="AE149" i="6"/>
  <c r="AE148" i="6"/>
  <c r="AE147" i="6"/>
  <c r="AE146" i="6"/>
  <c r="AE145" i="6"/>
  <c r="AE144" i="6"/>
  <c r="AE143" i="6"/>
  <c r="AE142" i="6"/>
  <c r="AE141" i="6"/>
  <c r="AE140" i="6"/>
  <c r="AE139" i="6"/>
  <c r="AE138" i="6"/>
  <c r="AE137" i="6"/>
  <c r="AE130" i="6"/>
  <c r="AE129" i="6"/>
  <c r="AE128" i="6"/>
  <c r="AE127" i="6"/>
  <c r="AE126" i="6"/>
  <c r="AE125" i="6"/>
  <c r="AE124" i="6"/>
  <c r="AE121" i="6"/>
  <c r="AE120" i="6"/>
  <c r="AE119" i="6"/>
  <c r="AE118" i="6"/>
  <c r="AE117" i="6"/>
  <c r="AE116" i="6"/>
  <c r="AE115" i="6"/>
  <c r="AE114" i="6"/>
  <c r="AE113" i="6"/>
  <c r="AE112" i="6"/>
  <c r="AE111" i="6"/>
  <c r="AE110" i="6"/>
  <c r="AE109" i="6"/>
  <c r="AE108" i="6"/>
  <c r="AE107" i="6"/>
  <c r="AE102" i="6"/>
  <c r="AE101" i="6"/>
  <c r="AE100" i="6"/>
  <c r="AE99" i="6"/>
  <c r="AE98" i="6"/>
  <c r="AE97" i="6"/>
  <c r="AE96" i="6"/>
  <c r="AE95" i="6"/>
  <c r="AE94" i="6"/>
  <c r="AE85" i="6"/>
  <c r="AE84" i="6"/>
  <c r="AE83" i="6"/>
  <c r="AE82" i="6"/>
  <c r="AE81" i="6"/>
  <c r="AE80" i="6"/>
  <c r="AE79" i="6"/>
  <c r="AE78" i="6"/>
  <c r="AE77" i="6"/>
  <c r="AE76" i="6"/>
  <c r="AE75" i="6"/>
  <c r="AE74" i="6"/>
  <c r="AE73" i="6"/>
  <c r="AE72" i="6"/>
  <c r="AE71" i="6"/>
  <c r="AE70" i="6"/>
  <c r="AE69" i="6"/>
  <c r="AE68" i="6"/>
  <c r="AE67" i="6"/>
  <c r="AE66" i="6"/>
  <c r="AE65" i="6"/>
  <c r="AE64" i="6"/>
  <c r="AE59" i="6"/>
  <c r="AE58" i="6"/>
  <c r="AE57" i="6"/>
  <c r="AE56" i="6"/>
  <c r="AE55" i="6"/>
  <c r="AE54" i="6"/>
  <c r="AE53" i="6"/>
  <c r="AE52" i="6"/>
  <c r="AE51" i="6"/>
  <c r="AE50" i="6"/>
  <c r="AE49" i="6"/>
  <c r="AE48" i="6"/>
  <c r="AE47" i="6"/>
  <c r="AE46" i="6"/>
  <c r="AE45" i="6"/>
  <c r="AE44" i="6"/>
  <c r="AE43" i="6"/>
  <c r="AE42" i="6"/>
  <c r="AE41" i="6"/>
  <c r="AE40" i="6"/>
  <c r="AE39" i="6"/>
  <c r="AE38" i="6"/>
  <c r="AE37" i="6"/>
  <c r="AE36" i="6"/>
  <c r="AE35" i="6"/>
  <c r="AE30" i="6"/>
  <c r="AE29" i="6"/>
  <c r="AE28" i="6"/>
  <c r="AE27" i="6"/>
  <c r="AE23" i="6"/>
  <c r="AE22" i="6"/>
  <c r="AE21" i="6"/>
  <c r="AE20" i="6"/>
  <c r="AE19" i="6"/>
  <c r="AE18" i="6"/>
  <c r="AE17" i="6"/>
  <c r="AE16" i="6"/>
  <c r="AE15" i="6"/>
  <c r="AE14" i="6"/>
  <c r="AE13" i="6"/>
  <c r="AE12" i="6"/>
  <c r="AE11" i="6"/>
  <c r="AO149" i="6"/>
  <c r="AO148" i="6"/>
  <c r="AO147" i="6"/>
  <c r="AO146" i="6"/>
  <c r="AO145" i="6"/>
  <c r="AO144" i="6"/>
  <c r="AO143" i="6"/>
  <c r="AO142" i="6"/>
  <c r="AO141" i="6"/>
  <c r="AO140" i="6"/>
  <c r="AO139" i="6"/>
  <c r="AO138" i="6"/>
  <c r="AO137" i="6"/>
  <c r="AO130" i="6"/>
  <c r="AO129" i="6"/>
  <c r="AO128" i="6"/>
  <c r="AO127" i="6"/>
  <c r="AO126" i="6"/>
  <c r="AO125" i="6"/>
  <c r="AO124" i="6"/>
  <c r="AO121" i="6"/>
  <c r="AO120" i="6"/>
  <c r="AO119" i="6"/>
  <c r="AO118" i="6"/>
  <c r="AO117" i="6"/>
  <c r="AO116" i="6"/>
  <c r="AO115" i="6"/>
  <c r="AO114" i="6"/>
  <c r="AO113" i="6"/>
  <c r="AO112" i="6"/>
  <c r="AO111" i="6"/>
  <c r="AO110" i="6"/>
  <c r="AO109" i="6"/>
  <c r="AO108" i="6"/>
  <c r="AO107" i="6"/>
  <c r="AO102" i="6"/>
  <c r="AO101" i="6"/>
  <c r="AO100" i="6"/>
  <c r="AO99" i="6"/>
  <c r="AO98" i="6"/>
  <c r="AO97" i="6"/>
  <c r="AO96" i="6"/>
  <c r="AO95" i="6"/>
  <c r="AO94" i="6"/>
  <c r="AO85" i="6"/>
  <c r="AO84" i="6"/>
  <c r="AO83" i="6"/>
  <c r="AO82" i="6"/>
  <c r="AO81" i="6"/>
  <c r="AO80" i="6"/>
  <c r="AO79" i="6"/>
  <c r="AO78" i="6"/>
  <c r="AO77" i="6"/>
  <c r="AO76" i="6"/>
  <c r="AO75" i="6"/>
  <c r="AO74" i="6"/>
  <c r="AO73" i="6"/>
  <c r="AO72" i="6"/>
  <c r="AO71" i="6"/>
  <c r="AO70" i="6"/>
  <c r="AO69" i="6"/>
  <c r="AO68" i="6"/>
  <c r="AO67" i="6"/>
  <c r="AO66" i="6"/>
  <c r="AO65" i="6"/>
  <c r="AO64" i="6"/>
  <c r="AO59" i="6"/>
  <c r="AO58" i="6"/>
  <c r="AO57" i="6"/>
  <c r="AO56" i="6"/>
  <c r="AO55" i="6"/>
  <c r="AO54" i="6"/>
  <c r="AO53" i="6"/>
  <c r="AO52" i="6"/>
  <c r="AO51" i="6"/>
  <c r="AO50" i="6"/>
  <c r="AO49" i="6"/>
  <c r="AO48" i="6"/>
  <c r="AO47" i="6"/>
  <c r="AO46" i="6"/>
  <c r="AO45" i="6"/>
  <c r="AO44" i="6"/>
  <c r="AO43" i="6"/>
  <c r="AO42" i="6"/>
  <c r="AO41" i="6"/>
  <c r="AO40" i="6"/>
  <c r="AO39" i="6"/>
  <c r="AO38" i="6"/>
  <c r="AO37" i="6"/>
  <c r="AO36" i="6"/>
  <c r="AO35" i="6"/>
  <c r="AO30" i="6"/>
  <c r="AO29" i="6"/>
  <c r="AO28" i="6"/>
  <c r="AO27" i="6"/>
  <c r="AO23" i="6"/>
  <c r="AO22" i="6"/>
  <c r="AO21" i="6"/>
  <c r="AO20" i="6"/>
  <c r="AO19" i="6"/>
  <c r="AO18" i="6"/>
  <c r="AO17" i="6"/>
  <c r="AO16" i="6"/>
  <c r="AO15" i="6"/>
  <c r="AO14" i="6"/>
  <c r="AO13" i="6"/>
  <c r="AO12" i="6"/>
  <c r="AO11" i="6"/>
  <c r="AY149" i="6"/>
  <c r="AY148" i="6"/>
  <c r="AY147" i="6"/>
  <c r="AY146" i="6"/>
  <c r="AY145" i="6"/>
  <c r="AY144" i="6"/>
  <c r="AY143" i="6"/>
  <c r="AY142" i="6"/>
  <c r="AY141" i="6"/>
  <c r="AY140" i="6"/>
  <c r="AY139" i="6"/>
  <c r="AY138" i="6"/>
  <c r="AY137" i="6"/>
  <c r="AY130" i="6"/>
  <c r="AY129" i="6"/>
  <c r="AY128" i="6"/>
  <c r="AY127" i="6"/>
  <c r="AY126" i="6"/>
  <c r="AY125" i="6"/>
  <c r="AY124" i="6"/>
  <c r="AY121" i="6"/>
  <c r="AY120" i="6"/>
  <c r="AY119" i="6"/>
  <c r="AY118" i="6"/>
  <c r="AY117" i="6"/>
  <c r="AY116" i="6"/>
  <c r="AY115" i="6"/>
  <c r="AY114" i="6"/>
  <c r="AY113" i="6"/>
  <c r="AY112" i="6"/>
  <c r="AY111" i="6"/>
  <c r="AY110" i="6"/>
  <c r="AY109" i="6"/>
  <c r="AY108" i="6"/>
  <c r="AY107" i="6"/>
  <c r="AY102" i="6"/>
  <c r="AY101" i="6"/>
  <c r="AY100" i="6"/>
  <c r="AY99" i="6"/>
  <c r="AY98" i="6"/>
  <c r="AY97" i="6"/>
  <c r="AY96" i="6"/>
  <c r="AY95" i="6"/>
  <c r="AY94" i="6"/>
  <c r="AY85" i="6"/>
  <c r="AY84" i="6"/>
  <c r="AY83" i="6"/>
  <c r="AY82" i="6"/>
  <c r="AY81" i="6"/>
  <c r="AY80" i="6"/>
  <c r="AY79" i="6"/>
  <c r="AY78" i="6"/>
  <c r="AY77" i="6"/>
  <c r="AY76" i="6"/>
  <c r="AY75" i="6"/>
  <c r="AY74" i="6"/>
  <c r="AY73" i="6"/>
  <c r="AY72" i="6"/>
  <c r="AY71" i="6"/>
  <c r="AY70" i="6"/>
  <c r="AY69" i="6"/>
  <c r="AY68" i="6"/>
  <c r="AY67" i="6"/>
  <c r="AY66" i="6"/>
  <c r="AY65" i="6"/>
  <c r="AY64" i="6"/>
  <c r="AY59" i="6"/>
  <c r="AY58" i="6"/>
  <c r="AY57" i="6"/>
  <c r="AY56" i="6"/>
  <c r="AY55" i="6"/>
  <c r="AY54" i="6"/>
  <c r="AY53" i="6"/>
  <c r="AY52" i="6"/>
  <c r="AY51" i="6"/>
  <c r="AY50" i="6"/>
  <c r="AY49" i="6"/>
  <c r="AY48" i="6"/>
  <c r="AY47" i="6"/>
  <c r="AY46" i="6"/>
  <c r="AY45" i="6"/>
  <c r="AY44" i="6"/>
  <c r="AY43" i="6"/>
  <c r="AY42" i="6"/>
  <c r="AY41" i="6"/>
  <c r="AY40" i="6"/>
  <c r="AY39" i="6"/>
  <c r="AY38" i="6"/>
  <c r="AY37" i="6"/>
  <c r="AY36" i="6"/>
  <c r="AY35" i="6"/>
  <c r="AY30" i="6"/>
  <c r="AY29" i="6"/>
  <c r="AY28" i="6"/>
  <c r="AY27" i="6"/>
  <c r="AY23" i="6"/>
  <c r="AY22" i="6"/>
  <c r="AY21" i="6"/>
  <c r="AY20" i="6"/>
  <c r="AY19" i="6"/>
  <c r="AY18" i="6"/>
  <c r="AY17" i="6"/>
  <c r="AY16" i="6"/>
  <c r="AY15" i="6"/>
  <c r="AY14" i="6"/>
  <c r="AY13" i="6"/>
  <c r="AY12" i="6"/>
  <c r="AY11" i="6"/>
  <c r="BI137" i="6"/>
  <c r="BI138" i="6"/>
  <c r="BI139" i="6"/>
  <c r="BI140" i="6"/>
  <c r="BI141" i="6"/>
  <c r="BI142" i="6"/>
  <c r="BI143" i="6"/>
  <c r="BI144" i="6"/>
  <c r="BI145" i="6"/>
  <c r="BI146" i="6"/>
  <c r="BI147" i="6"/>
  <c r="BI148" i="6"/>
  <c r="BI149" i="6"/>
  <c r="BI130" i="6"/>
  <c r="BI129" i="6"/>
  <c r="BI128" i="6"/>
  <c r="BI127" i="6"/>
  <c r="BI126" i="6"/>
  <c r="BI125" i="6"/>
  <c r="BI124" i="6"/>
  <c r="BI121" i="6"/>
  <c r="BI120" i="6"/>
  <c r="BI119" i="6"/>
  <c r="BI118" i="6"/>
  <c r="BI117" i="6"/>
  <c r="BI116" i="6"/>
  <c r="BI115" i="6"/>
  <c r="BI114" i="6"/>
  <c r="BI113" i="6"/>
  <c r="BI112" i="6"/>
  <c r="BI111" i="6"/>
  <c r="BI110" i="6"/>
  <c r="BI109" i="6"/>
  <c r="BI108" i="6"/>
  <c r="BI107" i="6"/>
  <c r="BI102" i="6"/>
  <c r="BI101" i="6"/>
  <c r="BI100" i="6"/>
  <c r="BI99" i="6"/>
  <c r="BI98" i="6"/>
  <c r="BI97" i="6"/>
  <c r="BI96" i="6"/>
  <c r="BI95" i="6"/>
  <c r="BI94" i="6"/>
  <c r="BI85" i="6"/>
  <c r="BI84" i="6"/>
  <c r="BI83" i="6"/>
  <c r="BI82" i="6"/>
  <c r="BI81" i="6"/>
  <c r="BI80" i="6"/>
  <c r="BI79" i="6"/>
  <c r="BI78" i="6"/>
  <c r="BI77" i="6"/>
  <c r="BI76" i="6"/>
  <c r="BI75" i="6"/>
  <c r="BI74" i="6"/>
  <c r="BI73" i="6"/>
  <c r="BI72" i="6"/>
  <c r="BI71" i="6"/>
  <c r="BI70" i="6"/>
  <c r="BI69" i="6"/>
  <c r="BI68" i="6"/>
  <c r="BI67" i="6"/>
  <c r="BI66" i="6"/>
  <c r="BI65" i="6"/>
  <c r="BI64" i="6"/>
  <c r="BI59" i="6"/>
  <c r="BI58" i="6"/>
  <c r="BI57" i="6"/>
  <c r="BI56" i="6"/>
  <c r="BI55" i="6"/>
  <c r="BI54" i="6"/>
  <c r="BI53" i="6"/>
  <c r="BI52" i="6"/>
  <c r="BI50" i="6"/>
  <c r="BI49" i="6"/>
  <c r="BI48" i="6"/>
  <c r="BI47" i="6"/>
  <c r="BI46" i="6"/>
  <c r="BI45" i="6"/>
  <c r="BI44" i="6"/>
  <c r="BI43" i="6"/>
  <c r="BI42" i="6"/>
  <c r="BI41" i="6"/>
  <c r="BI40" i="6"/>
  <c r="BI39" i="6"/>
  <c r="BI38" i="6"/>
  <c r="BI37" i="6"/>
  <c r="BI36" i="6"/>
  <c r="BI35" i="6"/>
  <c r="BI12" i="6"/>
  <c r="BI13" i="6"/>
  <c r="BI14" i="6"/>
  <c r="BI15" i="6"/>
  <c r="BI16" i="6"/>
  <c r="BI17" i="6"/>
  <c r="BI18" i="6"/>
  <c r="BI19" i="6"/>
  <c r="BI20" i="6"/>
  <c r="BI21" i="6"/>
  <c r="BI22" i="6"/>
  <c r="BI23" i="6"/>
  <c r="BI27" i="6"/>
  <c r="BI28" i="6"/>
  <c r="BI29" i="6"/>
  <c r="BI30" i="6"/>
  <c r="BI11" i="6"/>
  <c r="AE104" i="6" l="1"/>
  <c r="AE132" i="6"/>
  <c r="U104" i="6"/>
  <c r="AE61" i="6"/>
  <c r="AE87" i="6"/>
  <c r="U61" i="6"/>
  <c r="U132" i="6"/>
  <c r="U134" i="6" s="1"/>
  <c r="U151" i="6"/>
  <c r="K104" i="6"/>
  <c r="AO87" i="6"/>
  <c r="K151" i="6"/>
  <c r="AE151" i="6"/>
  <c r="K87" i="6"/>
  <c r="AY104" i="6"/>
  <c r="U87" i="6"/>
  <c r="AY61" i="6"/>
  <c r="AY132" i="6"/>
  <c r="AY151" i="6"/>
  <c r="AO104" i="6"/>
  <c r="AY87" i="6"/>
  <c r="AO61" i="6"/>
  <c r="AO132" i="6"/>
  <c r="AO151" i="6"/>
  <c r="AY32" i="6"/>
  <c r="AO32" i="6"/>
  <c r="AE32" i="6"/>
  <c r="U32" i="6"/>
  <c r="AO89" i="6" l="1"/>
  <c r="AY134" i="6"/>
  <c r="AY89" i="6"/>
  <c r="AO134" i="6"/>
  <c r="AO153" i="6" s="1"/>
  <c r="AE134" i="6"/>
  <c r="U89" i="6"/>
  <c r="U153" i="6" s="1"/>
  <c r="AE89" i="6"/>
  <c r="AY153" i="6"/>
  <c r="AE153" i="6" l="1"/>
  <c r="AZ160" i="6"/>
  <c r="AZ158" i="6"/>
  <c r="AZ154" i="6"/>
  <c r="BA154" i="6" s="1"/>
  <c r="BH151" i="6"/>
  <c r="BG151" i="6"/>
  <c r="BF151" i="6"/>
  <c r="BE151" i="6"/>
  <c r="BD151" i="6"/>
  <c r="BC151" i="6"/>
  <c r="AZ151" i="6"/>
  <c r="BA149" i="6"/>
  <c r="BB149" i="6" s="1"/>
  <c r="BA148" i="6"/>
  <c r="BB148" i="6" s="1"/>
  <c r="BA147" i="6"/>
  <c r="BB147" i="6" s="1"/>
  <c r="BA146" i="6"/>
  <c r="BB146" i="6" s="1"/>
  <c r="BA145" i="6"/>
  <c r="BB145" i="6" s="1"/>
  <c r="BA144" i="6"/>
  <c r="BB144" i="6" s="1"/>
  <c r="BA143" i="6"/>
  <c r="BB143" i="6" s="1"/>
  <c r="BA142" i="6"/>
  <c r="BB142" i="6" s="1"/>
  <c r="BA141" i="6"/>
  <c r="BB141" i="6" s="1"/>
  <c r="BA140" i="6"/>
  <c r="BB140" i="6" s="1"/>
  <c r="BA139" i="6"/>
  <c r="BB139" i="6" s="1"/>
  <c r="BA138" i="6"/>
  <c r="BB138" i="6" s="1"/>
  <c r="BA137" i="6"/>
  <c r="BB137" i="6" s="1"/>
  <c r="BH132" i="6"/>
  <c r="BG132" i="6"/>
  <c r="BF132" i="6"/>
  <c r="BE132" i="6"/>
  <c r="BD132" i="6"/>
  <c r="BC132" i="6"/>
  <c r="AZ132" i="6"/>
  <c r="BA130" i="6"/>
  <c r="BB130" i="6" s="1"/>
  <c r="BA129" i="6"/>
  <c r="BB129" i="6" s="1"/>
  <c r="BA128" i="6"/>
  <c r="BB128" i="6" s="1"/>
  <c r="BA127" i="6"/>
  <c r="BB127" i="6" s="1"/>
  <c r="BA126" i="6"/>
  <c r="BB126" i="6" s="1"/>
  <c r="BA125" i="6"/>
  <c r="BB125" i="6" s="1"/>
  <c r="BA124" i="6"/>
  <c r="BB124" i="6" s="1"/>
  <c r="BA121" i="6"/>
  <c r="BB121" i="6" s="1"/>
  <c r="BA120" i="6"/>
  <c r="BB120" i="6" s="1"/>
  <c r="BA119" i="6"/>
  <c r="BB119" i="6" s="1"/>
  <c r="BA118" i="6"/>
  <c r="BB118" i="6" s="1"/>
  <c r="BA117" i="6"/>
  <c r="BB117" i="6" s="1"/>
  <c r="BA116" i="6"/>
  <c r="BB116" i="6" s="1"/>
  <c r="BA115" i="6"/>
  <c r="BB115" i="6" s="1"/>
  <c r="BA114" i="6"/>
  <c r="BB114" i="6" s="1"/>
  <c r="BA113" i="6"/>
  <c r="BB113" i="6" s="1"/>
  <c r="BA112" i="6"/>
  <c r="BB112" i="6" s="1"/>
  <c r="BA111" i="6"/>
  <c r="BB111" i="6" s="1"/>
  <c r="BA110" i="6"/>
  <c r="BB110" i="6" s="1"/>
  <c r="BA109" i="6"/>
  <c r="BA108" i="6"/>
  <c r="BB108" i="6" s="1"/>
  <c r="BA107" i="6"/>
  <c r="BB107" i="6" s="1"/>
  <c r="BH104" i="6"/>
  <c r="BG104" i="6"/>
  <c r="BF104" i="6"/>
  <c r="BE104" i="6"/>
  <c r="BD104" i="6"/>
  <c r="BC104" i="6"/>
  <c r="AZ104" i="6"/>
  <c r="BA102" i="6"/>
  <c r="BB102" i="6" s="1"/>
  <c r="BA101" i="6"/>
  <c r="BB101" i="6" s="1"/>
  <c r="BA100" i="6"/>
  <c r="BB100" i="6" s="1"/>
  <c r="BA99" i="6"/>
  <c r="BB99" i="6" s="1"/>
  <c r="BA98" i="6"/>
  <c r="BB98" i="6" s="1"/>
  <c r="BA97" i="6"/>
  <c r="BB97" i="6" s="1"/>
  <c r="BA96" i="6"/>
  <c r="BB96" i="6" s="1"/>
  <c r="BA95" i="6"/>
  <c r="BB95" i="6" s="1"/>
  <c r="BA94" i="6"/>
  <c r="BB94" i="6" s="1"/>
  <c r="BH87" i="6"/>
  <c r="BG87" i="6"/>
  <c r="BF87" i="6"/>
  <c r="BE87" i="6"/>
  <c r="BD87" i="6"/>
  <c r="BC87" i="6"/>
  <c r="AZ87" i="6"/>
  <c r="BA85" i="6"/>
  <c r="BB85" i="6" s="1"/>
  <c r="BA84" i="6"/>
  <c r="BB84" i="6" s="1"/>
  <c r="BA83" i="6"/>
  <c r="BB83" i="6" s="1"/>
  <c r="BA82" i="6"/>
  <c r="BB82" i="6" s="1"/>
  <c r="BA81" i="6"/>
  <c r="BB81" i="6" s="1"/>
  <c r="BA80" i="6"/>
  <c r="BB80" i="6" s="1"/>
  <c r="BA79" i="6"/>
  <c r="BB79" i="6" s="1"/>
  <c r="BA78" i="6"/>
  <c r="BB78" i="6" s="1"/>
  <c r="BA77" i="6"/>
  <c r="BB77" i="6" s="1"/>
  <c r="BA76" i="6"/>
  <c r="BB76" i="6" s="1"/>
  <c r="BA75" i="6"/>
  <c r="BB75" i="6" s="1"/>
  <c r="BA74" i="6"/>
  <c r="BB74" i="6" s="1"/>
  <c r="BA73" i="6"/>
  <c r="BB73" i="6" s="1"/>
  <c r="BA72" i="6"/>
  <c r="BB72" i="6" s="1"/>
  <c r="BA71" i="6"/>
  <c r="BB71" i="6" s="1"/>
  <c r="BA70" i="6"/>
  <c r="BB70" i="6" s="1"/>
  <c r="BA69" i="6"/>
  <c r="BB69" i="6" s="1"/>
  <c r="BA68" i="6"/>
  <c r="BB68" i="6" s="1"/>
  <c r="BA67" i="6"/>
  <c r="BB67" i="6" s="1"/>
  <c r="BA66" i="6"/>
  <c r="BB66" i="6" s="1"/>
  <c r="BA65" i="6"/>
  <c r="BB65" i="6" s="1"/>
  <c r="BA64" i="6"/>
  <c r="BH61" i="6"/>
  <c r="BG61" i="6"/>
  <c r="BF61" i="6"/>
  <c r="BE61" i="6"/>
  <c r="BD61" i="6"/>
  <c r="BC61" i="6"/>
  <c r="AZ61" i="6"/>
  <c r="BA59" i="6"/>
  <c r="BB59" i="6" s="1"/>
  <c r="BA58" i="6"/>
  <c r="BB58" i="6" s="1"/>
  <c r="BA57" i="6"/>
  <c r="BB57" i="6" s="1"/>
  <c r="BA56" i="6"/>
  <c r="BB56" i="6" s="1"/>
  <c r="BA55" i="6"/>
  <c r="BB55" i="6" s="1"/>
  <c r="BA54" i="6"/>
  <c r="BB54" i="6" s="1"/>
  <c r="BA53" i="6"/>
  <c r="BB53" i="6" s="1"/>
  <c r="BA52" i="6"/>
  <c r="BB52" i="6" s="1"/>
  <c r="BB51" i="6"/>
  <c r="BA50" i="6"/>
  <c r="BB50" i="6" s="1"/>
  <c r="BA49" i="6"/>
  <c r="BB49" i="6" s="1"/>
  <c r="BA48" i="6"/>
  <c r="BB48" i="6" s="1"/>
  <c r="BA47" i="6"/>
  <c r="BB47" i="6" s="1"/>
  <c r="BA46" i="6"/>
  <c r="BB46" i="6" s="1"/>
  <c r="BA45" i="6"/>
  <c r="BB45" i="6" s="1"/>
  <c r="BA44" i="6"/>
  <c r="BB44" i="6" s="1"/>
  <c r="BA43" i="6"/>
  <c r="BB43" i="6" s="1"/>
  <c r="BA42" i="6"/>
  <c r="BB42" i="6" s="1"/>
  <c r="BA41" i="6"/>
  <c r="BB41" i="6" s="1"/>
  <c r="BA40" i="6"/>
  <c r="BB40" i="6" s="1"/>
  <c r="BA39" i="6"/>
  <c r="BB39" i="6" s="1"/>
  <c r="BA38" i="6"/>
  <c r="BB38" i="6" s="1"/>
  <c r="BA37" i="6"/>
  <c r="BB37" i="6" s="1"/>
  <c r="BA36" i="6"/>
  <c r="BB36" i="6" s="1"/>
  <c r="BA35" i="6"/>
  <c r="BH32" i="6"/>
  <c r="BG32" i="6"/>
  <c r="BF32" i="6"/>
  <c r="BE32" i="6"/>
  <c r="BD32" i="6"/>
  <c r="BC32" i="6"/>
  <c r="AZ32" i="6"/>
  <c r="BA30" i="6"/>
  <c r="BB30" i="6" s="1"/>
  <c r="BA29" i="6"/>
  <c r="BB29" i="6" s="1"/>
  <c r="BA28" i="6"/>
  <c r="BB28" i="6" s="1"/>
  <c r="BA27" i="6"/>
  <c r="BB27" i="6" s="1"/>
  <c r="BA23" i="6"/>
  <c r="BB23" i="6" s="1"/>
  <c r="BA22" i="6"/>
  <c r="BB22" i="6" s="1"/>
  <c r="BA21" i="6"/>
  <c r="BB21" i="6" s="1"/>
  <c r="BA20" i="6"/>
  <c r="BB20" i="6" s="1"/>
  <c r="BA19" i="6"/>
  <c r="BB19" i="6" s="1"/>
  <c r="BA18" i="6"/>
  <c r="BB18" i="6" s="1"/>
  <c r="BA17" i="6"/>
  <c r="BB17" i="6" s="1"/>
  <c r="BA16" i="6"/>
  <c r="BB16" i="6" s="1"/>
  <c r="BA15" i="6"/>
  <c r="BB15" i="6" s="1"/>
  <c r="BA14" i="6"/>
  <c r="BB14" i="6" s="1"/>
  <c r="BA13" i="6"/>
  <c r="BB13" i="6" s="1"/>
  <c r="BA12" i="6"/>
  <c r="BB12" i="6" s="1"/>
  <c r="BA11" i="6"/>
  <c r="AQ130" i="6"/>
  <c r="AR130" i="6" s="1"/>
  <c r="AQ129" i="6"/>
  <c r="AR129" i="6" s="1"/>
  <c r="AQ128" i="6"/>
  <c r="AR128" i="6" s="1"/>
  <c r="AQ127" i="6"/>
  <c r="AR127" i="6" s="1"/>
  <c r="AQ126" i="6"/>
  <c r="AR126" i="6" s="1"/>
  <c r="AQ125" i="6"/>
  <c r="AR125" i="6" s="1"/>
  <c r="AQ124" i="6"/>
  <c r="AR124" i="6" s="1"/>
  <c r="AQ102" i="6"/>
  <c r="AR102" i="6" s="1"/>
  <c r="AQ101" i="6"/>
  <c r="AR101" i="6" s="1"/>
  <c r="AQ100" i="6"/>
  <c r="AR100" i="6" s="1"/>
  <c r="AQ99" i="6"/>
  <c r="AR99" i="6" s="1"/>
  <c r="AQ98" i="6"/>
  <c r="AR98" i="6" s="1"/>
  <c r="AQ97" i="6"/>
  <c r="AR97" i="6" s="1"/>
  <c r="AQ85" i="6"/>
  <c r="AR85" i="6" s="1"/>
  <c r="AQ84" i="6"/>
  <c r="AR84" i="6" s="1"/>
  <c r="AQ83" i="6"/>
  <c r="AR83" i="6" s="1"/>
  <c r="AQ82" i="6"/>
  <c r="AR82" i="6" s="1"/>
  <c r="AQ81" i="6"/>
  <c r="AR81" i="6" s="1"/>
  <c r="AQ80" i="6"/>
  <c r="AR80" i="6" s="1"/>
  <c r="AQ79" i="6"/>
  <c r="AR79" i="6" s="1"/>
  <c r="AQ78" i="6"/>
  <c r="AR78" i="6" s="1"/>
  <c r="AQ59" i="6"/>
  <c r="AR59" i="6" s="1"/>
  <c r="AQ58" i="6"/>
  <c r="AR58" i="6" s="1"/>
  <c r="AQ57" i="6"/>
  <c r="AR57" i="6" s="1"/>
  <c r="AQ56" i="6"/>
  <c r="AR56" i="6" s="1"/>
  <c r="AQ55" i="6"/>
  <c r="AR55" i="6" s="1"/>
  <c r="AQ54" i="6"/>
  <c r="AR54" i="6" s="1"/>
  <c r="AQ53" i="6"/>
  <c r="AR53" i="6" s="1"/>
  <c r="AQ52" i="6"/>
  <c r="AR52" i="6" s="1"/>
  <c r="AQ51" i="6"/>
  <c r="AR51" i="6" s="1"/>
  <c r="AQ30" i="6"/>
  <c r="AR30" i="6" s="1"/>
  <c r="AQ29" i="6"/>
  <c r="AR29" i="6" s="1"/>
  <c r="AQ28" i="6"/>
  <c r="AR28" i="6" s="1"/>
  <c r="AQ27" i="6"/>
  <c r="AR27" i="6" s="1"/>
  <c r="AG30" i="6"/>
  <c r="AH30" i="6" s="1"/>
  <c r="AG29" i="6"/>
  <c r="AH29" i="6" s="1"/>
  <c r="AG28" i="6"/>
  <c r="AH28" i="6" s="1"/>
  <c r="AG27" i="6"/>
  <c r="AH27" i="6" s="1"/>
  <c r="W30" i="6"/>
  <c r="X30" i="6" s="1"/>
  <c r="W29" i="6"/>
  <c r="X29" i="6" s="1"/>
  <c r="W28" i="6"/>
  <c r="X28" i="6" s="1"/>
  <c r="W27" i="6"/>
  <c r="X27" i="6" s="1"/>
  <c r="AG59" i="6"/>
  <c r="AH59" i="6" s="1"/>
  <c r="AG58" i="6"/>
  <c r="AH58" i="6" s="1"/>
  <c r="AG57" i="6"/>
  <c r="AH57" i="6" s="1"/>
  <c r="AG56" i="6"/>
  <c r="AH56" i="6" s="1"/>
  <c r="AG55" i="6"/>
  <c r="AH55" i="6" s="1"/>
  <c r="AG54" i="6"/>
  <c r="AH54" i="6" s="1"/>
  <c r="AG53" i="6"/>
  <c r="AH53" i="6" s="1"/>
  <c r="AG52" i="6"/>
  <c r="AH52" i="6" s="1"/>
  <c r="AG51" i="6"/>
  <c r="AH51" i="6" s="1"/>
  <c r="W59" i="6"/>
  <c r="X59" i="6" s="1"/>
  <c r="W58" i="6"/>
  <c r="X58" i="6" s="1"/>
  <c r="W57" i="6"/>
  <c r="X57" i="6" s="1"/>
  <c r="W56" i="6"/>
  <c r="X56" i="6" s="1"/>
  <c r="W55" i="6"/>
  <c r="X55" i="6" s="1"/>
  <c r="W54" i="6"/>
  <c r="X54" i="6" s="1"/>
  <c r="W53" i="6"/>
  <c r="X53" i="6" s="1"/>
  <c r="W52" i="6"/>
  <c r="X52" i="6" s="1"/>
  <c r="W51" i="6"/>
  <c r="X51" i="6" s="1"/>
  <c r="AG85" i="6"/>
  <c r="AH85" i="6" s="1"/>
  <c r="AG84" i="6"/>
  <c r="AH84" i="6" s="1"/>
  <c r="AG83" i="6"/>
  <c r="AH83" i="6" s="1"/>
  <c r="AG82" i="6"/>
  <c r="AH82" i="6" s="1"/>
  <c r="AG81" i="6"/>
  <c r="AH81" i="6" s="1"/>
  <c r="AG80" i="6"/>
  <c r="AH80" i="6" s="1"/>
  <c r="AG79" i="6"/>
  <c r="AH79" i="6" s="1"/>
  <c r="AG78" i="6"/>
  <c r="AH78" i="6" s="1"/>
  <c r="AG77" i="6"/>
  <c r="AH77" i="6" s="1"/>
  <c r="AG76" i="6"/>
  <c r="AH76" i="6" s="1"/>
  <c r="W85" i="6"/>
  <c r="X85" i="6" s="1"/>
  <c r="W84" i="6"/>
  <c r="X84" i="6" s="1"/>
  <c r="W83" i="6"/>
  <c r="X83" i="6" s="1"/>
  <c r="W82" i="6"/>
  <c r="X82" i="6" s="1"/>
  <c r="W81" i="6"/>
  <c r="X81" i="6" s="1"/>
  <c r="W80" i="6"/>
  <c r="X80" i="6" s="1"/>
  <c r="W79" i="6"/>
  <c r="X79" i="6" s="1"/>
  <c r="W78" i="6"/>
  <c r="X78" i="6" s="1"/>
  <c r="W77" i="6"/>
  <c r="X77" i="6" s="1"/>
  <c r="W76" i="6"/>
  <c r="X76" i="6" s="1"/>
  <c r="AG102" i="6"/>
  <c r="AH102" i="6" s="1"/>
  <c r="AG101" i="6"/>
  <c r="AH101" i="6" s="1"/>
  <c r="AG100" i="6"/>
  <c r="AH100" i="6" s="1"/>
  <c r="AG99" i="6"/>
  <c r="AH99" i="6" s="1"/>
  <c r="AG98" i="6"/>
  <c r="AH98" i="6" s="1"/>
  <c r="AG97" i="6"/>
  <c r="AH97" i="6" s="1"/>
  <c r="W102" i="6"/>
  <c r="X102" i="6" s="1"/>
  <c r="W101" i="6"/>
  <c r="X101" i="6" s="1"/>
  <c r="W100" i="6"/>
  <c r="X100" i="6" s="1"/>
  <c r="W99" i="6"/>
  <c r="X99" i="6" s="1"/>
  <c r="W98" i="6"/>
  <c r="X98" i="6" s="1"/>
  <c r="W97" i="6"/>
  <c r="X97" i="6" s="1"/>
  <c r="AG130" i="6"/>
  <c r="AH130" i="6" s="1"/>
  <c r="AG129" i="6"/>
  <c r="AH129" i="6" s="1"/>
  <c r="AG128" i="6"/>
  <c r="AH128" i="6" s="1"/>
  <c r="AG127" i="6"/>
  <c r="AH127" i="6" s="1"/>
  <c r="AG126" i="6"/>
  <c r="AH126" i="6" s="1"/>
  <c r="AG125" i="6"/>
  <c r="AH125" i="6" s="1"/>
  <c r="AG124" i="6"/>
  <c r="AH124" i="6" s="1"/>
  <c r="AG121" i="6"/>
  <c r="AH121" i="6" s="1"/>
  <c r="W130" i="6"/>
  <c r="X130" i="6" s="1"/>
  <c r="W129" i="6"/>
  <c r="X129" i="6" s="1"/>
  <c r="W128" i="6"/>
  <c r="X128" i="6" s="1"/>
  <c r="W127" i="6"/>
  <c r="X127" i="6" s="1"/>
  <c r="W126" i="6"/>
  <c r="X126" i="6" s="1"/>
  <c r="W125" i="6"/>
  <c r="X125" i="6" s="1"/>
  <c r="W124" i="6"/>
  <c r="X124" i="6" s="1"/>
  <c r="W121" i="6"/>
  <c r="X121" i="6" s="1"/>
  <c r="W142" i="6"/>
  <c r="X142" i="6" s="1"/>
  <c r="W143" i="6"/>
  <c r="X143" i="6" s="1"/>
  <c r="W144" i="6"/>
  <c r="X144" i="6" s="1"/>
  <c r="W145" i="6"/>
  <c r="X145" i="6" s="1"/>
  <c r="W146" i="6"/>
  <c r="X146" i="6" s="1"/>
  <c r="W147" i="6"/>
  <c r="X147" i="6" s="1"/>
  <c r="W148" i="6"/>
  <c r="X148" i="6" s="1"/>
  <c r="W149" i="6"/>
  <c r="X149" i="6" s="1"/>
  <c r="AG142" i="6"/>
  <c r="AH142" i="6" s="1"/>
  <c r="AG143" i="6"/>
  <c r="AH143" i="6" s="1"/>
  <c r="AG144" i="6"/>
  <c r="AH144" i="6" s="1"/>
  <c r="AG145" i="6"/>
  <c r="AH145" i="6" s="1"/>
  <c r="AG146" i="6"/>
  <c r="AH146" i="6" s="1"/>
  <c r="AG147" i="6"/>
  <c r="AH147" i="6" s="1"/>
  <c r="AG148" i="6"/>
  <c r="AH148" i="6" s="1"/>
  <c r="AG149" i="6"/>
  <c r="AH149" i="6" s="1"/>
  <c r="AG150" i="6"/>
  <c r="AH150" i="6" s="1"/>
  <c r="AQ142" i="6"/>
  <c r="AR142" i="6" s="1"/>
  <c r="AQ143" i="6"/>
  <c r="AR143" i="6" s="1"/>
  <c r="AQ144" i="6"/>
  <c r="AR144" i="6" s="1"/>
  <c r="AQ145" i="6"/>
  <c r="AR145" i="6" s="1"/>
  <c r="AQ146" i="6"/>
  <c r="AR146" i="6" s="1"/>
  <c r="AQ147" i="6"/>
  <c r="AR147" i="6" s="1"/>
  <c r="AQ148" i="6"/>
  <c r="AR148" i="6" s="1"/>
  <c r="AQ149" i="6"/>
  <c r="AR149" i="6" s="1"/>
  <c r="M30" i="6"/>
  <c r="N30" i="6" s="1"/>
  <c r="C30" i="6"/>
  <c r="D30" i="6" s="1"/>
  <c r="M29" i="6"/>
  <c r="N29" i="6" s="1"/>
  <c r="C29" i="6"/>
  <c r="D29" i="6" s="1"/>
  <c r="M28" i="6"/>
  <c r="N28" i="6" s="1"/>
  <c r="C28" i="6"/>
  <c r="D28" i="6" s="1"/>
  <c r="M27" i="6"/>
  <c r="N27" i="6" s="1"/>
  <c r="C27" i="6"/>
  <c r="D27" i="6" s="1"/>
  <c r="M59" i="6"/>
  <c r="N59" i="6" s="1"/>
  <c r="C59" i="6"/>
  <c r="D59" i="6" s="1"/>
  <c r="M58" i="6"/>
  <c r="N58" i="6" s="1"/>
  <c r="C58" i="6"/>
  <c r="D58" i="6" s="1"/>
  <c r="M57" i="6"/>
  <c r="N57" i="6" s="1"/>
  <c r="C57" i="6"/>
  <c r="D57" i="6" s="1"/>
  <c r="M56" i="6"/>
  <c r="N56" i="6" s="1"/>
  <c r="C56" i="6"/>
  <c r="D56" i="6" s="1"/>
  <c r="M55" i="6"/>
  <c r="N55" i="6" s="1"/>
  <c r="C55" i="6"/>
  <c r="D55" i="6" s="1"/>
  <c r="M54" i="6"/>
  <c r="N54" i="6" s="1"/>
  <c r="C54" i="6"/>
  <c r="D54" i="6" s="1"/>
  <c r="M53" i="6"/>
  <c r="N53" i="6" s="1"/>
  <c r="C53" i="6"/>
  <c r="D53" i="6" s="1"/>
  <c r="M52" i="6"/>
  <c r="N52" i="6" s="1"/>
  <c r="C52" i="6"/>
  <c r="D52" i="6" s="1"/>
  <c r="M51" i="6"/>
  <c r="N51" i="6" s="1"/>
  <c r="C51" i="6"/>
  <c r="D51" i="6" s="1"/>
  <c r="M84" i="6"/>
  <c r="N84" i="6" s="1"/>
  <c r="C84" i="6"/>
  <c r="D84" i="6" s="1"/>
  <c r="M83" i="6"/>
  <c r="N83" i="6" s="1"/>
  <c r="C83" i="6"/>
  <c r="D83" i="6" s="1"/>
  <c r="M82" i="6"/>
  <c r="N82" i="6" s="1"/>
  <c r="C82" i="6"/>
  <c r="D82" i="6" s="1"/>
  <c r="M81" i="6"/>
  <c r="N81" i="6" s="1"/>
  <c r="C81" i="6"/>
  <c r="D81" i="6" s="1"/>
  <c r="M80" i="6"/>
  <c r="N80" i="6" s="1"/>
  <c r="C80" i="6"/>
  <c r="D80" i="6" s="1"/>
  <c r="M79" i="6"/>
  <c r="N79" i="6" s="1"/>
  <c r="C79" i="6"/>
  <c r="D79" i="6" s="1"/>
  <c r="M78" i="6"/>
  <c r="N78" i="6" s="1"/>
  <c r="C78" i="6"/>
  <c r="D78" i="6" s="1"/>
  <c r="M101" i="6"/>
  <c r="N101" i="6" s="1"/>
  <c r="C101" i="6"/>
  <c r="D101" i="6" s="1"/>
  <c r="M100" i="6"/>
  <c r="N100" i="6" s="1"/>
  <c r="C100" i="6"/>
  <c r="D100" i="6" s="1"/>
  <c r="M99" i="6"/>
  <c r="N99" i="6" s="1"/>
  <c r="C99" i="6"/>
  <c r="D99" i="6" s="1"/>
  <c r="M98" i="6"/>
  <c r="N98" i="6" s="1"/>
  <c r="C98" i="6"/>
  <c r="D98" i="6" s="1"/>
  <c r="M97" i="6"/>
  <c r="N97" i="6" s="1"/>
  <c r="C97" i="6"/>
  <c r="D97" i="6" s="1"/>
  <c r="M130" i="6"/>
  <c r="N130" i="6" s="1"/>
  <c r="C130" i="6"/>
  <c r="D130" i="6" s="1"/>
  <c r="M129" i="6"/>
  <c r="N129" i="6" s="1"/>
  <c r="C129" i="6"/>
  <c r="D129" i="6" s="1"/>
  <c r="M128" i="6"/>
  <c r="N128" i="6" s="1"/>
  <c r="C128" i="6"/>
  <c r="D128" i="6" s="1"/>
  <c r="M127" i="6"/>
  <c r="N127" i="6" s="1"/>
  <c r="C127" i="6"/>
  <c r="D127" i="6" s="1"/>
  <c r="M126" i="6"/>
  <c r="N126" i="6" s="1"/>
  <c r="C126" i="6"/>
  <c r="D126" i="6" s="1"/>
  <c r="M125" i="6"/>
  <c r="N125" i="6" s="1"/>
  <c r="C125" i="6"/>
  <c r="D125" i="6" s="1"/>
  <c r="M124" i="6"/>
  <c r="N124" i="6" s="1"/>
  <c r="C124" i="6"/>
  <c r="D124" i="6" s="1"/>
  <c r="M148" i="6"/>
  <c r="N148" i="6" s="1"/>
  <c r="C148" i="6"/>
  <c r="D148" i="6" s="1"/>
  <c r="M147" i="6"/>
  <c r="N147" i="6" s="1"/>
  <c r="C147" i="6"/>
  <c r="D147" i="6" s="1"/>
  <c r="M146" i="6"/>
  <c r="N146" i="6" s="1"/>
  <c r="C146" i="6"/>
  <c r="D146" i="6" s="1"/>
  <c r="M145" i="6"/>
  <c r="N145" i="6" s="1"/>
  <c r="C145" i="6"/>
  <c r="D145" i="6" s="1"/>
  <c r="M144" i="6"/>
  <c r="N144" i="6" s="1"/>
  <c r="C144" i="6"/>
  <c r="D144" i="6" s="1"/>
  <c r="M143" i="6"/>
  <c r="N143" i="6" s="1"/>
  <c r="C143" i="6"/>
  <c r="D143" i="6" s="1"/>
  <c r="M142" i="6"/>
  <c r="N142" i="6" s="1"/>
  <c r="C142" i="6"/>
  <c r="D142" i="6" s="1"/>
  <c r="BE89" i="6" l="1"/>
  <c r="BF89" i="6"/>
  <c r="BG89" i="6"/>
  <c r="BC134" i="6"/>
  <c r="BC89" i="6"/>
  <c r="BH89" i="6"/>
  <c r="AZ134" i="6"/>
  <c r="BA32" i="6"/>
  <c r="BD89" i="6"/>
  <c r="BG134" i="6"/>
  <c r="BF134" i="6"/>
  <c r="L163" i="6"/>
  <c r="BH134" i="6"/>
  <c r="BA151" i="6"/>
  <c r="BB151" i="6" s="1"/>
  <c r="BI151" i="6"/>
  <c r="BD134" i="6"/>
  <c r="BI132" i="6"/>
  <c r="BA132" i="6"/>
  <c r="BB132" i="6" s="1"/>
  <c r="BI104" i="6"/>
  <c r="BE134" i="6"/>
  <c r="BA87" i="6"/>
  <c r="BB87" i="6" s="1"/>
  <c r="BB64" i="6"/>
  <c r="BI87" i="6"/>
  <c r="BA61" i="6"/>
  <c r="BB61" i="6" s="1"/>
  <c r="BB35" i="6"/>
  <c r="BI61" i="6"/>
  <c r="AZ89" i="6"/>
  <c r="BI32" i="6"/>
  <c r="BB11" i="6"/>
  <c r="BA104" i="6"/>
  <c r="BB104" i="6" s="1"/>
  <c r="BB109" i="6"/>
  <c r="BE153" i="6" l="1"/>
  <c r="BF153" i="6"/>
  <c r="BC153" i="6"/>
  <c r="AZ167" i="6" s="1"/>
  <c r="BG153" i="6"/>
  <c r="BD153" i="6"/>
  <c r="BH153" i="6"/>
  <c r="AZ162" i="6" s="1"/>
  <c r="AZ153" i="6"/>
  <c r="BA89" i="6"/>
  <c r="BB89" i="6" s="1"/>
  <c r="BB32" i="6"/>
  <c r="BI134" i="6"/>
  <c r="AP163" i="6"/>
  <c r="V163" i="6"/>
  <c r="AF163" i="6"/>
  <c r="BI89" i="6"/>
  <c r="BA134" i="6"/>
  <c r="BI153" i="6" l="1"/>
  <c r="AZ163" i="6" s="1"/>
  <c r="AZ164" i="6" s="1"/>
  <c r="BB134" i="6"/>
  <c r="BA153" i="6"/>
  <c r="AZ161" i="6" l="1"/>
  <c r="AZ165" i="6" s="1"/>
  <c r="BB153" i="6"/>
  <c r="AZ168" i="6"/>
  <c r="AZ173" i="6" l="1"/>
  <c r="AZ172" i="6"/>
  <c r="AZ171" i="6"/>
  <c r="AZ174" i="6"/>
  <c r="AZ169" i="6"/>
  <c r="AZ170" i="6"/>
  <c r="K70" i="8" l="1"/>
  <c r="K10" i="8"/>
  <c r="K12" i="8" s="1"/>
  <c r="K54" i="8" l="1"/>
  <c r="BF19" i="1"/>
  <c r="BF18" i="1"/>
  <c r="BF16" i="1"/>
  <c r="BF12" i="1"/>
  <c r="BF8" i="1"/>
  <c r="BA19" i="1"/>
  <c r="BA18" i="1"/>
  <c r="BA16" i="1"/>
  <c r="BA12" i="1"/>
  <c r="BA8" i="1"/>
  <c r="AV19" i="1"/>
  <c r="AV18" i="1"/>
  <c r="AV16" i="1"/>
  <c r="AV12" i="1"/>
  <c r="AV8" i="1"/>
  <c r="AQ19" i="1"/>
  <c r="AQ18" i="1"/>
  <c r="AQ16" i="1"/>
  <c r="AQ12" i="1"/>
  <c r="AQ8" i="1"/>
  <c r="AL19" i="1"/>
  <c r="AL18" i="1"/>
  <c r="AL16" i="1"/>
  <c r="AL12" i="1"/>
  <c r="AL8" i="1"/>
  <c r="AG19" i="1"/>
  <c r="AG18" i="1"/>
  <c r="AG16" i="1"/>
  <c r="AG12" i="1"/>
  <c r="AG8" i="1"/>
  <c r="AB19" i="1"/>
  <c r="AB18" i="1"/>
  <c r="AB16" i="1"/>
  <c r="AB12" i="1"/>
  <c r="AB8" i="1"/>
  <c r="W19" i="1"/>
  <c r="W18" i="1"/>
  <c r="W16" i="1"/>
  <c r="W12" i="1"/>
  <c r="W8" i="1"/>
  <c r="R19" i="1"/>
  <c r="R18" i="1"/>
  <c r="R16" i="1"/>
  <c r="R12" i="1"/>
  <c r="R8" i="1"/>
  <c r="M19" i="1"/>
  <c r="M18" i="1"/>
  <c r="M16" i="1"/>
  <c r="M12" i="1"/>
  <c r="M8" i="1"/>
  <c r="H19" i="1"/>
  <c r="H18" i="1"/>
  <c r="H16" i="1"/>
  <c r="H12" i="1"/>
  <c r="H8" i="1"/>
  <c r="AK26" i="5"/>
  <c r="AJ26" i="5"/>
  <c r="AI26" i="5"/>
  <c r="AH26" i="5"/>
  <c r="AG26" i="5"/>
  <c r="AF26" i="5"/>
  <c r="AE26" i="5"/>
  <c r="AD26" i="5"/>
  <c r="AC26" i="5"/>
  <c r="AB26" i="5"/>
  <c r="BA20" i="1" l="1"/>
  <c r="AV20" i="1"/>
  <c r="AQ20" i="1"/>
  <c r="AL20" i="1"/>
  <c r="AG20" i="1"/>
  <c r="AB20" i="1"/>
  <c r="M20" i="1"/>
  <c r="BF20" i="1"/>
  <c r="W20" i="1"/>
  <c r="R20" i="1"/>
  <c r="H20" i="1"/>
  <c r="H61" i="8" l="1"/>
  <c r="AQ121" i="6" l="1"/>
  <c r="AR121" i="6" s="1"/>
  <c r="AP87" i="6" l="1"/>
  <c r="AQ75" i="6" l="1"/>
  <c r="AR75" i="6" s="1"/>
  <c r="AQ76" i="6"/>
  <c r="AR76" i="6" s="1"/>
  <c r="AQ77" i="6"/>
  <c r="AR77" i="6" s="1"/>
  <c r="J10" i="8" l="1"/>
  <c r="J12" i="8" s="1"/>
  <c r="J70" i="8"/>
  <c r="J52" i="8"/>
  <c r="J32" i="8"/>
  <c r="AP160" i="6"/>
  <c r="AP158" i="6"/>
  <c r="AP154" i="6"/>
  <c r="AQ154" i="6" s="1"/>
  <c r="AX151" i="6"/>
  <c r="AW151" i="6"/>
  <c r="AV151" i="6"/>
  <c r="AU151" i="6"/>
  <c r="AT151" i="6"/>
  <c r="AS151" i="6"/>
  <c r="AP151" i="6"/>
  <c r="AQ141" i="6"/>
  <c r="AR141" i="6" s="1"/>
  <c r="AQ140" i="6"/>
  <c r="AR140" i="6" s="1"/>
  <c r="AQ139" i="6"/>
  <c r="AR139" i="6" s="1"/>
  <c r="AQ138" i="6"/>
  <c r="AR138" i="6" s="1"/>
  <c r="AQ137" i="6"/>
  <c r="AX132" i="6"/>
  <c r="AW132" i="6"/>
  <c r="AV132" i="6"/>
  <c r="AU132" i="6"/>
  <c r="AT132" i="6"/>
  <c r="AS132" i="6"/>
  <c r="AP132" i="6"/>
  <c r="AQ120" i="6"/>
  <c r="AR120" i="6" s="1"/>
  <c r="AQ119" i="6"/>
  <c r="AR119" i="6" s="1"/>
  <c r="AQ118" i="6"/>
  <c r="AR118" i="6" s="1"/>
  <c r="AQ117" i="6"/>
  <c r="AR117" i="6" s="1"/>
  <c r="AQ116" i="6"/>
  <c r="AR116" i="6" s="1"/>
  <c r="AQ115" i="6"/>
  <c r="AR115" i="6" s="1"/>
  <c r="AQ114" i="6"/>
  <c r="AR114" i="6" s="1"/>
  <c r="AQ113" i="6"/>
  <c r="AR113" i="6" s="1"/>
  <c r="AQ112" i="6"/>
  <c r="AR112" i="6" s="1"/>
  <c r="AQ111" i="6"/>
  <c r="AR111" i="6" s="1"/>
  <c r="AQ110" i="6"/>
  <c r="AR110" i="6" s="1"/>
  <c r="AQ109" i="6"/>
  <c r="AR109" i="6" s="1"/>
  <c r="AQ108" i="6"/>
  <c r="AR108" i="6" s="1"/>
  <c r="AQ107" i="6"/>
  <c r="AX104" i="6"/>
  <c r="AW104" i="6"/>
  <c r="AV104" i="6"/>
  <c r="AU104" i="6"/>
  <c r="AT104" i="6"/>
  <c r="AS104" i="6"/>
  <c r="AP104" i="6"/>
  <c r="AQ96" i="6"/>
  <c r="AR96" i="6" s="1"/>
  <c r="AQ95" i="6"/>
  <c r="AR95" i="6" s="1"/>
  <c r="AQ94" i="6"/>
  <c r="AR94" i="6" s="1"/>
  <c r="AX87" i="6"/>
  <c r="AW87" i="6"/>
  <c r="AV87" i="6"/>
  <c r="AU87" i="6"/>
  <c r="AT87" i="6"/>
  <c r="AS87" i="6"/>
  <c r="AQ74" i="6"/>
  <c r="AR74" i="6" s="1"/>
  <c r="AQ73" i="6"/>
  <c r="AR73" i="6" s="1"/>
  <c r="AQ72" i="6"/>
  <c r="AR72" i="6" s="1"/>
  <c r="AQ71" i="6"/>
  <c r="AR71" i="6" s="1"/>
  <c r="AQ70" i="6"/>
  <c r="AR70" i="6" s="1"/>
  <c r="AQ69" i="6"/>
  <c r="AR69" i="6" s="1"/>
  <c r="AQ68" i="6"/>
  <c r="AR68" i="6" s="1"/>
  <c r="AQ67" i="6"/>
  <c r="AR67" i="6" s="1"/>
  <c r="AQ66" i="6"/>
  <c r="AR66" i="6" s="1"/>
  <c r="AQ65" i="6"/>
  <c r="AR65" i="6" s="1"/>
  <c r="AQ64" i="6"/>
  <c r="AX61" i="6"/>
  <c r="AW61" i="6"/>
  <c r="AV61" i="6"/>
  <c r="AU61" i="6"/>
  <c r="AT61" i="6"/>
  <c r="AS61" i="6"/>
  <c r="AP61" i="6"/>
  <c r="AQ50" i="6"/>
  <c r="AR50" i="6" s="1"/>
  <c r="AQ49" i="6"/>
  <c r="AR49" i="6" s="1"/>
  <c r="AQ48" i="6"/>
  <c r="AR48" i="6" s="1"/>
  <c r="AQ47" i="6"/>
  <c r="AR47" i="6" s="1"/>
  <c r="AQ46" i="6"/>
  <c r="AR46" i="6" s="1"/>
  <c r="AQ45" i="6"/>
  <c r="AR45" i="6" s="1"/>
  <c r="AQ44" i="6"/>
  <c r="AR44" i="6" s="1"/>
  <c r="AQ43" i="6"/>
  <c r="AR43" i="6" s="1"/>
  <c r="AQ42" i="6"/>
  <c r="AR42" i="6" s="1"/>
  <c r="AQ41" i="6"/>
  <c r="AR41" i="6" s="1"/>
  <c r="AQ40" i="6"/>
  <c r="AR40" i="6" s="1"/>
  <c r="AQ39" i="6"/>
  <c r="AR39" i="6" s="1"/>
  <c r="AQ38" i="6"/>
  <c r="AR38" i="6" s="1"/>
  <c r="AQ37" i="6"/>
  <c r="AR37" i="6" s="1"/>
  <c r="AQ36" i="6"/>
  <c r="AR36" i="6" s="1"/>
  <c r="AQ35" i="6"/>
  <c r="AX32" i="6"/>
  <c r="AW32" i="6"/>
  <c r="AV32" i="6"/>
  <c r="AU32" i="6"/>
  <c r="AT32" i="6"/>
  <c r="AS32" i="6"/>
  <c r="AP32" i="6"/>
  <c r="AQ23" i="6"/>
  <c r="AR23" i="6" s="1"/>
  <c r="AQ22" i="6"/>
  <c r="AR22" i="6" s="1"/>
  <c r="AQ21" i="6"/>
  <c r="AR21" i="6" s="1"/>
  <c r="AQ20" i="6"/>
  <c r="AR20" i="6" s="1"/>
  <c r="AQ19" i="6"/>
  <c r="AR19" i="6" s="1"/>
  <c r="AQ18" i="6"/>
  <c r="AR18" i="6" s="1"/>
  <c r="AQ17" i="6"/>
  <c r="AR17" i="6" s="1"/>
  <c r="AQ16" i="6"/>
  <c r="AR16" i="6" s="1"/>
  <c r="AQ15" i="6"/>
  <c r="AR15" i="6" s="1"/>
  <c r="AQ14" i="6"/>
  <c r="AR14" i="6" s="1"/>
  <c r="AQ13" i="6"/>
  <c r="AR13" i="6" s="1"/>
  <c r="AQ12" i="6"/>
  <c r="AR12" i="6" s="1"/>
  <c r="AQ11" i="6"/>
  <c r="AS134" i="6" l="1"/>
  <c r="AQ87" i="6"/>
  <c r="AR87" i="6" s="1"/>
  <c r="AU134" i="6"/>
  <c r="AQ104" i="6"/>
  <c r="AR104" i="6" s="1"/>
  <c r="AT89" i="6"/>
  <c r="AW134" i="6"/>
  <c r="AX89" i="6"/>
  <c r="AR64" i="6"/>
  <c r="AP134" i="6"/>
  <c r="AW89" i="6"/>
  <c r="AS89" i="6"/>
  <c r="AQ151" i="6"/>
  <c r="AR151" i="6" s="1"/>
  <c r="AQ32" i="6"/>
  <c r="AR32" i="6" s="1"/>
  <c r="J54" i="8"/>
  <c r="AR11" i="6"/>
  <c r="AV89" i="6"/>
  <c r="AP89" i="6"/>
  <c r="AU89" i="6"/>
  <c r="AQ61" i="6"/>
  <c r="AR61" i="6" s="1"/>
  <c r="AV134" i="6"/>
  <c r="AT134" i="6"/>
  <c r="AX134" i="6"/>
  <c r="AQ132" i="6"/>
  <c r="AR35" i="6"/>
  <c r="AR137" i="6"/>
  <c r="AR107" i="6"/>
  <c r="AG22" i="6"/>
  <c r="AH22" i="6" s="1"/>
  <c r="W22" i="6"/>
  <c r="X22" i="6" s="1"/>
  <c r="M22" i="6"/>
  <c r="N22" i="6" s="1"/>
  <c r="C22" i="6"/>
  <c r="D22" i="6" s="1"/>
  <c r="AS153" i="6" l="1"/>
  <c r="AP164" i="6" s="1"/>
  <c r="AU153" i="6"/>
  <c r="AW153" i="6"/>
  <c r="AQ134" i="6"/>
  <c r="AR134" i="6" s="1"/>
  <c r="AR132" i="6"/>
  <c r="AX153" i="6"/>
  <c r="AP162" i="6" s="1"/>
  <c r="AP153" i="6"/>
  <c r="AT153" i="6"/>
  <c r="AV153" i="6"/>
  <c r="AQ89" i="6"/>
  <c r="AR89" i="6" s="1"/>
  <c r="G32" i="8"/>
  <c r="H10" i="8"/>
  <c r="H12" i="8" s="1"/>
  <c r="H32" i="8"/>
  <c r="H52" i="8"/>
  <c r="H70" i="8"/>
  <c r="H54" i="8" l="1"/>
  <c r="AQ153" i="6"/>
  <c r="AP161" i="6" s="1"/>
  <c r="AR153" i="6" l="1"/>
  <c r="AP168" i="6"/>
  <c r="AP173" i="6"/>
  <c r="AP172" i="6"/>
  <c r="AP171" i="6"/>
  <c r="AP174" i="6"/>
  <c r="AP169" i="6"/>
  <c r="AP170" i="6"/>
  <c r="AP165" i="6"/>
  <c r="I70" i="8"/>
  <c r="I52" i="8"/>
  <c r="I32" i="8"/>
  <c r="I10" i="8"/>
  <c r="I12" i="8" s="1"/>
  <c r="I54" i="8" l="1"/>
  <c r="M149" i="6"/>
  <c r="N149" i="6" s="1"/>
  <c r="M102" i="6"/>
  <c r="N102" i="6" s="1"/>
  <c r="M85" i="6"/>
  <c r="N85" i="6" s="1"/>
  <c r="AG49" i="6"/>
  <c r="AH49" i="6" s="1"/>
  <c r="W49" i="6"/>
  <c r="X49" i="6" s="1"/>
  <c r="M49" i="6"/>
  <c r="N49" i="6" s="1"/>
  <c r="C49" i="6"/>
  <c r="D49" i="6" s="1"/>
  <c r="C50" i="6"/>
  <c r="D50" i="6" s="1"/>
  <c r="M50" i="6"/>
  <c r="N50" i="6" s="1"/>
  <c r="W50" i="6"/>
  <c r="X50" i="6" s="1"/>
  <c r="AG50" i="6"/>
  <c r="AH50" i="6" s="1"/>
  <c r="M48" i="6"/>
  <c r="N48" i="6" s="1"/>
  <c r="C48" i="6"/>
  <c r="D48" i="6" s="1"/>
  <c r="M23" i="6"/>
  <c r="N23" i="6" s="1"/>
  <c r="C23" i="6"/>
  <c r="D23" i="6" s="1"/>
  <c r="AG23" i="6"/>
  <c r="AH23" i="6" s="1"/>
  <c r="W23" i="6"/>
  <c r="X23" i="6" s="1"/>
  <c r="AG141" i="6"/>
  <c r="AH141" i="6" s="1"/>
  <c r="AG140" i="6"/>
  <c r="AH140" i="6" s="1"/>
  <c r="AG139" i="6"/>
  <c r="AH139" i="6" s="1"/>
  <c r="AG138" i="6"/>
  <c r="AH138" i="6" s="1"/>
  <c r="AG137" i="6"/>
  <c r="AH137" i="6" s="1"/>
  <c r="AG120" i="6"/>
  <c r="AH120" i="6" s="1"/>
  <c r="AG119" i="6"/>
  <c r="AH119" i="6" s="1"/>
  <c r="AG118" i="6"/>
  <c r="AH118" i="6" s="1"/>
  <c r="AG117" i="6"/>
  <c r="AH117" i="6" s="1"/>
  <c r="AG116" i="6"/>
  <c r="AH116" i="6" s="1"/>
  <c r="AG115" i="6"/>
  <c r="AH115" i="6" s="1"/>
  <c r="AG114" i="6"/>
  <c r="AH114" i="6" s="1"/>
  <c r="AG113" i="6"/>
  <c r="AH113" i="6" s="1"/>
  <c r="AG112" i="6"/>
  <c r="AH112" i="6" s="1"/>
  <c r="AG111" i="6"/>
  <c r="AH111" i="6" s="1"/>
  <c r="AG110" i="6"/>
  <c r="AH110" i="6" s="1"/>
  <c r="AG109" i="6"/>
  <c r="AH109" i="6" s="1"/>
  <c r="AG108" i="6"/>
  <c r="AH108" i="6" s="1"/>
  <c r="AG107" i="6"/>
  <c r="AH107" i="6" s="1"/>
  <c r="AG96" i="6"/>
  <c r="AH96" i="6" s="1"/>
  <c r="AG95" i="6"/>
  <c r="AH95" i="6" s="1"/>
  <c r="AG94" i="6"/>
  <c r="AH94" i="6" s="1"/>
  <c r="AG75" i="6"/>
  <c r="AH75" i="6" s="1"/>
  <c r="AG74" i="6"/>
  <c r="AH74" i="6" s="1"/>
  <c r="AG73" i="6"/>
  <c r="AH73" i="6" s="1"/>
  <c r="AG72" i="6"/>
  <c r="AH72" i="6" s="1"/>
  <c r="AG71" i="6"/>
  <c r="AH71" i="6" s="1"/>
  <c r="AG70" i="6"/>
  <c r="AH70" i="6" s="1"/>
  <c r="AG69" i="6"/>
  <c r="AH69" i="6" s="1"/>
  <c r="AG68" i="6"/>
  <c r="AH68" i="6" s="1"/>
  <c r="AG67" i="6"/>
  <c r="AH67" i="6" s="1"/>
  <c r="AG66" i="6"/>
  <c r="AH66" i="6" s="1"/>
  <c r="AG65" i="6"/>
  <c r="AH65" i="6" s="1"/>
  <c r="AG64" i="6"/>
  <c r="AH64" i="6" s="1"/>
  <c r="AG48" i="6"/>
  <c r="AH48" i="6" s="1"/>
  <c r="AG47" i="6"/>
  <c r="AH47" i="6" s="1"/>
  <c r="AG46" i="6"/>
  <c r="AH46" i="6" s="1"/>
  <c r="AG45" i="6"/>
  <c r="AH45" i="6" s="1"/>
  <c r="AG44" i="6"/>
  <c r="AH44" i="6" s="1"/>
  <c r="AG43" i="6"/>
  <c r="AH43" i="6" s="1"/>
  <c r="AG42" i="6"/>
  <c r="AH42" i="6" s="1"/>
  <c r="AG41" i="6"/>
  <c r="AH41" i="6" s="1"/>
  <c r="AG40" i="6"/>
  <c r="AH40" i="6" s="1"/>
  <c r="AG39" i="6"/>
  <c r="AH39" i="6" s="1"/>
  <c r="AG38" i="6"/>
  <c r="AH38" i="6" s="1"/>
  <c r="AG37" i="6"/>
  <c r="AH37" i="6" s="1"/>
  <c r="AG36" i="6"/>
  <c r="AH36" i="6" s="1"/>
  <c r="AG35" i="6"/>
  <c r="AH35" i="6" s="1"/>
  <c r="AG21" i="6"/>
  <c r="AH21" i="6" s="1"/>
  <c r="AG20" i="6"/>
  <c r="AH20" i="6" s="1"/>
  <c r="AG19" i="6"/>
  <c r="AH19" i="6" s="1"/>
  <c r="AG18" i="6"/>
  <c r="AH18" i="6" s="1"/>
  <c r="AG17" i="6"/>
  <c r="AH17" i="6" s="1"/>
  <c r="AG16" i="6"/>
  <c r="AH16" i="6" s="1"/>
  <c r="AG15" i="6"/>
  <c r="AH15" i="6" s="1"/>
  <c r="AG14" i="6"/>
  <c r="AH14" i="6" s="1"/>
  <c r="AG13" i="6"/>
  <c r="AH13" i="6" s="1"/>
  <c r="AG12" i="6"/>
  <c r="AH12" i="6" s="1"/>
  <c r="AG11" i="6"/>
  <c r="W138" i="6"/>
  <c r="X138" i="6" s="1"/>
  <c r="W139" i="6"/>
  <c r="X139" i="6" s="1"/>
  <c r="W140" i="6"/>
  <c r="X140" i="6" s="1"/>
  <c r="W141" i="6"/>
  <c r="X141" i="6" s="1"/>
  <c r="W108" i="6"/>
  <c r="X108" i="6" s="1"/>
  <c r="W109" i="6"/>
  <c r="X109" i="6" s="1"/>
  <c r="W110" i="6"/>
  <c r="X110" i="6" s="1"/>
  <c r="W111" i="6"/>
  <c r="X111" i="6" s="1"/>
  <c r="W112" i="6"/>
  <c r="X112" i="6" s="1"/>
  <c r="W113" i="6"/>
  <c r="X113" i="6" s="1"/>
  <c r="W114" i="6"/>
  <c r="X114" i="6" s="1"/>
  <c r="W115" i="6"/>
  <c r="X115" i="6" s="1"/>
  <c r="W116" i="6"/>
  <c r="X116" i="6" s="1"/>
  <c r="W117" i="6"/>
  <c r="X117" i="6" s="1"/>
  <c r="W118" i="6"/>
  <c r="X118" i="6" s="1"/>
  <c r="W119" i="6"/>
  <c r="X119" i="6" s="1"/>
  <c r="W120" i="6"/>
  <c r="X120" i="6" s="1"/>
  <c r="W95" i="6"/>
  <c r="X95" i="6" s="1"/>
  <c r="W96" i="6"/>
  <c r="X96" i="6" s="1"/>
  <c r="W65" i="6"/>
  <c r="X65" i="6" s="1"/>
  <c r="W66" i="6"/>
  <c r="X66" i="6" s="1"/>
  <c r="W67" i="6"/>
  <c r="X67" i="6" s="1"/>
  <c r="W68" i="6"/>
  <c r="X68" i="6" s="1"/>
  <c r="W69" i="6"/>
  <c r="X69" i="6" s="1"/>
  <c r="W70" i="6"/>
  <c r="X70" i="6" s="1"/>
  <c r="W71" i="6"/>
  <c r="X71" i="6" s="1"/>
  <c r="W72" i="6"/>
  <c r="X72" i="6" s="1"/>
  <c r="W73" i="6"/>
  <c r="X73" i="6" s="1"/>
  <c r="W74" i="6"/>
  <c r="X74" i="6" s="1"/>
  <c r="W75" i="6"/>
  <c r="X75" i="6" s="1"/>
  <c r="W12" i="6"/>
  <c r="X12" i="6" s="1"/>
  <c r="W13" i="6"/>
  <c r="X13" i="6" s="1"/>
  <c r="W14" i="6"/>
  <c r="X14" i="6" s="1"/>
  <c r="W15" i="6"/>
  <c r="X15" i="6" s="1"/>
  <c r="W16" i="6"/>
  <c r="X16" i="6" s="1"/>
  <c r="W17" i="6"/>
  <c r="X17" i="6" s="1"/>
  <c r="W18" i="6"/>
  <c r="X18" i="6" s="1"/>
  <c r="W19" i="6"/>
  <c r="X19" i="6" s="1"/>
  <c r="W20" i="6"/>
  <c r="X20" i="6" s="1"/>
  <c r="W21" i="6"/>
  <c r="X21" i="6" s="1"/>
  <c r="W36" i="6"/>
  <c r="X36" i="6" s="1"/>
  <c r="W37" i="6"/>
  <c r="X37" i="6" s="1"/>
  <c r="W38" i="6"/>
  <c r="X38" i="6" s="1"/>
  <c r="W39" i="6"/>
  <c r="X39" i="6" s="1"/>
  <c r="W40" i="6"/>
  <c r="X40" i="6" s="1"/>
  <c r="W41" i="6"/>
  <c r="X41" i="6" s="1"/>
  <c r="W42" i="6"/>
  <c r="X42" i="6" s="1"/>
  <c r="W43" i="6"/>
  <c r="X43" i="6" s="1"/>
  <c r="W44" i="6"/>
  <c r="X44" i="6" s="1"/>
  <c r="W45" i="6"/>
  <c r="X45" i="6" s="1"/>
  <c r="W46" i="6"/>
  <c r="X46" i="6" s="1"/>
  <c r="W47" i="6"/>
  <c r="X47" i="6" s="1"/>
  <c r="W48" i="6"/>
  <c r="X48" i="6" s="1"/>
  <c r="AF160" i="6"/>
  <c r="AF158" i="6"/>
  <c r="AF154" i="6"/>
  <c r="AG154" i="6" s="1"/>
  <c r="AN151" i="6"/>
  <c r="AM151" i="6"/>
  <c r="AL151" i="6"/>
  <c r="AK151" i="6"/>
  <c r="AJ151" i="6"/>
  <c r="AI151" i="6"/>
  <c r="AF151" i="6"/>
  <c r="AN132" i="6"/>
  <c r="AM132" i="6"/>
  <c r="AL132" i="6"/>
  <c r="AK132" i="6"/>
  <c r="AJ132" i="6"/>
  <c r="AI132" i="6"/>
  <c r="AF132" i="6"/>
  <c r="AN104" i="6"/>
  <c r="AM104" i="6"/>
  <c r="AL104" i="6"/>
  <c r="AK104" i="6"/>
  <c r="AJ104" i="6"/>
  <c r="AI104" i="6"/>
  <c r="AF104" i="6"/>
  <c r="AN87" i="6"/>
  <c r="AM87" i="6"/>
  <c r="AL87" i="6"/>
  <c r="AK87" i="6"/>
  <c r="AJ87" i="6"/>
  <c r="AI87" i="6"/>
  <c r="AF87" i="6"/>
  <c r="AN61" i="6"/>
  <c r="AM61" i="6"/>
  <c r="AL61" i="6"/>
  <c r="AK61" i="6"/>
  <c r="AJ61" i="6"/>
  <c r="AI61" i="6"/>
  <c r="AF61" i="6"/>
  <c r="AN32" i="6"/>
  <c r="AM32" i="6"/>
  <c r="AL32" i="6"/>
  <c r="AK32" i="6"/>
  <c r="AJ32" i="6"/>
  <c r="AI32" i="6"/>
  <c r="AF32" i="6"/>
  <c r="W137" i="6"/>
  <c r="X137" i="6" s="1"/>
  <c r="W107" i="6"/>
  <c r="X107" i="6" s="1"/>
  <c r="W94" i="6"/>
  <c r="X94" i="6" s="1"/>
  <c r="W64" i="6"/>
  <c r="X64" i="6" s="1"/>
  <c r="W35" i="6"/>
  <c r="X35" i="6" s="1"/>
  <c r="W11" i="6"/>
  <c r="X11" i="6" s="1"/>
  <c r="AK134" i="6" l="1"/>
  <c r="AG32" i="6"/>
  <c r="AH32" i="6" s="1"/>
  <c r="AL89" i="6"/>
  <c r="AI89" i="6"/>
  <c r="AM89" i="6"/>
  <c r="W61" i="6"/>
  <c r="AG61" i="6"/>
  <c r="AH61" i="6" s="1"/>
  <c r="AG104" i="6"/>
  <c r="AH104" i="6" s="1"/>
  <c r="AG151" i="6"/>
  <c r="AH11" i="6"/>
  <c r="AG87" i="6"/>
  <c r="AH87" i="6" s="1"/>
  <c r="AG132" i="6"/>
  <c r="AN134" i="6"/>
  <c r="AL134" i="6"/>
  <c r="AJ134" i="6"/>
  <c r="AI134" i="6"/>
  <c r="AM134" i="6"/>
  <c r="AF134" i="6"/>
  <c r="AJ89" i="6"/>
  <c r="AK89" i="6"/>
  <c r="AN89" i="6"/>
  <c r="AF89" i="6"/>
  <c r="W32" i="6"/>
  <c r="W104" i="6"/>
  <c r="W132" i="6"/>
  <c r="W87" i="6"/>
  <c r="W151" i="6"/>
  <c r="AM153" i="6" l="1"/>
  <c r="AK153" i="6"/>
  <c r="AN153" i="6"/>
  <c r="AF162" i="6" s="1"/>
  <c r="AI153" i="6"/>
  <c r="AF164" i="6" s="1"/>
  <c r="AL153" i="6"/>
  <c r="AG89" i="6"/>
  <c r="AH89" i="6" s="1"/>
  <c r="AH132" i="6"/>
  <c r="AG134" i="6"/>
  <c r="AH134" i="6" s="1"/>
  <c r="AH151" i="6"/>
  <c r="W134" i="6"/>
  <c r="AJ153" i="6"/>
  <c r="AF153" i="6"/>
  <c r="W89" i="6"/>
  <c r="AG153" i="6" l="1"/>
  <c r="AH153" i="6" s="1"/>
  <c r="W153" i="6"/>
  <c r="AF161" i="6" l="1"/>
  <c r="AF168" i="6"/>
  <c r="AF173" i="6" l="1"/>
  <c r="AF172" i="6"/>
  <c r="AF171" i="6"/>
  <c r="AF174" i="6"/>
  <c r="AF170" i="6"/>
  <c r="AF165" i="6"/>
  <c r="AF169" i="6"/>
  <c r="V166" i="6" l="1"/>
  <c r="BA24" i="1" l="1"/>
  <c r="BF24" i="1"/>
  <c r="AV24" i="1"/>
  <c r="C85" i="6"/>
  <c r="D85" i="6" s="1"/>
  <c r="C102" i="6"/>
  <c r="D102" i="6" s="1"/>
  <c r="C149" i="6"/>
  <c r="D149" i="6" s="1"/>
  <c r="M107" i="6"/>
  <c r="N107" i="6" s="1"/>
  <c r="M109" i="6"/>
  <c r="N109" i="6" s="1"/>
  <c r="M110" i="6"/>
  <c r="N110" i="6" s="1"/>
  <c r="L132" i="6"/>
  <c r="M64" i="6"/>
  <c r="N64" i="6" s="1"/>
  <c r="M35" i="6"/>
  <c r="N35" i="6" s="1"/>
  <c r="AQ24" i="1" l="1"/>
  <c r="AP166" i="6"/>
  <c r="AL24" i="1"/>
  <c r="AF166" i="6"/>
  <c r="AF167" i="6" s="1"/>
  <c r="J34" i="1"/>
  <c r="J30" i="1"/>
  <c r="E34" i="1"/>
  <c r="F34" i="1"/>
  <c r="E30" i="1"/>
  <c r="F30" i="1"/>
  <c r="W51" i="5"/>
  <c r="U51" i="5"/>
  <c r="S51" i="5"/>
  <c r="Q51" i="5"/>
  <c r="O51" i="5"/>
  <c r="M51" i="5"/>
  <c r="K51" i="5"/>
  <c r="I51" i="5"/>
  <c r="G51" i="5"/>
  <c r="E51" i="5"/>
  <c r="M24" i="1"/>
  <c r="H24" i="1"/>
  <c r="G70" i="8" l="1"/>
  <c r="F70" i="8"/>
  <c r="E70" i="8"/>
  <c r="D70" i="8"/>
  <c r="C70" i="8"/>
  <c r="E58" i="8"/>
  <c r="D56" i="8"/>
  <c r="G52" i="8"/>
  <c r="F52" i="8"/>
  <c r="C52" i="8"/>
  <c r="E47" i="8"/>
  <c r="E52" i="8" s="1"/>
  <c r="D52" i="8"/>
  <c r="F32" i="8"/>
  <c r="E32" i="8"/>
  <c r="D32" i="8"/>
  <c r="C32" i="8"/>
  <c r="G10" i="8"/>
  <c r="G12" i="8" s="1"/>
  <c r="E10" i="8"/>
  <c r="D10" i="8"/>
  <c r="D12" i="8" s="1"/>
  <c r="C10" i="8"/>
  <c r="C12" i="8" s="1"/>
  <c r="F10" i="8"/>
  <c r="F12" i="8" s="1"/>
  <c r="E7" i="8"/>
  <c r="BB37" i="1"/>
  <c r="BC34" i="1"/>
  <c r="BB34" i="1"/>
  <c r="BE33" i="1"/>
  <c r="BE32" i="1"/>
  <c r="BC30" i="1"/>
  <c r="BB30" i="1"/>
  <c r="BE29" i="1"/>
  <c r="BE28" i="1"/>
  <c r="BD19" i="1"/>
  <c r="BC19" i="1"/>
  <c r="BB19" i="1"/>
  <c r="BD18" i="1"/>
  <c r="BC18" i="1"/>
  <c r="BB18" i="1"/>
  <c r="BD16" i="1"/>
  <c r="BC16" i="1"/>
  <c r="BB16" i="1"/>
  <c r="BE15" i="1"/>
  <c r="BE14" i="1"/>
  <c r="BD12" i="1"/>
  <c r="BC12" i="1"/>
  <c r="BB12" i="1"/>
  <c r="BE11" i="1"/>
  <c r="BE10" i="1"/>
  <c r="BD8" i="1"/>
  <c r="BC8" i="1"/>
  <c r="BB8" i="1"/>
  <c r="BE7" i="1"/>
  <c r="BE6" i="1"/>
  <c r="AW37" i="1"/>
  <c r="AX34" i="1"/>
  <c r="AW34" i="1"/>
  <c r="AZ33" i="1"/>
  <c r="AZ32" i="1"/>
  <c r="AX30" i="1"/>
  <c r="AW30" i="1"/>
  <c r="AZ29" i="1"/>
  <c r="AZ28" i="1"/>
  <c r="AY19" i="1"/>
  <c r="AX19" i="1"/>
  <c r="AW19" i="1"/>
  <c r="AY18" i="1"/>
  <c r="AX18" i="1"/>
  <c r="AW18" i="1"/>
  <c r="AY16" i="1"/>
  <c r="AX16" i="1"/>
  <c r="AW16" i="1"/>
  <c r="AZ15" i="1"/>
  <c r="AZ14" i="1"/>
  <c r="AY12" i="1"/>
  <c r="AX12" i="1"/>
  <c r="AW12" i="1"/>
  <c r="AZ11" i="1"/>
  <c r="AZ10" i="1"/>
  <c r="AY8" i="1"/>
  <c r="AX8" i="1"/>
  <c r="AW8" i="1"/>
  <c r="AZ7" i="1"/>
  <c r="AZ6" i="1"/>
  <c r="AR37" i="1"/>
  <c r="AS34" i="1"/>
  <c r="AR34" i="1"/>
  <c r="AU33" i="1"/>
  <c r="AU32" i="1"/>
  <c r="AS30" i="1"/>
  <c r="AR30" i="1"/>
  <c r="AU29" i="1"/>
  <c r="AU28" i="1"/>
  <c r="AT19" i="1"/>
  <c r="AS19" i="1"/>
  <c r="AR19" i="1"/>
  <c r="AT18" i="1"/>
  <c r="AT20" i="1" s="1"/>
  <c r="AS18" i="1"/>
  <c r="AR18" i="1"/>
  <c r="AT16" i="1"/>
  <c r="AS16" i="1"/>
  <c r="AR16" i="1"/>
  <c r="AU15" i="1"/>
  <c r="AU14" i="1"/>
  <c r="AT12" i="1"/>
  <c r="AS12" i="1"/>
  <c r="AR12" i="1"/>
  <c r="AU11" i="1"/>
  <c r="AU10" i="1"/>
  <c r="AT8" i="1"/>
  <c r="AS8" i="1"/>
  <c r="AR8" i="1"/>
  <c r="AU7" i="1"/>
  <c r="AU6" i="1"/>
  <c r="AM37" i="1"/>
  <c r="AN34" i="1"/>
  <c r="AM34" i="1"/>
  <c r="AP33" i="1"/>
  <c r="AP32" i="1"/>
  <c r="AN30" i="1"/>
  <c r="AM30" i="1"/>
  <c r="AP29" i="1"/>
  <c r="AP28" i="1"/>
  <c r="AO19" i="1"/>
  <c r="AN19" i="1"/>
  <c r="AM19" i="1"/>
  <c r="AO18" i="1"/>
  <c r="AN18" i="1"/>
  <c r="AM18" i="1"/>
  <c r="AO16" i="1"/>
  <c r="AN16" i="1"/>
  <c r="AM16" i="1"/>
  <c r="AP15" i="1"/>
  <c r="AP14" i="1"/>
  <c r="AO12" i="1"/>
  <c r="AN12" i="1"/>
  <c r="AM12" i="1"/>
  <c r="AP11" i="1"/>
  <c r="AP10" i="1"/>
  <c r="AO8" i="1"/>
  <c r="AN8" i="1"/>
  <c r="AM8" i="1"/>
  <c r="AP7" i="1"/>
  <c r="AP6" i="1"/>
  <c r="AH37" i="1"/>
  <c r="AI34" i="1"/>
  <c r="AH34" i="1"/>
  <c r="AK33" i="1"/>
  <c r="AK32" i="1"/>
  <c r="AI30" i="1"/>
  <c r="AH30" i="1"/>
  <c r="AK29" i="1"/>
  <c r="AK28" i="1"/>
  <c r="AJ19" i="1"/>
  <c r="AI19" i="1"/>
  <c r="AH19" i="1"/>
  <c r="AJ18" i="1"/>
  <c r="AI18" i="1"/>
  <c r="AH18" i="1"/>
  <c r="AJ16" i="1"/>
  <c r="AI16" i="1"/>
  <c r="AH16" i="1"/>
  <c r="AK15" i="1"/>
  <c r="AK14" i="1"/>
  <c r="AJ12" i="1"/>
  <c r="AI12" i="1"/>
  <c r="AH12" i="1"/>
  <c r="AK11" i="1"/>
  <c r="AK10" i="1"/>
  <c r="AJ8" i="1"/>
  <c r="AI8" i="1"/>
  <c r="AH8" i="1"/>
  <c r="AK7" i="1"/>
  <c r="AK6" i="1"/>
  <c r="AJ20" i="1" l="1"/>
  <c r="AW20" i="1"/>
  <c r="BD20" i="1"/>
  <c r="AZ34" i="1"/>
  <c r="E12" i="8"/>
  <c r="E54" i="8" s="1"/>
  <c r="G54" i="8"/>
  <c r="AP12" i="1"/>
  <c r="AP8" i="1"/>
  <c r="AN20" i="1"/>
  <c r="AZ12" i="1"/>
  <c r="AZ30" i="1"/>
  <c r="D54" i="8"/>
  <c r="AX20" i="1"/>
  <c r="AH20" i="1"/>
  <c r="AR20" i="1"/>
  <c r="AY20" i="1"/>
  <c r="BB20" i="1"/>
  <c r="AI20" i="1"/>
  <c r="AS20" i="1"/>
  <c r="BE8" i="1"/>
  <c r="BC20" i="1"/>
  <c r="AU30" i="1"/>
  <c r="AU34" i="1"/>
  <c r="AO20" i="1"/>
  <c r="AK8" i="1"/>
  <c r="AU12" i="1"/>
  <c r="AP18" i="1"/>
  <c r="AM20" i="1"/>
  <c r="F54" i="8"/>
  <c r="C54" i="8"/>
  <c r="C55" i="8" s="1"/>
  <c r="C61" i="8" s="1"/>
  <c r="D4" i="8" s="1"/>
  <c r="AK12" i="1"/>
  <c r="AK30" i="1"/>
  <c r="AK34" i="1"/>
  <c r="AU8" i="1"/>
  <c r="AU18" i="1"/>
  <c r="AZ19" i="1"/>
  <c r="BE12" i="1"/>
  <c r="BE30" i="1"/>
  <c r="BE34" i="1"/>
  <c r="AU19" i="1"/>
  <c r="AK18" i="1"/>
  <c r="AP19" i="1"/>
  <c r="BE18" i="1"/>
  <c r="AK19" i="1"/>
  <c r="AP30" i="1"/>
  <c r="AP34" i="1"/>
  <c r="AZ8" i="1"/>
  <c r="AZ18" i="1"/>
  <c r="BE19" i="1"/>
  <c r="BE16" i="1"/>
  <c r="AZ16" i="1"/>
  <c r="AU16" i="1"/>
  <c r="AP16" i="1"/>
  <c r="AK16" i="1"/>
  <c r="D55" i="8" l="1"/>
  <c r="D61" i="8" s="1"/>
  <c r="D65" i="8" s="1"/>
  <c r="AZ20" i="1"/>
  <c r="AP20" i="1"/>
  <c r="AK20" i="1"/>
  <c r="C65" i="8"/>
  <c r="BE20" i="1"/>
  <c r="AU20" i="1"/>
  <c r="AP167" i="6" s="1"/>
  <c r="E4" i="8" l="1"/>
  <c r="E55" i="8" s="1"/>
  <c r="E61" i="8" s="1"/>
  <c r="F4" i="8" s="1"/>
  <c r="F55" i="8" s="1"/>
  <c r="F61" i="8" s="1"/>
  <c r="G4" i="8" s="1"/>
  <c r="G55" i="8" s="1"/>
  <c r="E65" i="8" l="1"/>
  <c r="G61" i="8"/>
  <c r="F65" i="8"/>
  <c r="G65" i="8" l="1"/>
  <c r="H4" i="8"/>
  <c r="H65" i="8" s="1"/>
  <c r="I55" i="8" l="1"/>
  <c r="I61" i="8" s="1"/>
  <c r="J4" i="8" s="1"/>
  <c r="AC37" i="1"/>
  <c r="X37" i="1"/>
  <c r="S37" i="1"/>
  <c r="N37" i="1"/>
  <c r="I37" i="1"/>
  <c r="D37" i="1"/>
  <c r="I65" i="8" l="1"/>
  <c r="J55" i="8"/>
  <c r="J61" i="8" s="1"/>
  <c r="V154" i="6"/>
  <c r="W154" i="6" s="1"/>
  <c r="L154" i="6"/>
  <c r="M154" i="6" s="1"/>
  <c r="B154" i="6"/>
  <c r="C154" i="6" s="1"/>
  <c r="V160" i="6"/>
  <c r="V158" i="6"/>
  <c r="AD151" i="6"/>
  <c r="AC151" i="6"/>
  <c r="AB151" i="6"/>
  <c r="AA151" i="6"/>
  <c r="Z151" i="6"/>
  <c r="V151" i="6"/>
  <c r="X151" i="6" s="1"/>
  <c r="AC132" i="6"/>
  <c r="AB132" i="6"/>
  <c r="AA132" i="6"/>
  <c r="Y132" i="6"/>
  <c r="Z132" i="6"/>
  <c r="AD104" i="6"/>
  <c r="AC104" i="6"/>
  <c r="AB104" i="6"/>
  <c r="AA104" i="6"/>
  <c r="Z104" i="6"/>
  <c r="Y104" i="6"/>
  <c r="V104" i="6"/>
  <c r="X104" i="6" s="1"/>
  <c r="AD87" i="6"/>
  <c r="AC87" i="6"/>
  <c r="AB87" i="6"/>
  <c r="AA87" i="6"/>
  <c r="Z87" i="6"/>
  <c r="Y87" i="6"/>
  <c r="V87" i="6"/>
  <c r="X87" i="6" s="1"/>
  <c r="AB61" i="6"/>
  <c r="AA61" i="6"/>
  <c r="Z61" i="6"/>
  <c r="AC61" i="6"/>
  <c r="Y61" i="6"/>
  <c r="AB32" i="6"/>
  <c r="AA32" i="6"/>
  <c r="Z32" i="6"/>
  <c r="Y32" i="6"/>
  <c r="AD32" i="6"/>
  <c r="AC32" i="6"/>
  <c r="V32" i="6"/>
  <c r="X32" i="6" s="1"/>
  <c r="L160" i="6"/>
  <c r="L158" i="6"/>
  <c r="T151" i="6"/>
  <c r="S151" i="6"/>
  <c r="R151" i="6"/>
  <c r="Q151" i="6"/>
  <c r="P151" i="6"/>
  <c r="O151" i="6"/>
  <c r="L151" i="6"/>
  <c r="M141" i="6"/>
  <c r="N141" i="6" s="1"/>
  <c r="M140" i="6"/>
  <c r="N140" i="6" s="1"/>
  <c r="M139" i="6"/>
  <c r="N139" i="6" s="1"/>
  <c r="M138" i="6"/>
  <c r="M137" i="6"/>
  <c r="N137" i="6" s="1"/>
  <c r="S132" i="6"/>
  <c r="R132" i="6"/>
  <c r="Q132" i="6"/>
  <c r="O132" i="6"/>
  <c r="M120" i="6"/>
  <c r="M119" i="6"/>
  <c r="N119" i="6" s="1"/>
  <c r="M118" i="6"/>
  <c r="N118" i="6" s="1"/>
  <c r="M116" i="6"/>
  <c r="N116" i="6" s="1"/>
  <c r="M115" i="6"/>
  <c r="N115" i="6" s="1"/>
  <c r="M114" i="6"/>
  <c r="N114" i="6" s="1"/>
  <c r="M113" i="6"/>
  <c r="N113" i="6" s="1"/>
  <c r="M112" i="6"/>
  <c r="N112" i="6" s="1"/>
  <c r="M111" i="6"/>
  <c r="T104" i="6"/>
  <c r="S104" i="6"/>
  <c r="R104" i="6"/>
  <c r="Q104" i="6"/>
  <c r="P104" i="6"/>
  <c r="O104" i="6"/>
  <c r="L104" i="6"/>
  <c r="M96" i="6"/>
  <c r="N96" i="6" s="1"/>
  <c r="M95" i="6"/>
  <c r="N95" i="6" s="1"/>
  <c r="M94" i="6"/>
  <c r="T87" i="6"/>
  <c r="S87" i="6"/>
  <c r="R87" i="6"/>
  <c r="Q87" i="6"/>
  <c r="P87" i="6"/>
  <c r="O87" i="6"/>
  <c r="L87" i="6"/>
  <c r="M75" i="6"/>
  <c r="N75" i="6" s="1"/>
  <c r="M74" i="6"/>
  <c r="N74" i="6" s="1"/>
  <c r="M73" i="6"/>
  <c r="N73" i="6" s="1"/>
  <c r="M72" i="6"/>
  <c r="N72" i="6" s="1"/>
  <c r="M70" i="6"/>
  <c r="N70" i="6" s="1"/>
  <c r="M69" i="6"/>
  <c r="N69" i="6" s="1"/>
  <c r="M68" i="6"/>
  <c r="N68" i="6" s="1"/>
  <c r="M67" i="6"/>
  <c r="N67" i="6" s="1"/>
  <c r="M66" i="6"/>
  <c r="N66" i="6" s="1"/>
  <c r="M65" i="6"/>
  <c r="R61" i="6"/>
  <c r="Q61" i="6"/>
  <c r="P61" i="6"/>
  <c r="M47" i="6"/>
  <c r="M46" i="6"/>
  <c r="N46" i="6" s="1"/>
  <c r="M44" i="6"/>
  <c r="N44" i="6" s="1"/>
  <c r="M42" i="6"/>
  <c r="N42" i="6" s="1"/>
  <c r="M41" i="6"/>
  <c r="N41" i="6" s="1"/>
  <c r="M40" i="6"/>
  <c r="M39" i="6"/>
  <c r="N39" i="6" s="1"/>
  <c r="M38" i="6"/>
  <c r="M37" i="6"/>
  <c r="N37" i="6" s="1"/>
  <c r="M36" i="6"/>
  <c r="N36" i="6" s="1"/>
  <c r="R32" i="6"/>
  <c r="Q32" i="6"/>
  <c r="P32" i="6"/>
  <c r="O32" i="6"/>
  <c r="M21" i="6"/>
  <c r="N21" i="6" s="1"/>
  <c r="T32" i="6"/>
  <c r="M20" i="6"/>
  <c r="L32" i="6"/>
  <c r="M19" i="6"/>
  <c r="N19" i="6" s="1"/>
  <c r="M18" i="6"/>
  <c r="N18" i="6" s="1"/>
  <c r="M17" i="6"/>
  <c r="N17" i="6" s="1"/>
  <c r="M16" i="6"/>
  <c r="N16" i="6" s="1"/>
  <c r="M15" i="6"/>
  <c r="N15" i="6" s="1"/>
  <c r="M14" i="6"/>
  <c r="N14" i="6" s="1"/>
  <c r="M13" i="6"/>
  <c r="N13" i="6" s="1"/>
  <c r="M12" i="6"/>
  <c r="N12" i="6" s="1"/>
  <c r="M11" i="6"/>
  <c r="K4" i="8" l="1"/>
  <c r="K55" i="8" s="1"/>
  <c r="K61" i="8" s="1"/>
  <c r="L4" i="8" s="1"/>
  <c r="L55" i="8" s="1"/>
  <c r="J65" i="8"/>
  <c r="R134" i="6"/>
  <c r="N38" i="6"/>
  <c r="N47" i="6"/>
  <c r="L134" i="6"/>
  <c r="AB89" i="6"/>
  <c r="Q134" i="6"/>
  <c r="AC89" i="6"/>
  <c r="AD61" i="6"/>
  <c r="AD89" i="6" s="1"/>
  <c r="AD132" i="6"/>
  <c r="AD134" i="6" s="1"/>
  <c r="Q89" i="6"/>
  <c r="N20" i="6"/>
  <c r="P89" i="6"/>
  <c r="T61" i="6"/>
  <c r="T89" i="6" s="1"/>
  <c r="T132" i="6"/>
  <c r="T134" i="6" s="1"/>
  <c r="Z89" i="6"/>
  <c r="Z134" i="6"/>
  <c r="S32" i="6"/>
  <c r="O61" i="6"/>
  <c r="O89" i="6" s="1"/>
  <c r="S61" i="6"/>
  <c r="N120" i="6"/>
  <c r="M151" i="6"/>
  <c r="N151" i="6" s="1"/>
  <c r="V132" i="6"/>
  <c r="R89" i="6"/>
  <c r="L61" i="6"/>
  <c r="L89" i="6" s="1"/>
  <c r="M87" i="6"/>
  <c r="N87" i="6" s="1"/>
  <c r="S134" i="6"/>
  <c r="V61" i="6"/>
  <c r="AA134" i="6"/>
  <c r="M32" i="6"/>
  <c r="N32" i="6" s="1"/>
  <c r="O134" i="6"/>
  <c r="AA89" i="6"/>
  <c r="Y89" i="6"/>
  <c r="Y134" i="6"/>
  <c r="AC134" i="6"/>
  <c r="AB134" i="6"/>
  <c r="M104" i="6"/>
  <c r="N104" i="6" s="1"/>
  <c r="N94" i="6"/>
  <c r="N111" i="6"/>
  <c r="N11" i="6"/>
  <c r="N40" i="6"/>
  <c r="M117" i="6"/>
  <c r="N117" i="6" s="1"/>
  <c r="P132" i="6"/>
  <c r="P134" i="6" s="1"/>
  <c r="M61" i="6"/>
  <c r="N138" i="6"/>
  <c r="N65" i="6"/>
  <c r="C11" i="6"/>
  <c r="K65" i="8" l="1"/>
  <c r="L61" i="8"/>
  <c r="M4" i="8" s="1"/>
  <c r="M55" i="8" s="1"/>
  <c r="M61" i="8" s="1"/>
  <c r="R153" i="6"/>
  <c r="V134" i="6"/>
  <c r="X134" i="6" s="1"/>
  <c r="X132" i="6"/>
  <c r="V89" i="6"/>
  <c r="X89" i="6" s="1"/>
  <c r="X61" i="6"/>
  <c r="Z153" i="6"/>
  <c r="N61" i="6"/>
  <c r="L153" i="6"/>
  <c r="AA153" i="6"/>
  <c r="AB153" i="6"/>
  <c r="AD153" i="6"/>
  <c r="V162" i="6" s="1"/>
  <c r="AC153" i="6"/>
  <c r="T153" i="6"/>
  <c r="L162" i="6" s="1"/>
  <c r="Q153" i="6"/>
  <c r="P153" i="6"/>
  <c r="S89" i="6"/>
  <c r="S153" i="6" s="1"/>
  <c r="O153" i="6"/>
  <c r="L164" i="6" s="1"/>
  <c r="M132" i="6"/>
  <c r="M89" i="6"/>
  <c r="N4" i="8" l="1"/>
  <c r="N55" i="8" s="1"/>
  <c r="N61" i="8" s="1"/>
  <c r="L65" i="8"/>
  <c r="V153" i="6"/>
  <c r="X153" i="6" s="1"/>
  <c r="N89" i="6"/>
  <c r="M134" i="6"/>
  <c r="N132" i="6"/>
  <c r="N134" i="6" l="1"/>
  <c r="M153" i="6"/>
  <c r="V161" i="6" l="1"/>
  <c r="V169" i="6" s="1"/>
  <c r="L161" i="6"/>
  <c r="N153" i="6"/>
  <c r="L168" i="6"/>
  <c r="V174" i="6" l="1"/>
  <c r="V171" i="6"/>
  <c r="V172" i="6"/>
  <c r="V173" i="6"/>
  <c r="V170" i="6"/>
  <c r="V165" i="6"/>
  <c r="L173" i="6"/>
  <c r="L172" i="6"/>
  <c r="L171" i="6"/>
  <c r="L174" i="6"/>
  <c r="L165" i="6"/>
  <c r="L169" i="6"/>
  <c r="L170" i="6"/>
  <c r="AK22" i="5" l="1"/>
  <c r="AJ22" i="5"/>
  <c r="AI22" i="5"/>
  <c r="AH22" i="5"/>
  <c r="AG22" i="5"/>
  <c r="AF22" i="5"/>
  <c r="AE22" i="5"/>
  <c r="G33" i="1" l="1"/>
  <c r="G32" i="1"/>
  <c r="G29" i="1"/>
  <c r="G28" i="1"/>
  <c r="L33" i="1"/>
  <c r="L32" i="1"/>
  <c r="L29" i="1"/>
  <c r="L28" i="1"/>
  <c r="AD34" i="1"/>
  <c r="AC34" i="1"/>
  <c r="Y34" i="1"/>
  <c r="X34" i="1"/>
  <c r="T34" i="1"/>
  <c r="S34" i="1"/>
  <c r="D34" i="1"/>
  <c r="I34" i="1"/>
  <c r="D30" i="1"/>
  <c r="I30" i="1"/>
  <c r="AD30" i="1"/>
  <c r="AC30" i="1"/>
  <c r="Y30" i="1"/>
  <c r="X30" i="1"/>
  <c r="T30" i="1"/>
  <c r="S30" i="1"/>
  <c r="O34" i="1"/>
  <c r="N34" i="1"/>
  <c r="O30" i="1"/>
  <c r="N30" i="1"/>
  <c r="AF33" i="1"/>
  <c r="AF32" i="1"/>
  <c r="AF29" i="1"/>
  <c r="AF28" i="1"/>
  <c r="AA33" i="1"/>
  <c r="AA32" i="1"/>
  <c r="AA29" i="1"/>
  <c r="AA28" i="1"/>
  <c r="V33" i="1"/>
  <c r="V32" i="1"/>
  <c r="V29" i="1"/>
  <c r="V28" i="1"/>
  <c r="Q33" i="1"/>
  <c r="Q32" i="1"/>
  <c r="Q29" i="1"/>
  <c r="Q28" i="1"/>
  <c r="AE19" i="1"/>
  <c r="AD19" i="1"/>
  <c r="AC19" i="1"/>
  <c r="AE18" i="1"/>
  <c r="AD18" i="1"/>
  <c r="AC18" i="1"/>
  <c r="AE16" i="1"/>
  <c r="AD16" i="1"/>
  <c r="AC16" i="1"/>
  <c r="AF15" i="1"/>
  <c r="AF14" i="1"/>
  <c r="AE12" i="1"/>
  <c r="AD12" i="1"/>
  <c r="AC12" i="1"/>
  <c r="AF11" i="1"/>
  <c r="AF10" i="1"/>
  <c r="AE8" i="1"/>
  <c r="AD8" i="1"/>
  <c r="AC8" i="1"/>
  <c r="AF7" i="1"/>
  <c r="AF6" i="1"/>
  <c r="AA15" i="1"/>
  <c r="AA14" i="1"/>
  <c r="AA11" i="1"/>
  <c r="AA10" i="1"/>
  <c r="V15" i="1"/>
  <c r="V14" i="1"/>
  <c r="V16" i="1" s="1"/>
  <c r="V11" i="1"/>
  <c r="V10" i="1"/>
  <c r="Q15" i="1"/>
  <c r="Q14" i="1"/>
  <c r="Q16" i="1" s="1"/>
  <c r="Q11" i="1"/>
  <c r="Q10" i="1"/>
  <c r="L15" i="1"/>
  <c r="L14" i="1"/>
  <c r="L16" i="1" s="1"/>
  <c r="L11" i="1"/>
  <c r="L10" i="1"/>
  <c r="G15" i="1"/>
  <c r="G14" i="1"/>
  <c r="G11" i="1"/>
  <c r="G10" i="1"/>
  <c r="AA16" i="1" l="1"/>
  <c r="AE20" i="1"/>
  <c r="AD20" i="1"/>
  <c r="AC20" i="1"/>
  <c r="AG24" i="1"/>
  <c r="V34" i="1"/>
  <c r="AA34" i="1"/>
  <c r="L34" i="1"/>
  <c r="G34" i="1"/>
  <c r="L30" i="1"/>
  <c r="Q34" i="1"/>
  <c r="V30" i="1"/>
  <c r="AF34" i="1"/>
  <c r="G30" i="1"/>
  <c r="Q12" i="1"/>
  <c r="V12" i="1"/>
  <c r="AA12" i="1"/>
  <c r="AF8" i="1"/>
  <c r="Q30" i="1"/>
  <c r="AF30" i="1"/>
  <c r="AA30" i="1"/>
  <c r="AF18" i="1"/>
  <c r="AF19" i="1"/>
  <c r="AF12" i="1"/>
  <c r="AF16" i="1"/>
  <c r="L12" i="1"/>
  <c r="AF20" i="1" l="1"/>
  <c r="L167" i="6" l="1"/>
  <c r="Z16" i="1"/>
  <c r="Z12" i="1"/>
  <c r="U16" i="1"/>
  <c r="U12" i="1"/>
  <c r="P16" i="1"/>
  <c r="P12" i="1"/>
  <c r="K16" i="1"/>
  <c r="K12" i="1"/>
  <c r="AA7" i="1"/>
  <c r="AA6" i="1"/>
  <c r="V7" i="1"/>
  <c r="V6" i="1"/>
  <c r="Q7" i="1"/>
  <c r="Q6" i="1"/>
  <c r="L7" i="1"/>
  <c r="L6" i="1"/>
  <c r="G7" i="1"/>
  <c r="G6" i="1"/>
  <c r="AA8" i="1" l="1"/>
  <c r="Q19" i="1"/>
  <c r="L8" i="1"/>
  <c r="V8" i="1"/>
  <c r="L19" i="1"/>
  <c r="AA19" i="1"/>
  <c r="L18" i="1"/>
  <c r="Q8" i="1"/>
  <c r="V19" i="1"/>
  <c r="AA18" i="1"/>
  <c r="V18" i="1"/>
  <c r="Q18" i="1"/>
  <c r="Q20" i="1" s="1"/>
  <c r="L20" i="1" l="1"/>
  <c r="V20" i="1"/>
  <c r="AA20" i="1"/>
  <c r="B160" i="6" l="1"/>
  <c r="B158" i="6"/>
  <c r="J151" i="6"/>
  <c r="I151" i="6"/>
  <c r="H151" i="6"/>
  <c r="G151" i="6"/>
  <c r="F151" i="6"/>
  <c r="E151" i="6"/>
  <c r="B151" i="6"/>
  <c r="C141" i="6"/>
  <c r="D141" i="6" s="1"/>
  <c r="C140" i="6"/>
  <c r="D140" i="6" s="1"/>
  <c r="C139" i="6"/>
  <c r="D139" i="6" s="1"/>
  <c r="C138" i="6"/>
  <c r="D138" i="6" s="1"/>
  <c r="C137" i="6"/>
  <c r="I132" i="6"/>
  <c r="H132" i="6"/>
  <c r="G132" i="6"/>
  <c r="E132" i="6"/>
  <c r="J120" i="6"/>
  <c r="K120" i="6" s="1"/>
  <c r="C120" i="6"/>
  <c r="B120" i="6"/>
  <c r="C119" i="6"/>
  <c r="D119" i="6" s="1"/>
  <c r="C118" i="6"/>
  <c r="D118" i="6" s="1"/>
  <c r="F117" i="6"/>
  <c r="C117" i="6" s="1"/>
  <c r="D117" i="6" s="1"/>
  <c r="C116" i="6"/>
  <c r="D116" i="6" s="1"/>
  <c r="C115" i="6"/>
  <c r="D115" i="6" s="1"/>
  <c r="J114" i="6"/>
  <c r="K114" i="6" s="1"/>
  <c r="K132" i="6" s="1"/>
  <c r="K134" i="6" s="1"/>
  <c r="C114" i="6"/>
  <c r="B114" i="6"/>
  <c r="C113" i="6"/>
  <c r="D113" i="6" s="1"/>
  <c r="C112" i="6"/>
  <c r="D112" i="6" s="1"/>
  <c r="C111" i="6"/>
  <c r="B111" i="6"/>
  <c r="J104" i="6"/>
  <c r="I104" i="6"/>
  <c r="H104" i="6"/>
  <c r="G104" i="6"/>
  <c r="F104" i="6"/>
  <c r="E104" i="6"/>
  <c r="B104" i="6"/>
  <c r="C96" i="6"/>
  <c r="D96" i="6" s="1"/>
  <c r="C95" i="6"/>
  <c r="D95" i="6" s="1"/>
  <c r="C94" i="6"/>
  <c r="D94" i="6" s="1"/>
  <c r="J87" i="6"/>
  <c r="I87" i="6"/>
  <c r="H87" i="6"/>
  <c r="G87" i="6"/>
  <c r="F87" i="6"/>
  <c r="E87" i="6"/>
  <c r="B87" i="6"/>
  <c r="C75" i="6"/>
  <c r="D75" i="6" s="1"/>
  <c r="C74" i="6"/>
  <c r="D74" i="6" s="1"/>
  <c r="C73" i="6"/>
  <c r="D73" i="6" s="1"/>
  <c r="C72" i="6"/>
  <c r="D72" i="6" s="1"/>
  <c r="C70" i="6"/>
  <c r="D70" i="6" s="1"/>
  <c r="C69" i="6"/>
  <c r="D69" i="6" s="1"/>
  <c r="C68" i="6"/>
  <c r="D68" i="6" s="1"/>
  <c r="C67" i="6"/>
  <c r="D67" i="6" s="1"/>
  <c r="C66" i="6"/>
  <c r="D66" i="6" s="1"/>
  <c r="C65" i="6"/>
  <c r="D65" i="6" s="1"/>
  <c r="H61" i="6"/>
  <c r="G61" i="6"/>
  <c r="F61" i="6"/>
  <c r="J47" i="6"/>
  <c r="K47" i="6" s="1"/>
  <c r="I47" i="6"/>
  <c r="C47" i="6" s="1"/>
  <c r="B47" i="6"/>
  <c r="C46" i="6"/>
  <c r="D46" i="6" s="1"/>
  <c r="C44" i="6"/>
  <c r="D44" i="6" s="1"/>
  <c r="C42" i="6"/>
  <c r="D42" i="6" s="1"/>
  <c r="C41" i="6"/>
  <c r="D41" i="6" s="1"/>
  <c r="E40" i="6"/>
  <c r="K40" i="6" s="1"/>
  <c r="B40" i="6"/>
  <c r="C39" i="6"/>
  <c r="D39" i="6" s="1"/>
  <c r="J38" i="6"/>
  <c r="K38" i="6" s="1"/>
  <c r="C38" i="6"/>
  <c r="B38" i="6"/>
  <c r="C37" i="6"/>
  <c r="D37" i="6" s="1"/>
  <c r="C36" i="6"/>
  <c r="D36" i="6" s="1"/>
  <c r="H32" i="6"/>
  <c r="G32" i="6"/>
  <c r="F32" i="6"/>
  <c r="E32" i="6"/>
  <c r="C21" i="6"/>
  <c r="D21" i="6" s="1"/>
  <c r="J20" i="6"/>
  <c r="K20" i="6" s="1"/>
  <c r="K32" i="6" s="1"/>
  <c r="I20" i="6"/>
  <c r="C20" i="6" s="1"/>
  <c r="B20" i="6"/>
  <c r="B32" i="6" s="1"/>
  <c r="C19" i="6"/>
  <c r="D19" i="6" s="1"/>
  <c r="C18" i="6"/>
  <c r="D18" i="6" s="1"/>
  <c r="C17" i="6"/>
  <c r="D17" i="6" s="1"/>
  <c r="C16" i="6"/>
  <c r="D16" i="6" s="1"/>
  <c r="C15" i="6"/>
  <c r="D15" i="6" s="1"/>
  <c r="C14" i="6"/>
  <c r="D14" i="6" s="1"/>
  <c r="C13" i="6"/>
  <c r="D13" i="6" s="1"/>
  <c r="C12" i="6"/>
  <c r="D12" i="6" s="1"/>
  <c r="D11" i="6"/>
  <c r="AD22" i="5"/>
  <c r="AC22" i="5"/>
  <c r="AB22" i="5"/>
  <c r="K61" i="6" l="1"/>
  <c r="K89" i="6" s="1"/>
  <c r="K153" i="6" s="1"/>
  <c r="E61" i="6"/>
  <c r="E89" i="6" s="1"/>
  <c r="J32" i="6"/>
  <c r="J132" i="6"/>
  <c r="J134" i="6" s="1"/>
  <c r="J61" i="6"/>
  <c r="H89" i="6"/>
  <c r="F89" i="6"/>
  <c r="D47" i="6"/>
  <c r="H134" i="6"/>
  <c r="D20" i="6"/>
  <c r="D38" i="6"/>
  <c r="C40" i="6"/>
  <c r="D40" i="6" s="1"/>
  <c r="B132" i="6"/>
  <c r="B134" i="6" s="1"/>
  <c r="B61" i="6"/>
  <c r="B89" i="6" s="1"/>
  <c r="D114" i="6"/>
  <c r="F132" i="6"/>
  <c r="F134" i="6" s="1"/>
  <c r="G89" i="6"/>
  <c r="C87" i="6"/>
  <c r="D87" i="6" s="1"/>
  <c r="C104" i="6"/>
  <c r="D104" i="6" s="1"/>
  <c r="E134" i="6"/>
  <c r="I134" i="6"/>
  <c r="G134" i="6"/>
  <c r="C32" i="6"/>
  <c r="D120" i="6"/>
  <c r="C132" i="6"/>
  <c r="C151" i="6"/>
  <c r="D137" i="6"/>
  <c r="I61" i="6"/>
  <c r="D111" i="6"/>
  <c r="I32" i="6"/>
  <c r="J89" i="6" l="1"/>
  <c r="J153" i="6" s="1"/>
  <c r="B162" i="6" s="1"/>
  <c r="B163" i="6"/>
  <c r="H153" i="6"/>
  <c r="F153" i="6"/>
  <c r="C61" i="6"/>
  <c r="D61" i="6" s="1"/>
  <c r="I89" i="6"/>
  <c r="I153" i="6" s="1"/>
  <c r="B153" i="6"/>
  <c r="E153" i="6"/>
  <c r="G153" i="6"/>
  <c r="C134" i="6"/>
  <c r="D132" i="6"/>
  <c r="D32" i="6"/>
  <c r="D151" i="6"/>
  <c r="B164" i="6" l="1"/>
  <c r="C89" i="6"/>
  <c r="D89" i="6" s="1"/>
  <c r="D134" i="6"/>
  <c r="C153" i="6" l="1"/>
  <c r="D153" i="6" s="1"/>
  <c r="B161" i="6" l="1"/>
  <c r="B173" i="6" s="1"/>
  <c r="B168" i="6"/>
  <c r="Z19" i="1"/>
  <c r="Y19" i="1"/>
  <c r="X19" i="1"/>
  <c r="Z18" i="1"/>
  <c r="Y18" i="1"/>
  <c r="X18" i="1"/>
  <c r="Y16" i="1"/>
  <c r="X16" i="1"/>
  <c r="Y12" i="1"/>
  <c r="X12" i="1"/>
  <c r="Z8" i="1"/>
  <c r="Y8" i="1"/>
  <c r="X8" i="1"/>
  <c r="B174" i="6" l="1"/>
  <c r="B169" i="6"/>
  <c r="B170" i="6"/>
  <c r="B172" i="6"/>
  <c r="B171" i="6"/>
  <c r="B165" i="6"/>
  <c r="AB24" i="1"/>
  <c r="Y20" i="1"/>
  <c r="Z20" i="1"/>
  <c r="X20" i="1"/>
  <c r="E18" i="1"/>
  <c r="F18" i="1"/>
  <c r="G18" i="1"/>
  <c r="I18" i="1"/>
  <c r="J18" i="1"/>
  <c r="K18" i="1"/>
  <c r="N18" i="1"/>
  <c r="O18" i="1"/>
  <c r="P18" i="1"/>
  <c r="S18" i="1"/>
  <c r="T18" i="1"/>
  <c r="U18" i="1"/>
  <c r="E19" i="1"/>
  <c r="F19" i="1"/>
  <c r="G19" i="1"/>
  <c r="I19" i="1"/>
  <c r="J19" i="1"/>
  <c r="K19" i="1"/>
  <c r="N19" i="1"/>
  <c r="N20" i="1" s="1"/>
  <c r="O19" i="1"/>
  <c r="P19" i="1"/>
  <c r="S19" i="1"/>
  <c r="T19" i="1"/>
  <c r="U19" i="1"/>
  <c r="D19" i="1"/>
  <c r="D18" i="1"/>
  <c r="T16" i="1"/>
  <c r="S16" i="1"/>
  <c r="O16" i="1"/>
  <c r="N16" i="1"/>
  <c r="J16" i="1"/>
  <c r="I16" i="1"/>
  <c r="G16" i="1"/>
  <c r="F16" i="1"/>
  <c r="E16" i="1"/>
  <c r="D16" i="1"/>
  <c r="T12" i="1"/>
  <c r="S12" i="1"/>
  <c r="O12" i="1"/>
  <c r="N12" i="1"/>
  <c r="J12" i="1"/>
  <c r="I12" i="1"/>
  <c r="G12" i="1"/>
  <c r="F12" i="1"/>
  <c r="E12" i="1"/>
  <c r="D12" i="1"/>
  <c r="E8" i="1"/>
  <c r="F8" i="1"/>
  <c r="G8" i="1"/>
  <c r="I8" i="1"/>
  <c r="J8" i="1"/>
  <c r="K8" i="1"/>
  <c r="N8" i="1"/>
  <c r="O8" i="1"/>
  <c r="P8" i="1"/>
  <c r="S8" i="1"/>
  <c r="T8" i="1"/>
  <c r="U8" i="1"/>
  <c r="D8" i="1"/>
  <c r="R24" i="1" l="1"/>
  <c r="J20" i="1"/>
  <c r="K20" i="1"/>
  <c r="G20" i="1"/>
  <c r="F20" i="1"/>
  <c r="T20" i="1"/>
  <c r="P20" i="1"/>
  <c r="S20" i="1"/>
  <c r="O20" i="1"/>
  <c r="D20" i="1"/>
  <c r="U20" i="1"/>
  <c r="I20" i="1"/>
  <c r="E20" i="1"/>
  <c r="B167" i="6" l="1"/>
  <c r="W24" i="1"/>
  <c r="Y151" i="6" l="1"/>
  <c r="Y153" i="6" s="1"/>
  <c r="V167" i="6" l="1"/>
  <c r="V164" i="6"/>
  <c r="V168" i="6"/>
</calcChain>
</file>

<file path=xl/sharedStrings.xml><?xml version="1.0" encoding="utf-8"?>
<sst xmlns="http://schemas.openxmlformats.org/spreadsheetml/2006/main" count="784" uniqueCount="278">
  <si>
    <t>x</t>
  </si>
  <si>
    <t>Unduplicated Headcount</t>
  </si>
  <si>
    <t>Student Credit Hours</t>
  </si>
  <si>
    <t>FTE</t>
  </si>
  <si>
    <t>Student Level</t>
  </si>
  <si>
    <t>Residency</t>
  </si>
  <si>
    <t>Undergraduate</t>
  </si>
  <si>
    <t>Resident</t>
  </si>
  <si>
    <t>Non-Resident</t>
  </si>
  <si>
    <t>Subtotal</t>
  </si>
  <si>
    <t>Graduate</t>
  </si>
  <si>
    <t>First-Professional</t>
  </si>
  <si>
    <t>Total</t>
  </si>
  <si>
    <t>Preparatory/
Remedial</t>
  </si>
  <si>
    <t>Dual Enrollment</t>
  </si>
  <si>
    <t>Gross Tuition</t>
  </si>
  <si>
    <t>Less:</t>
  </si>
  <si>
    <t>Net Tuition Income</t>
  </si>
  <si>
    <t>Student Contact Hours</t>
  </si>
  <si>
    <t>RATE/UNIT</t>
  </si>
  <si>
    <t>TOTAL REVENUE</t>
  </si>
  <si>
    <t>TYPE OF FEE</t>
  </si>
  <si>
    <t>REVENUE CLASS</t>
  </si>
  <si>
    <t>PCS SUB. PRO.</t>
  </si>
  <si>
    <t>Rate</t>
  </si>
  <si>
    <t>Unit</t>
  </si>
  <si>
    <t>MANDATORY FEES</t>
  </si>
  <si>
    <t>Campus Fac Fee</t>
  </si>
  <si>
    <t>UnresGen</t>
  </si>
  <si>
    <t>SEM</t>
  </si>
  <si>
    <t>Unres. Aux. Oper.</t>
  </si>
  <si>
    <t>Capital Impr Fee</t>
  </si>
  <si>
    <t>Unres. Gen.</t>
  </si>
  <si>
    <t>Event Fee</t>
  </si>
  <si>
    <t>Health Fee</t>
  </si>
  <si>
    <t>ONCE</t>
  </si>
  <si>
    <t>Student Act Fee</t>
  </si>
  <si>
    <t>Student Record Fee</t>
  </si>
  <si>
    <t>Technology Fee</t>
  </si>
  <si>
    <t>OTHER FEES AND CHARGES</t>
  </si>
  <si>
    <t>UnresAuxOprt</t>
  </si>
  <si>
    <t>Degree Fee</t>
  </si>
  <si>
    <t>EACH</t>
  </si>
  <si>
    <t>Placement Fee</t>
  </si>
  <si>
    <t>Residence Hall</t>
  </si>
  <si>
    <t>Other</t>
  </si>
  <si>
    <t>FUNDING BY SOURCE</t>
  </si>
  <si>
    <t>PROGRAM DESCRIPTION</t>
  </si>
  <si>
    <t>Headcount</t>
  </si>
  <si>
    <t>Total Value</t>
  </si>
  <si>
    <t>Average Award</t>
  </si>
  <si>
    <t>Tuition Waivers</t>
  </si>
  <si>
    <t>Institution</t>
  </si>
  <si>
    <t>State</t>
  </si>
  <si>
    <t>Federal</t>
  </si>
  <si>
    <t>Amount to Nebraska Residents</t>
  </si>
  <si>
    <t>ACADEMIC AID</t>
  </si>
  <si>
    <t>(1) Need Based</t>
  </si>
  <si>
    <t>ACE</t>
  </si>
  <si>
    <t>ACE Plus</t>
  </si>
  <si>
    <t>Davis-Chambers Scholarship</t>
  </si>
  <si>
    <t>Federal Direct Subsidized</t>
  </si>
  <si>
    <t>Federal Pell Grant</t>
  </si>
  <si>
    <t>Federal Supplemental Education Opportunity Grant (FSEOG)</t>
  </si>
  <si>
    <t>Foundation Aid (need-based)</t>
  </si>
  <si>
    <t>NE Advantage Program</t>
  </si>
  <si>
    <t>Nebraska Opportunity Grant (NOG)</t>
  </si>
  <si>
    <t>Transient Scholarships</t>
  </si>
  <si>
    <t>TRIO Grant</t>
  </si>
  <si>
    <t xml:space="preserve">    Subtotal Need Based</t>
  </si>
  <si>
    <t>(2) Ability Based</t>
  </si>
  <si>
    <t>Board of Trustees Scholarship (Waiver)</t>
  </si>
  <si>
    <t>Community College</t>
  </si>
  <si>
    <t>Eagle Newspaper</t>
  </si>
  <si>
    <t>Foundation Aid (merit-based)</t>
  </si>
  <si>
    <t>Governor's Opportunity/PHEAST</t>
  </si>
  <si>
    <t>Leadership</t>
  </si>
  <si>
    <t>Presidential Gold, Silver, Bronze</t>
  </si>
  <si>
    <t>Rural Health Oppor. Remissions</t>
  </si>
  <si>
    <t>Sterling &amp; Eagle Presidentials</t>
  </si>
  <si>
    <t xml:space="preserve">    Subtotal Ability Based</t>
  </si>
  <si>
    <t>(3) Membership Based</t>
  </si>
  <si>
    <t>Academic Staff Waivers</t>
  </si>
  <si>
    <t>Bureau of Indian Affairs</t>
  </si>
  <si>
    <t>Cooperating School</t>
  </si>
  <si>
    <t>Foreign Students &amp; IREX</t>
  </si>
  <si>
    <t>Military/ROTC/National Guard</t>
  </si>
  <si>
    <t>Non-Academic Staff</t>
  </si>
  <si>
    <t>Phi Theta Kappa</t>
  </si>
  <si>
    <t>Senior Citizens Remissions</t>
  </si>
  <si>
    <t>Staff Dependent Waivers</t>
  </si>
  <si>
    <t xml:space="preserve">    Subtotal Membership Based</t>
  </si>
  <si>
    <t xml:space="preserve">    TOTAL ACADEMIC AID</t>
  </si>
  <si>
    <t>AID FOR SERVICE</t>
  </si>
  <si>
    <t>Vocational Rehabilitation Grant/Workforce</t>
  </si>
  <si>
    <t>Work Study</t>
  </si>
  <si>
    <t>Foundation Scholarships</t>
  </si>
  <si>
    <t>Graduate Assistants</t>
  </si>
  <si>
    <t>Men's Athletics</t>
  </si>
  <si>
    <t>Nonresident G.A. Waivers</t>
  </si>
  <si>
    <t>Observation &amp; Participation Waivers</t>
  </si>
  <si>
    <t>Residence Hall Assistants</t>
  </si>
  <si>
    <t>Special Activity Grants/Waivers</t>
  </si>
  <si>
    <t>Supervising Student Teachers</t>
  </si>
  <si>
    <t>Women's Athletics</t>
  </si>
  <si>
    <t xml:space="preserve">    TOTAL AID FOR SERVICE</t>
  </si>
  <si>
    <t>Other Aid</t>
  </si>
  <si>
    <t>Alternative Private Loans</t>
  </si>
  <si>
    <t>Federal Direct Unsubsidized</t>
  </si>
  <si>
    <t>Federal PLUS</t>
  </si>
  <si>
    <t>Learners Edge</t>
  </si>
  <si>
    <t>Study Away</t>
  </si>
  <si>
    <t xml:space="preserve">    Subtotal Other Aid</t>
  </si>
  <si>
    <t xml:space="preserve">    GRAND TOTAL ACADEMIC AID, AID FOR SERVICE, OTHER AID</t>
  </si>
  <si>
    <t xml:space="preserve"> 1.  Total institutional headcount</t>
  </si>
  <si>
    <t xml:space="preserve"> 2.  Number of students participating in financial aid programs</t>
  </si>
  <si>
    <t xml:space="preserve"> 3.  Number of students receiving more than one aid</t>
  </si>
  <si>
    <t xml:space="preserve"> 4.  % of total institutional headcount receiving aid</t>
  </si>
  <si>
    <t xml:space="preserve"> 5.  Number of Nebraska residents receiving financial aid</t>
  </si>
  <si>
    <t xml:space="preserve"> 6.  % participation by Nebraska residents</t>
  </si>
  <si>
    <t xml:space="preserve"> 8.  Amount received by Nebraska residents</t>
  </si>
  <si>
    <t>Select Calendar</t>
  </si>
  <si>
    <t>Semester</t>
  </si>
  <si>
    <r>
      <t xml:space="preserve">Of </t>
    </r>
    <r>
      <rPr>
        <b/>
        <u/>
        <sz val="12"/>
        <color rgb="FFFF0000"/>
        <rFont val="Arial"/>
        <family val="2"/>
      </rPr>
      <t>undergraduate</t>
    </r>
    <r>
      <rPr>
        <b/>
        <sz val="12"/>
        <color rgb="FFFF0000"/>
        <rFont val="Arial"/>
        <family val="2"/>
      </rPr>
      <t xml:space="preserve"> students reported above:</t>
    </r>
  </si>
  <si>
    <t>Veterans Dependent Waivers</t>
  </si>
  <si>
    <t>DATA CALCULATIONS</t>
  </si>
  <si>
    <t>Cash Fund Number  -  25010</t>
  </si>
  <si>
    <t>NCHEMS</t>
  </si>
  <si>
    <t>Sub-Prog</t>
  </si>
  <si>
    <t>Actual</t>
  </si>
  <si>
    <t>Unencumb. Bal. Forward</t>
  </si>
  <si>
    <t>Tuition Income</t>
  </si>
  <si>
    <t>XXXXX</t>
  </si>
  <si>
    <t>XXXXXX</t>
  </si>
  <si>
    <t xml:space="preserve">  Need-based Remissions/Scholar</t>
  </si>
  <si>
    <t xml:space="preserve">  Non-need-based Remissions/Sch</t>
  </si>
  <si>
    <t xml:space="preserve">  TOTAL Remissions/Scholarships</t>
  </si>
  <si>
    <t xml:space="preserve">  Refunds</t>
  </si>
  <si>
    <t>N/A</t>
  </si>
  <si>
    <t>A Subtotal--Gross Tuition Less</t>
  </si>
  <si>
    <t xml:space="preserve">   Remissions &amp; Refunds</t>
  </si>
  <si>
    <t>Student Fees</t>
  </si>
  <si>
    <t xml:space="preserve">  Late Registration</t>
  </si>
  <si>
    <t xml:space="preserve">  Transcripts</t>
  </si>
  <si>
    <t xml:space="preserve">  I.D. Cards</t>
  </si>
  <si>
    <t xml:space="preserve">  Facilities Fee</t>
  </si>
  <si>
    <t>B Subtotal--Student Fees</t>
  </si>
  <si>
    <t>Other Income</t>
  </si>
  <si>
    <t xml:space="preserve">  Interest</t>
  </si>
  <si>
    <t xml:space="preserve">  Auto Registration</t>
  </si>
  <si>
    <t xml:space="preserve">  Library Fines</t>
  </si>
  <si>
    <t xml:space="preserve">  Gate Receipts</t>
  </si>
  <si>
    <t xml:space="preserve">  ACT Testing</t>
  </si>
  <si>
    <t xml:space="preserve">  Space Rentals</t>
  </si>
  <si>
    <t xml:space="preserve">  Xeroxing</t>
  </si>
  <si>
    <t xml:space="preserve">  Advertising</t>
  </si>
  <si>
    <t>C Subtotal--Other Income</t>
  </si>
  <si>
    <t>TOTAL Cash Revenue (Sum A..C)</t>
  </si>
  <si>
    <t>TOTAL Cash Revenue + Balance</t>
  </si>
  <si>
    <t>(Less) PCS 1-7 Cash Expenditures</t>
  </si>
  <si>
    <t>(Less) PCS 8 Cash Exp. (Optional)</t>
  </si>
  <si>
    <t>(Less) Encumb.</t>
  </si>
  <si>
    <t>Available Balance</t>
  </si>
  <si>
    <t>Adjustment to Cash Basis</t>
  </si>
  <si>
    <t>Available Balance Cash Basis</t>
  </si>
  <si>
    <t xml:space="preserve">C.F. Expenditures (PCS 1-7) </t>
  </si>
  <si>
    <t>PCS 8 Expenditures (if applicable)</t>
  </si>
  <si>
    <t>Total Cash Expenditures</t>
  </si>
  <si>
    <t xml:space="preserve">  Forms/Reports 100-A, 101-A</t>
  </si>
  <si>
    <t>Insert rows above here</t>
  </si>
  <si>
    <t>In prior years other discretionary included CSC tuiltion waiver disbursed, eagle cheer tution waiver, scholastic contest, rodeo queen and rodeo waivers.
BIA is now included with transient scholarships other.
In prior years Study Away and the fee portion of Vet Dependent was listed as waivers.  Now included as institution to more accurately reflect type of aid.
Athletic headcount mens tuition waiver 108, room &amp; board waiver 122, foundation 33, corp sponsor 14.  Athletic womens headcount tuition waiver 46, room &amp; board waiver 71, foundation 30, corp sponsor 11.</t>
  </si>
  <si>
    <t>Misc. Room Waiver</t>
  </si>
  <si>
    <t>Law Enforcement</t>
  </si>
  <si>
    <t>Pres Excellence/Opportunity</t>
  </si>
  <si>
    <t>Rodeo</t>
  </si>
  <si>
    <t>Eagle Cheer</t>
  </si>
  <si>
    <t>Other Campus Discretionary CSC Tuition</t>
  </si>
  <si>
    <t>Insert rows above here by copying row above and Insert Copied Cells</t>
  </si>
  <si>
    <t>Est.</t>
  </si>
  <si>
    <t>2013-14</t>
  </si>
  <si>
    <t>2014-15</t>
  </si>
  <si>
    <t>2015-16</t>
  </si>
  <si>
    <t>2016-17</t>
  </si>
  <si>
    <t>2017-18</t>
  </si>
  <si>
    <t>2018-19</t>
  </si>
  <si>
    <t>Refunds</t>
  </si>
  <si>
    <t>Remissions/Waivers</t>
  </si>
  <si>
    <t>CSC no longer has a 14 meal plan, I put in the rate for the 200 meal block plan which is approx. 12 meals/week</t>
  </si>
  <si>
    <t>Rural Law Oppor. Remissions</t>
  </si>
  <si>
    <t>Scholastic Contest Waiver</t>
  </si>
  <si>
    <t>Presidential Merit, Honors</t>
  </si>
  <si>
    <t>NE Advantage Teammates</t>
  </si>
  <si>
    <t>Eagle Excellence</t>
  </si>
  <si>
    <t>Campus Employment 516500</t>
  </si>
  <si>
    <t>2012-13</t>
  </si>
  <si>
    <t>2019-20</t>
  </si>
  <si>
    <t>2020-21</t>
  </si>
  <si>
    <t>2021-22</t>
  </si>
  <si>
    <t>2022-23</t>
  </si>
  <si>
    <t>Cafeteria</t>
  </si>
  <si>
    <t>Rising &amp; Soaring Eagle</t>
  </si>
  <si>
    <t>Buffet Foundation</t>
  </si>
  <si>
    <t>Matric Fee is now $5 matric and $10 college processing fee.</t>
  </si>
  <si>
    <t>Retrieved from January board meeting</t>
  </si>
  <si>
    <t>Late Payment Fee (2% of outstanding balance up to $100)</t>
  </si>
  <si>
    <t>Emergency Relief Grant</t>
  </si>
  <si>
    <t>Ag Education</t>
  </si>
  <si>
    <t>BHECN</t>
  </si>
  <si>
    <t>NE Game and Parks</t>
  </si>
  <si>
    <t>Athletic Trainer</t>
  </si>
  <si>
    <t>Matriculation/Processing Fee</t>
  </si>
  <si>
    <t>Resident Mandatory Fees Revenue</t>
  </si>
  <si>
    <t>Non-resident Mandatory Fees Revenue</t>
  </si>
  <si>
    <t>Total Mandatory Fees Revenue</t>
  </si>
  <si>
    <t xml:space="preserve"> 7.  Total dollar value of financial aid</t>
  </si>
  <si>
    <t xml:space="preserve"> 9.  Amount of Tuition Waivers received by Nebraska residents</t>
  </si>
  <si>
    <t>10.  Amount of Tuition Waivers received by non-Nebraska residents</t>
  </si>
  <si>
    <t>11.  % of total dollar amount received by Nebraska residents</t>
  </si>
  <si>
    <t>12.  Gross tuition income less refunds</t>
  </si>
  <si>
    <t>13.  % gross tuition income remitted to students</t>
  </si>
  <si>
    <t>14.  % remissions is of Grand Total of all aid</t>
  </si>
  <si>
    <t>15.  % Academic Aid is of Grand Total of all aid</t>
  </si>
  <si>
    <t>16.  % Aid for Service is of Grand Total of all aid</t>
  </si>
  <si>
    <t>17.  % Need Based Aid is of Grand Total of all aid</t>
  </si>
  <si>
    <t>18.  % Ability Based Aid is of Grand Total of all aid</t>
  </si>
  <si>
    <t>19.  % Aid Based on Membership is of Grand Total of all aid</t>
  </si>
  <si>
    <t>20. % Other Academic Aid as a Grand Total of All Aid</t>
  </si>
  <si>
    <t>Tuition Waivrs to Nebraska Residents</t>
  </si>
  <si>
    <t>Upward Bound Grant</t>
  </si>
  <si>
    <t>Tuition scholarships funded with HEERF lost tuition revenue</t>
  </si>
  <si>
    <t>Retrieved from November Board Meeting;</t>
  </si>
  <si>
    <t>2023-24</t>
  </si>
  <si>
    <t>American Rescue Plan</t>
  </si>
  <si>
    <t>Retrieved from January Board Meeting;</t>
  </si>
  <si>
    <t xml:space="preserve">  Other</t>
  </si>
  <si>
    <t xml:space="preserve">(Less) Reappropriation </t>
  </si>
  <si>
    <t>Note 1: Chancellor and Board authorization to drop below the 8% required reserve for 2019-20 but back to 8% in 2020-21</t>
  </si>
  <si>
    <t>Orientation Fee up to 3 Family Members</t>
  </si>
  <si>
    <t>Orientation Fee Additional Family Members</t>
  </si>
  <si>
    <t>International Student Fee</t>
  </si>
  <si>
    <t>Transcript Fee</t>
  </si>
  <si>
    <t>Reinstatement Fee</t>
  </si>
  <si>
    <t>Employee Parking - per permit</t>
  </si>
  <si>
    <t>Student Parking - Each Additional Permit (1 at no cost)</t>
  </si>
  <si>
    <t xml:space="preserve">Reinstatement Fee revenue is included with late payment fee. Parking revenue is combined (employee and student). Transcript Fee revenue was included with Student Record Fee until 21-22. Orientation Fee (+ additional family members) revenue is combined. </t>
  </si>
  <si>
    <t>2024-25</t>
  </si>
  <si>
    <t>Career Scholarship</t>
  </si>
  <si>
    <t>State College TW Guarantee</t>
  </si>
  <si>
    <t>Community,Dean, President and Innovative Transfer Scholars</t>
  </si>
  <si>
    <t>CSC Second Chance</t>
  </si>
  <si>
    <t>Retrieved from January Board Report</t>
  </si>
  <si>
    <t>Coaching Assistants</t>
  </si>
  <si>
    <t>Americorps</t>
  </si>
  <si>
    <t>CSC Waiver</t>
  </si>
  <si>
    <t>Graduate Assistants - PSC</t>
  </si>
  <si>
    <t>Staff Waivers - PSC</t>
  </si>
  <si>
    <t>Staff Waivers - WSC</t>
  </si>
  <si>
    <t>General Support Fee</t>
  </si>
  <si>
    <t xml:space="preserve">  Matriculation/Processing</t>
  </si>
  <si>
    <t xml:space="preserve">  Student Record Fee</t>
  </si>
  <si>
    <t xml:space="preserve">  Degree</t>
  </si>
  <si>
    <t xml:space="preserve">  Health</t>
  </si>
  <si>
    <t xml:space="preserve">  Technology</t>
  </si>
  <si>
    <t xml:space="preserve">  College Event</t>
  </si>
  <si>
    <t xml:space="preserve">  Online Fee</t>
  </si>
  <si>
    <t xml:space="preserve">  Placement </t>
  </si>
  <si>
    <t xml:space="preserve">  Off Campus Fee</t>
  </si>
  <si>
    <t xml:space="preserve">  Federal Reimbursement</t>
  </si>
  <si>
    <t xml:space="preserve">  Sales of Property</t>
  </si>
  <si>
    <t>NSCS Multi-Activity Scholarship</t>
  </si>
  <si>
    <t xml:space="preserve">  General Support Fee</t>
  </si>
  <si>
    <t xml:space="preserve">  NOG/NDE/ACE Aid </t>
  </si>
  <si>
    <t>(Less) Necess. Reserve (Note 1)</t>
  </si>
  <si>
    <t xml:space="preserve">  Operating Transfer Out  (See Note 2)</t>
  </si>
  <si>
    <t xml:space="preserve">  Miscellaneous Adjs (Note 3)</t>
  </si>
  <si>
    <t>Note 3: Net accrual adjustments, for the previeous fiscal year entered in SAP in period 14-16 to match the audit report, that change the beginning fund balance for next fiscal year.</t>
  </si>
  <si>
    <t>Note 2: The net Operating Transfer Out is $204,630.83 to NSCS for the NESIS payment, $188,805 in athletic sponsorship/camp receipts to trust for athletic scholarships,</t>
  </si>
  <si>
    <t xml:space="preserve"> $2,000 Davis Chambers, $750 PSC Professional Development at CSC, and $12,800.43 BOK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</si>
</sst>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0_)"/>
    <numFmt numFmtId="166" formatCode="0.0%"/>
    <numFmt numFmtId="167" formatCode="&quot;$&quot;#,##0"/>
    <numFmt numFmtId="168" formatCode="_(* #,##0_);_(* \(#,##0\);_(* &quot;-&quot;??_);_(@_)"/>
    <numFmt numFmtId="169" formatCode="&quot;$&quot;#,##0.00"/>
  </numFmts>
  <fonts count="68">
    <font>
      <sz val="11"/>
      <color theme="1"/>
      <name val="Calibri"/>
      <family val="2"/>
      <scheme val="minor"/>
    </font>
    <font>
      <sz val="11"/>
      <color theme="1"/>
      <name val="Calibri"/>
      <family val="2"/>
      <scheme val="minor"/>
    </font>
    <font>
      <sz val="11"/>
      <color theme="1"/>
      <name val="Arial"/>
      <family val="2"/>
    </font>
    <font>
      <sz val="11"/>
      <name val="Arial"/>
      <family val="2"/>
    </font>
    <font>
      <b/>
      <sz val="11"/>
      <color theme="1"/>
      <name val="Arial"/>
      <family val="2"/>
    </font>
    <font>
      <b/>
      <u/>
      <sz val="11"/>
      <color theme="1"/>
      <name val="Calibri"/>
      <family val="2"/>
      <scheme val="minor"/>
    </font>
    <font>
      <b/>
      <sz val="10"/>
      <name val="Arial"/>
      <family val="2"/>
    </font>
    <font>
      <sz val="12"/>
      <name val="Times New Roman"/>
      <family val="1"/>
    </font>
    <font>
      <b/>
      <sz val="10"/>
      <color theme="1"/>
      <name val="Arial"/>
      <family val="2"/>
    </font>
    <font>
      <b/>
      <sz val="12"/>
      <name val="Arial"/>
      <family val="2"/>
    </font>
    <font>
      <b/>
      <sz val="12"/>
      <color rgb="FFFF0000"/>
      <name val="Arial"/>
      <family val="2"/>
    </font>
    <font>
      <sz val="10"/>
      <name val="Arial"/>
      <family val="2"/>
    </font>
    <font>
      <sz val="11"/>
      <color indexed="8"/>
      <name val="Calibri"/>
      <family val="2"/>
    </font>
    <font>
      <sz val="10"/>
      <color indexed="8"/>
      <name val="Times New Roman"/>
      <family val="2"/>
    </font>
    <font>
      <sz val="10"/>
      <name val="Times New Roman"/>
      <family val="1"/>
    </font>
    <font>
      <u/>
      <sz val="10"/>
      <color rgb="FF800080"/>
      <name val="Arial"/>
      <family val="2"/>
    </font>
    <font>
      <u/>
      <sz val="11"/>
      <color theme="10"/>
      <name val="Calibri"/>
      <family val="2"/>
      <scheme val="minor"/>
    </font>
    <font>
      <u/>
      <sz val="10"/>
      <color theme="10"/>
      <name val="Times New Roman"/>
      <family val="1"/>
    </font>
    <font>
      <u/>
      <sz val="10"/>
      <color rgb="FF0000FF"/>
      <name val="Arial"/>
      <family val="2"/>
    </font>
    <font>
      <u/>
      <sz val="11"/>
      <color theme="10"/>
      <name val="Calibri"/>
      <family val="2"/>
    </font>
    <font>
      <u/>
      <sz val="11"/>
      <color theme="10"/>
      <name val="Times New Roman"/>
      <family val="2"/>
    </font>
    <font>
      <sz val="10"/>
      <name val="MS Sans Serif"/>
      <family val="2"/>
    </font>
    <font>
      <sz val="8"/>
      <name val="Times New Roman"/>
      <family val="1"/>
    </font>
    <font>
      <sz val="10"/>
      <name val="Arial Unicode MS"/>
      <family val="2"/>
    </font>
    <font>
      <sz val="12"/>
      <name val="Arial"/>
      <family val="2"/>
    </font>
    <font>
      <sz val="10"/>
      <color indexed="8"/>
      <name val="Arial"/>
      <family val="2"/>
    </font>
    <font>
      <sz val="10"/>
      <color indexed="8"/>
      <name val="Arial"/>
      <family val="2"/>
      <charset val="204"/>
    </font>
    <font>
      <sz val="12"/>
      <name val="SWISS"/>
    </font>
    <font>
      <sz val="10"/>
      <color theme="1"/>
      <name val="Tahoma"/>
      <family val="2"/>
    </font>
    <font>
      <sz val="10"/>
      <color theme="1"/>
      <name val="Times New Roman"/>
      <family val="2"/>
    </font>
    <font>
      <sz val="10"/>
      <name val="SWISS"/>
    </font>
    <font>
      <sz val="10"/>
      <color rgb="FF000000"/>
      <name val="Times New Roman"/>
      <family val="1"/>
    </font>
    <font>
      <sz val="11"/>
      <color indexed="8"/>
      <name val="Calibri"/>
      <family val="2"/>
      <scheme val="minor"/>
    </font>
    <font>
      <sz val="10"/>
      <name val="Courier New"/>
      <family val="3"/>
    </font>
    <font>
      <sz val="8"/>
      <name val="DUTCH"/>
    </font>
    <font>
      <sz val="10"/>
      <color rgb="FF000000"/>
      <name val="Arial"/>
      <family val="2"/>
    </font>
    <font>
      <sz val="14"/>
      <color theme="1"/>
      <name val="Calibri"/>
      <family val="2"/>
    </font>
    <font>
      <sz val="18"/>
      <color theme="3"/>
      <name val="Cambria"/>
      <family val="2"/>
      <scheme val="major"/>
    </font>
    <font>
      <sz val="11"/>
      <color theme="0"/>
      <name val="Calibri"/>
      <family val="2"/>
      <scheme val="minor"/>
    </font>
    <font>
      <b/>
      <sz val="14"/>
      <color theme="1"/>
      <name val="Arial"/>
      <family val="2"/>
    </font>
    <font>
      <b/>
      <sz val="11"/>
      <name val="Arial"/>
      <family val="2"/>
    </font>
    <font>
      <sz val="10"/>
      <color theme="0"/>
      <name val="Arial"/>
      <family val="2"/>
    </font>
    <font>
      <b/>
      <sz val="14"/>
      <name val="Arial"/>
      <family val="2"/>
    </font>
    <font>
      <sz val="14"/>
      <color theme="1"/>
      <name val="Arial"/>
      <family val="2"/>
    </font>
    <font>
      <b/>
      <u/>
      <sz val="10"/>
      <name val="Arial"/>
      <family val="2"/>
    </font>
    <font>
      <sz val="10"/>
      <color theme="1"/>
      <name val="Arial"/>
      <family val="2"/>
    </font>
    <font>
      <b/>
      <u/>
      <sz val="12"/>
      <color rgb="FFFF0000"/>
      <name val="Arial"/>
      <family val="2"/>
    </font>
    <font>
      <sz val="11"/>
      <color theme="9" tint="-0.249977111117893"/>
      <name val="Arial"/>
      <family val="2"/>
    </font>
    <font>
      <sz val="11"/>
      <color theme="9" tint="-0.249977111117893"/>
      <name val="Calibri"/>
      <family val="2"/>
      <scheme val="minor"/>
    </font>
    <font>
      <b/>
      <sz val="11"/>
      <color theme="1"/>
      <name val="Calibri"/>
      <family val="2"/>
      <scheme val="minor"/>
    </font>
    <font>
      <sz val="11"/>
      <name val="Calibri"/>
      <family val="2"/>
      <scheme val="minor"/>
    </font>
    <font>
      <sz val="11"/>
      <name val="Calibri"/>
      <family val="2"/>
    </font>
    <font>
      <b/>
      <sz val="8"/>
      <color rgb="FFFF0000"/>
      <name val="Arial"/>
      <family val="2"/>
    </font>
    <font>
      <b/>
      <sz val="8"/>
      <color rgb="FFFF0000"/>
      <name val="Cambria"/>
      <family val="1"/>
      <scheme val="major"/>
    </font>
    <font>
      <sz val="11"/>
      <color theme="1"/>
      <name val="Calibri"/>
      <family val="2"/>
    </font>
    <font>
      <b/>
      <sz val="16"/>
      <color rgb="FF000000"/>
      <name val="Calibri"/>
      <family val="2"/>
    </font>
    <font>
      <sz val="12"/>
      <color rgb="FF000000"/>
      <name val="Arial"/>
      <family val="2"/>
    </font>
    <font>
      <b/>
      <sz val="16"/>
      <name val="Arial"/>
      <family val="2"/>
    </font>
    <font>
      <sz val="14"/>
      <color rgb="FF000000"/>
      <name val="Arial"/>
      <family val="2"/>
    </font>
    <font>
      <sz val="11"/>
      <color rgb="FF000000"/>
      <name val="Arial"/>
      <family val="2"/>
    </font>
    <font>
      <b/>
      <sz val="10"/>
      <color rgb="FF000000"/>
      <name val="Arial"/>
      <family val="2"/>
    </font>
    <font>
      <sz val="8"/>
      <color theme="1"/>
      <name val="Arial"/>
      <family val="2"/>
    </font>
    <font>
      <b/>
      <sz val="7.5"/>
      <color rgb="FFFF0000"/>
      <name val="Cambria"/>
      <family val="1"/>
      <scheme val="major"/>
    </font>
    <font>
      <i/>
      <sz val="8"/>
      <color theme="1"/>
      <name val="Arial"/>
      <family val="2"/>
    </font>
    <font>
      <sz val="11"/>
      <color rgb="FFFF0000"/>
      <name val="Calibri"/>
      <family val="2"/>
      <scheme val="minor"/>
    </font>
    <font>
      <sz val="11"/>
      <color rgb="FFFF0000"/>
      <name val="Calibri"/>
      <family val="2"/>
    </font>
    <font>
      <b/>
      <sz val="11"/>
      <name val="Calibri"/>
      <family val="2"/>
      <scheme val="minor"/>
    </font>
    <font>
      <sz val="11"/>
      <color rgb="FF0070C0"/>
      <name val="Calibri"/>
      <family val="2"/>
      <scheme val="minor"/>
    </font>
  </fonts>
  <fills count="31">
    <fill>
      <patternFill patternType="none"/>
    </fill>
    <fill>
      <patternFill patternType="gray125"/>
    </fill>
    <fill>
      <patternFill patternType="solid">
        <fgColor rgb="FFFFFFCC"/>
      </patternFill>
    </fill>
    <fill>
      <patternFill patternType="solid">
        <fgColor indexed="9"/>
        <bgColor indexed="9"/>
      </patternFill>
    </fill>
    <fill>
      <patternFill patternType="solid">
        <fgColor theme="0" tint="-0.14999847407452621"/>
        <bgColor indexed="64"/>
      </patternFill>
    </fill>
    <fill>
      <patternFill patternType="solid">
        <fgColor theme="1"/>
        <bgColor indexed="64"/>
      </patternFill>
    </fill>
    <fill>
      <patternFill patternType="solid">
        <fgColor indexed="65"/>
        <bgColor indexed="9"/>
      </patternFill>
    </fill>
    <fill>
      <patternFill patternType="solid">
        <fgColor indexed="9"/>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9"/>
      </patternFill>
    </fill>
    <fill>
      <patternFill patternType="solid">
        <fgColor rgb="FFE4DFEC"/>
        <bgColor rgb="FFFFFFFF"/>
      </patternFill>
    </fill>
    <fill>
      <patternFill patternType="solid">
        <fgColor rgb="FFF2DCDB"/>
        <bgColor rgb="FFFFFFFF"/>
      </patternFill>
    </fill>
    <fill>
      <patternFill patternType="solid">
        <fgColor rgb="FFDDD9C4"/>
        <bgColor rgb="FFFFFFFF"/>
      </patternFill>
    </fill>
    <fill>
      <patternFill patternType="solid">
        <fgColor rgb="FFC5D9F1"/>
        <bgColor rgb="FFFFFFFF"/>
      </patternFill>
    </fill>
    <fill>
      <patternFill patternType="solid">
        <fgColor rgb="FFEBF1DE"/>
        <bgColor rgb="FFFFFFFF"/>
      </patternFill>
    </fill>
    <fill>
      <patternFill patternType="solid">
        <fgColor rgb="FFFDE9D9"/>
        <bgColor rgb="FFFFFFFF"/>
      </patternFill>
    </fill>
    <fill>
      <patternFill patternType="solid">
        <fgColor rgb="FFFFFFFF"/>
        <bgColor rgb="FFFFFFFF"/>
      </patternFill>
    </fill>
    <fill>
      <patternFill patternType="solid">
        <fgColor rgb="FFFFFFFF"/>
        <bgColor rgb="FF000000"/>
      </patternFill>
    </fill>
    <fill>
      <patternFill patternType="solid">
        <fgColor rgb="FFC5D9F1"/>
        <bgColor rgb="FF000000"/>
      </patternFill>
    </fill>
    <fill>
      <patternFill patternType="solid">
        <fgColor rgb="FFEBF1DE"/>
        <bgColor rgb="FF000000"/>
      </patternFill>
    </fill>
    <fill>
      <patternFill patternType="solid">
        <fgColor rgb="FFFDE9D9"/>
        <bgColor rgb="FF000000"/>
      </patternFill>
    </fill>
    <fill>
      <patternFill patternType="solid">
        <fgColor rgb="FFE4DFEC"/>
        <bgColor rgb="FF000000"/>
      </patternFill>
    </fill>
    <fill>
      <patternFill patternType="solid">
        <fgColor rgb="FFF2DCDB"/>
        <bgColor rgb="FF000000"/>
      </patternFill>
    </fill>
    <fill>
      <patternFill patternType="solid">
        <fgColor rgb="FFDDD9C4"/>
        <bgColor rgb="FF000000"/>
      </patternFill>
    </fill>
    <fill>
      <patternFill patternType="solid">
        <fgColor theme="5" tint="0.79998168889431442"/>
        <bgColor rgb="FF000000"/>
      </patternFill>
    </fill>
    <fill>
      <patternFill patternType="solid">
        <fgColor theme="4" tint="0.79998168889431442"/>
        <bgColor rgb="FF000000"/>
      </patternFill>
    </fill>
    <fill>
      <patternFill patternType="solid">
        <fgColor theme="2" tint="-9.9978637043366805E-2"/>
        <bgColor rgb="FF000000"/>
      </patternFill>
    </fill>
    <fill>
      <patternFill patternType="solid">
        <fgColor theme="9" tint="0.79998168889431442"/>
        <bgColor rgb="FFFFFFFF"/>
      </patternFill>
    </fill>
    <fill>
      <patternFill patternType="solid">
        <fgColor theme="6" tint="0.79998168889431442"/>
        <bgColor indexed="64"/>
      </patternFill>
    </fill>
    <fill>
      <patternFill patternType="solid">
        <fgColor theme="6" tint="0.79998168889431442"/>
        <bgColor rgb="FF000000"/>
      </patternFill>
    </fill>
  </fills>
  <borders count="4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auto="1"/>
      </right>
      <top/>
      <bottom style="thin">
        <color auto="1"/>
      </bottom>
      <diagonal/>
    </border>
    <border>
      <left/>
      <right style="medium">
        <color auto="1"/>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auto="1"/>
      </right>
      <top style="medium">
        <color indexed="64"/>
      </top>
      <bottom style="thin">
        <color auto="1"/>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s>
  <cellStyleXfs count="558">
    <xf numFmtId="0" fontId="0" fillId="0" borderId="0"/>
    <xf numFmtId="165" fontId="7"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4" fillId="0" borderId="0"/>
    <xf numFmtId="0" fontId="11" fillId="0" borderId="0"/>
    <xf numFmtId="0" fontId="14"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22"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23" fillId="0" borderId="0"/>
    <xf numFmtId="0" fontId="23" fillId="0" borderId="0"/>
    <xf numFmtId="0" fontId="1" fillId="0" borderId="0"/>
    <xf numFmtId="0" fontId="24" fillId="0" borderId="0"/>
    <xf numFmtId="0" fontId="11" fillId="0" borderId="0"/>
    <xf numFmtId="0" fontId="25" fillId="0" borderId="0"/>
    <xf numFmtId="0" fontId="11" fillId="0" borderId="0"/>
    <xf numFmtId="0" fontId="26" fillId="0" borderId="0"/>
    <xf numFmtId="37" fontId="27" fillId="0" borderId="0"/>
    <xf numFmtId="0" fontId="24" fillId="0" borderId="0"/>
    <xf numFmtId="0" fontId="11" fillId="0" borderId="0"/>
    <xf numFmtId="0" fontId="28" fillId="0" borderId="0"/>
    <xf numFmtId="0" fontId="29" fillId="0" borderId="0"/>
    <xf numFmtId="165" fontId="7" fillId="0" borderId="0"/>
    <xf numFmtId="0" fontId="30" fillId="0" borderId="0"/>
    <xf numFmtId="0" fontId="7" fillId="0" borderId="0"/>
    <xf numFmtId="0" fontId="7"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31" fillId="0" borderId="0"/>
    <xf numFmtId="0" fontId="3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37" fontId="22" fillId="0" borderId="0"/>
    <xf numFmtId="0" fontId="7" fillId="0" borderId="0"/>
    <xf numFmtId="39" fontId="34" fillId="7" borderId="0"/>
    <xf numFmtId="0" fontId="35"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24"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2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5" fontId="7" fillId="0" borderId="0"/>
    <xf numFmtId="165"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22" fillId="0" borderId="0"/>
    <xf numFmtId="37"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22" fillId="0" borderId="0"/>
    <xf numFmtId="0" fontId="11" fillId="0" borderId="0"/>
    <xf numFmtId="37" fontId="22" fillId="0" borderId="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21" fillId="0" borderId="0"/>
    <xf numFmtId="0" fontId="1" fillId="2" borderId="1" applyNumberFormat="0" applyFont="0" applyAlignment="0" applyProtection="0"/>
    <xf numFmtId="0" fontId="1" fillId="2" borderId="1"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cellStyleXfs>
  <cellXfs count="541">
    <xf numFmtId="0" fontId="0" fillId="0" borderId="0" xfId="0"/>
    <xf numFmtId="164" fontId="2" fillId="0" borderId="2" xfId="0" applyNumberFormat="1" applyFont="1" applyBorder="1" applyProtection="1">
      <protection locked="0"/>
    </xf>
    <xf numFmtId="164" fontId="2" fillId="0" borderId="2" xfId="0" applyNumberFormat="1" applyFont="1" applyBorder="1"/>
    <xf numFmtId="164" fontId="2" fillId="4" borderId="2" xfId="0" applyNumberFormat="1" applyFont="1" applyFill="1" applyBorder="1"/>
    <xf numFmtId="3" fontId="2" fillId="4" borderId="2" xfId="0" applyNumberFormat="1" applyFont="1" applyFill="1" applyBorder="1"/>
    <xf numFmtId="3" fontId="2" fillId="0" borderId="0" xfId="0" applyNumberFormat="1" applyFont="1"/>
    <xf numFmtId="164" fontId="2" fillId="0" borderId="0" xfId="0" applyNumberFormat="1" applyFont="1"/>
    <xf numFmtId="164" fontId="2" fillId="5" borderId="2" xfId="0" applyNumberFormat="1" applyFont="1" applyFill="1" applyBorder="1"/>
    <xf numFmtId="0" fontId="2" fillId="3" borderId="0" xfId="0" applyFont="1" applyFill="1"/>
    <xf numFmtId="0" fontId="6" fillId="3" borderId="0" xfId="0" applyFont="1" applyFill="1"/>
    <xf numFmtId="0" fontId="6" fillId="3" borderId="9" xfId="0" applyFont="1" applyFill="1" applyBorder="1"/>
    <xf numFmtId="0" fontId="2" fillId="0" borderId="0" xfId="0" applyFont="1" applyAlignment="1">
      <alignment horizontal="center" vertical="center"/>
    </xf>
    <xf numFmtId="0" fontId="6" fillId="0" borderId="0" xfId="0" applyFont="1"/>
    <xf numFmtId="0" fontId="2" fillId="3" borderId="0" xfId="0" applyFont="1" applyFill="1" applyAlignment="1">
      <alignment horizontal="center" vertical="center"/>
    </xf>
    <xf numFmtId="0" fontId="0" fillId="3" borderId="0" xfId="0" applyFill="1"/>
    <xf numFmtId="0" fontId="3" fillId="0" borderId="0" xfId="0" applyFont="1"/>
    <xf numFmtId="0" fontId="3" fillId="8" borderId="2" xfId="0" applyFont="1" applyFill="1" applyBorder="1" applyAlignment="1">
      <alignment horizontal="left" vertical="center" wrapText="1"/>
    </xf>
    <xf numFmtId="0" fontId="3" fillId="8" borderId="0" xfId="0" applyFont="1" applyFill="1" applyAlignment="1">
      <alignment wrapText="1"/>
    </xf>
    <xf numFmtId="0" fontId="0" fillId="8" borderId="0" xfId="0" applyFill="1"/>
    <xf numFmtId="0" fontId="41" fillId="3" borderId="0" xfId="0" applyFont="1" applyFill="1"/>
    <xf numFmtId="0" fontId="38" fillId="3" borderId="0" xfId="0" applyFont="1" applyFill="1"/>
    <xf numFmtId="0" fontId="2" fillId="3" borderId="0" xfId="0" applyFont="1" applyFill="1" applyAlignment="1">
      <alignment wrapText="1"/>
    </xf>
    <xf numFmtId="0" fontId="11" fillId="3" borderId="0" xfId="177" applyFill="1"/>
    <xf numFmtId="0" fontId="0" fillId="3" borderId="0" xfId="0" applyFill="1" applyAlignment="1">
      <alignment horizontal="center"/>
    </xf>
    <xf numFmtId="0" fontId="3" fillId="0" borderId="0" xfId="0" applyFont="1" applyAlignment="1">
      <alignment horizontal="center"/>
    </xf>
    <xf numFmtId="0" fontId="38" fillId="3" borderId="0" xfId="0" applyFont="1" applyFill="1" applyAlignment="1">
      <alignment horizontal="center"/>
    </xf>
    <xf numFmtId="0" fontId="3" fillId="0" borderId="2" xfId="0" applyFont="1" applyBorder="1" applyProtection="1">
      <protection locked="0"/>
    </xf>
    <xf numFmtId="0" fontId="3" fillId="0" borderId="16" xfId="0" applyFont="1" applyBorder="1"/>
    <xf numFmtId="0" fontId="3" fillId="0" borderId="16" xfId="0" applyFont="1" applyBorder="1" applyAlignment="1">
      <alignment horizontal="center"/>
    </xf>
    <xf numFmtId="0" fontId="2" fillId="8" borderId="0" xfId="0" applyFont="1" applyFill="1"/>
    <xf numFmtId="0" fontId="2" fillId="0" borderId="0" xfId="0" applyFont="1"/>
    <xf numFmtId="0" fontId="43" fillId="0" borderId="0" xfId="0" applyFont="1"/>
    <xf numFmtId="3" fontId="2" fillId="0" borderId="27" xfId="0" applyNumberFormat="1" applyFont="1" applyBorder="1" applyProtection="1">
      <protection locked="0"/>
    </xf>
    <xf numFmtId="3" fontId="2" fillId="0" borderId="29" xfId="0" applyNumberFormat="1" applyFont="1" applyBorder="1"/>
    <xf numFmtId="3" fontId="2" fillId="4" borderId="27" xfId="0" applyNumberFormat="1" applyFont="1" applyFill="1" applyBorder="1"/>
    <xf numFmtId="3" fontId="0" fillId="0" borderId="29" xfId="0" applyNumberFormat="1" applyBorder="1"/>
    <xf numFmtId="0" fontId="2" fillId="3" borderId="7" xfId="0" applyFont="1" applyFill="1" applyBorder="1"/>
    <xf numFmtId="0" fontId="6" fillId="3" borderId="7" xfId="0" applyFont="1" applyFill="1" applyBorder="1"/>
    <xf numFmtId="0" fontId="2" fillId="3" borderId="8" xfId="0" applyFont="1" applyFill="1" applyBorder="1"/>
    <xf numFmtId="0" fontId="6" fillId="3" borderId="8" xfId="0" applyFont="1" applyFill="1" applyBorder="1"/>
    <xf numFmtId="167" fontId="2" fillId="0" borderId="28" xfId="557" applyNumberFormat="1" applyFont="1" applyFill="1" applyBorder="1" applyProtection="1">
      <protection locked="0"/>
    </xf>
    <xf numFmtId="167" fontId="2" fillId="0" borderId="30" xfId="557" applyNumberFormat="1" applyFont="1" applyFill="1" applyBorder="1" applyProtection="1"/>
    <xf numFmtId="167" fontId="2" fillId="0" borderId="30" xfId="0" applyNumberFormat="1" applyFont="1" applyBorder="1"/>
    <xf numFmtId="167" fontId="2" fillId="0" borderId="28" xfId="0" applyNumberFormat="1" applyFont="1" applyBorder="1" applyProtection="1">
      <protection locked="0"/>
    </xf>
    <xf numFmtId="167" fontId="2" fillId="4" borderId="28" xfId="0" applyNumberFormat="1" applyFont="1" applyFill="1" applyBorder="1"/>
    <xf numFmtId="167" fontId="0" fillId="0" borderId="30" xfId="0" applyNumberFormat="1" applyBorder="1"/>
    <xf numFmtId="167" fontId="2" fillId="5" borderId="28" xfId="0" applyNumberFormat="1" applyFont="1" applyFill="1" applyBorder="1"/>
    <xf numFmtId="167" fontId="2" fillId="0" borderId="0" xfId="0" applyNumberFormat="1" applyFont="1"/>
    <xf numFmtId="167" fontId="0" fillId="0" borderId="0" xfId="0" applyNumberFormat="1"/>
    <xf numFmtId="167" fontId="2" fillId="5" borderId="2" xfId="0" applyNumberFormat="1" applyFont="1" applyFill="1" applyBorder="1"/>
    <xf numFmtId="0" fontId="40" fillId="0" borderId="0" xfId="0" applyFont="1" applyAlignment="1">
      <alignment horizontal="left" indent="2"/>
    </xf>
    <xf numFmtId="3" fontId="0" fillId="9" borderId="29" xfId="0" applyNumberFormat="1" applyFill="1" applyBorder="1"/>
    <xf numFmtId="0" fontId="0" fillId="9" borderId="0" xfId="0" applyFill="1"/>
    <xf numFmtId="167" fontId="0" fillId="9" borderId="30" xfId="0" applyNumberFormat="1" applyFill="1" applyBorder="1"/>
    <xf numFmtId="3" fontId="0" fillId="9" borderId="0" xfId="0" applyNumberFormat="1" applyFill="1"/>
    <xf numFmtId="167" fontId="0" fillId="9" borderId="0" xfId="0" applyNumberFormat="1" applyFill="1"/>
    <xf numFmtId="3" fontId="0" fillId="0" borderId="0" xfId="0" applyNumberFormat="1"/>
    <xf numFmtId="3" fontId="0" fillId="0" borderId="7" xfId="0" applyNumberFormat="1" applyBorder="1"/>
    <xf numFmtId="0" fontId="0" fillId="0" borderId="7" xfId="0" applyBorder="1"/>
    <xf numFmtId="167" fontId="0" fillId="0" borderId="7" xfId="0" applyNumberFormat="1" applyBorder="1"/>
    <xf numFmtId="164" fontId="0" fillId="0" borderId="7" xfId="0" applyNumberFormat="1" applyBorder="1"/>
    <xf numFmtId="3" fontId="0" fillId="0" borderId="35" xfId="0" applyNumberFormat="1" applyBorder="1"/>
    <xf numFmtId="167" fontId="0" fillId="0" borderId="34" xfId="0" applyNumberFormat="1" applyBorder="1"/>
    <xf numFmtId="3" fontId="0" fillId="3" borderId="0" xfId="0" applyNumberFormat="1" applyFill="1"/>
    <xf numFmtId="0" fontId="3" fillId="0" borderId="2" xfId="0" applyFont="1" applyBorder="1" applyAlignment="1" applyProtection="1">
      <alignment horizontal="left" indent="1"/>
      <protection locked="0"/>
    </xf>
    <xf numFmtId="0" fontId="40" fillId="0" borderId="36" xfId="0" applyFont="1" applyBorder="1"/>
    <xf numFmtId="4" fontId="3" fillId="0" borderId="32" xfId="0" applyNumberFormat="1" applyFont="1" applyBorder="1"/>
    <xf numFmtId="0" fontId="3" fillId="0" borderId="9" xfId="0" applyFont="1" applyBorder="1"/>
    <xf numFmtId="4" fontId="3" fillId="0" borderId="9" xfId="0" applyNumberFormat="1" applyFont="1" applyBorder="1"/>
    <xf numFmtId="0" fontId="3" fillId="0" borderId="33" xfId="0" applyFont="1" applyBorder="1"/>
    <xf numFmtId="4" fontId="3" fillId="0" borderId="33" xfId="0" applyNumberFormat="1" applyFont="1" applyBorder="1"/>
    <xf numFmtId="0" fontId="4" fillId="10" borderId="0" xfId="0" applyFont="1" applyFill="1"/>
    <xf numFmtId="0" fontId="6" fillId="0" borderId="38" xfId="0" applyFont="1" applyBorder="1" applyAlignment="1">
      <alignment horizontal="center" vertical="center" wrapText="1"/>
    </xf>
    <xf numFmtId="4" fontId="3" fillId="0" borderId="39" xfId="0" applyNumberFormat="1" applyFont="1" applyBorder="1"/>
    <xf numFmtId="0" fontId="3" fillId="0" borderId="38" xfId="0" applyFont="1" applyBorder="1"/>
    <xf numFmtId="4" fontId="47" fillId="0" borderId="0" xfId="0" applyNumberFormat="1" applyFont="1" applyAlignment="1">
      <alignment horizontal="right" indent="1"/>
    </xf>
    <xf numFmtId="0" fontId="48" fillId="0" borderId="0" xfId="0" applyFont="1"/>
    <xf numFmtId="0" fontId="45" fillId="0" borderId="0" xfId="0" applyFont="1"/>
    <xf numFmtId="0" fontId="45" fillId="0" borderId="0" xfId="0" applyFont="1" applyAlignment="1">
      <alignment wrapText="1"/>
    </xf>
    <xf numFmtId="3" fontId="45" fillId="4" borderId="0" xfId="0" applyNumberFormat="1" applyFont="1" applyFill="1" applyAlignment="1">
      <alignment horizontal="right" indent="1"/>
    </xf>
    <xf numFmtId="3" fontId="2" fillId="8" borderId="0" xfId="0" applyNumberFormat="1" applyFont="1" applyFill="1"/>
    <xf numFmtId="0" fontId="43" fillId="8" borderId="0" xfId="0" applyFont="1" applyFill="1" applyAlignment="1">
      <alignment horizontal="center" wrapText="1"/>
    </xf>
    <xf numFmtId="0" fontId="4" fillId="0" borderId="0" xfId="0" applyFont="1"/>
    <xf numFmtId="167" fontId="4" fillId="0" borderId="0" xfId="0" applyNumberFormat="1" applyFont="1"/>
    <xf numFmtId="0" fontId="3" fillId="0" borderId="0" xfId="0" applyFont="1" applyAlignment="1">
      <alignment horizontal="center" wrapText="1"/>
    </xf>
    <xf numFmtId="0" fontId="0" fillId="3" borderId="9" xfId="0" applyFill="1" applyBorder="1"/>
    <xf numFmtId="0" fontId="6" fillId="6" borderId="33" xfId="0" applyFont="1" applyFill="1" applyBorder="1" applyAlignment="1">
      <alignment horizontal="center"/>
    </xf>
    <xf numFmtId="0" fontId="6" fillId="3" borderId="10" xfId="0" applyFont="1" applyFill="1" applyBorder="1"/>
    <xf numFmtId="0" fontId="50" fillId="3" borderId="10" xfId="0" applyFont="1" applyFill="1" applyBorder="1"/>
    <xf numFmtId="168" fontId="50" fillId="3" borderId="10" xfId="557" applyNumberFormat="1" applyFont="1" applyFill="1" applyBorder="1"/>
    <xf numFmtId="0" fontId="44" fillId="3" borderId="10" xfId="0" applyFont="1" applyFill="1" applyBorder="1"/>
    <xf numFmtId="168" fontId="50" fillId="0" borderId="10" xfId="557" applyNumberFormat="1" applyFont="1" applyFill="1" applyBorder="1"/>
    <xf numFmtId="168" fontId="51" fillId="0" borderId="10" xfId="557" applyNumberFormat="1" applyFont="1" applyFill="1" applyBorder="1"/>
    <xf numFmtId="0" fontId="6" fillId="3" borderId="45" xfId="0" applyFont="1" applyFill="1" applyBorder="1"/>
    <xf numFmtId="0" fontId="50" fillId="3" borderId="0" xfId="0" applyFont="1" applyFill="1"/>
    <xf numFmtId="0" fontId="6" fillId="3" borderId="33" xfId="0" applyFont="1" applyFill="1" applyBorder="1"/>
    <xf numFmtId="0" fontId="50" fillId="3" borderId="33" xfId="0" applyFont="1" applyFill="1" applyBorder="1"/>
    <xf numFmtId="168" fontId="50" fillId="0" borderId="5" xfId="557" applyNumberFormat="1" applyFont="1" applyFill="1" applyBorder="1"/>
    <xf numFmtId="168" fontId="50" fillId="0" borderId="4" xfId="557" applyNumberFormat="1" applyFont="1" applyFill="1" applyBorder="1"/>
    <xf numFmtId="0" fontId="6" fillId="3" borderId="5" xfId="0" applyFont="1" applyFill="1" applyBorder="1"/>
    <xf numFmtId="0" fontId="50" fillId="3" borderId="5" xfId="0" applyFont="1" applyFill="1" applyBorder="1"/>
    <xf numFmtId="0" fontId="6" fillId="3" borderId="4" xfId="0" applyFont="1" applyFill="1" applyBorder="1"/>
    <xf numFmtId="0" fontId="50" fillId="3" borderId="4" xfId="0" applyFont="1" applyFill="1" applyBorder="1"/>
    <xf numFmtId="0" fontId="6" fillId="3" borderId="2" xfId="0" applyFont="1" applyFill="1" applyBorder="1"/>
    <xf numFmtId="0" fontId="50" fillId="3" borderId="6" xfId="0" applyFont="1" applyFill="1" applyBorder="1"/>
    <xf numFmtId="167" fontId="2" fillId="4" borderId="2" xfId="0" applyNumberFormat="1" applyFont="1" applyFill="1" applyBorder="1"/>
    <xf numFmtId="167" fontId="3" fillId="0" borderId="2" xfId="0" applyNumberFormat="1" applyFont="1" applyBorder="1" applyProtection="1">
      <protection locked="0"/>
    </xf>
    <xf numFmtId="167" fontId="3" fillId="0" borderId="0" xfId="0" applyNumberFormat="1" applyFont="1"/>
    <xf numFmtId="167" fontId="3" fillId="4" borderId="2" xfId="0" applyNumberFormat="1" applyFont="1" applyFill="1" applyBorder="1"/>
    <xf numFmtId="167" fontId="38" fillId="3" borderId="0" xfId="0" applyNumberFormat="1" applyFont="1" applyFill="1"/>
    <xf numFmtId="167" fontId="3" fillId="0" borderId="16" xfId="0" applyNumberFormat="1" applyFont="1" applyBorder="1"/>
    <xf numFmtId="167" fontId="3" fillId="0" borderId="17" xfId="0" applyNumberFormat="1" applyFont="1" applyBorder="1"/>
    <xf numFmtId="0" fontId="49" fillId="3" borderId="0" xfId="0" applyFont="1" applyFill="1"/>
    <xf numFmtId="0" fontId="4" fillId="3" borderId="0" xfId="0" applyFont="1" applyFill="1" applyAlignment="1">
      <alignment wrapText="1"/>
    </xf>
    <xf numFmtId="3" fontId="49" fillId="3" borderId="0" xfId="0" applyNumberFormat="1" applyFont="1" applyFill="1"/>
    <xf numFmtId="0" fontId="5" fillId="3" borderId="0" xfId="0" applyFont="1" applyFill="1" applyAlignment="1">
      <alignment vertical="top"/>
    </xf>
    <xf numFmtId="0" fontId="52" fillId="0" borderId="2" xfId="0" applyFont="1" applyBorder="1" applyAlignment="1">
      <alignment horizontal="left" indent="1"/>
    </xf>
    <xf numFmtId="0" fontId="3" fillId="0" borderId="2" xfId="0" applyFont="1" applyBorder="1"/>
    <xf numFmtId="0" fontId="3" fillId="0" borderId="2" xfId="0" applyFont="1" applyBorder="1" applyAlignment="1">
      <alignment horizontal="center"/>
    </xf>
    <xf numFmtId="0" fontId="3" fillId="0" borderId="4" xfId="0" applyFont="1" applyBorder="1"/>
    <xf numFmtId="167" fontId="3" fillId="0" borderId="2" xfId="0" applyNumberFormat="1" applyFont="1" applyBorder="1"/>
    <xf numFmtId="0" fontId="0" fillId="3" borderId="2" xfId="0" applyFill="1" applyBorder="1"/>
    <xf numFmtId="0" fontId="0" fillId="3" borderId="2" xfId="0" applyFill="1" applyBorder="1" applyAlignment="1">
      <alignment horizontal="center"/>
    </xf>
    <xf numFmtId="0" fontId="0" fillId="3" borderId="4" xfId="0" applyFill="1" applyBorder="1"/>
    <xf numFmtId="1" fontId="2" fillId="0" borderId="0" xfId="0" applyNumberFormat="1" applyFont="1" applyAlignment="1">
      <alignment horizontal="right" indent="1"/>
    </xf>
    <xf numFmtId="1" fontId="43" fillId="0" borderId="0" xfId="0" applyNumberFormat="1" applyFont="1" applyAlignment="1">
      <alignment horizontal="right" indent="1"/>
    </xf>
    <xf numFmtId="167" fontId="2" fillId="4" borderId="4" xfId="0" applyNumberFormat="1" applyFont="1" applyFill="1" applyBorder="1" applyAlignment="1">
      <alignment horizontal="right" indent="1"/>
    </xf>
    <xf numFmtId="167" fontId="2" fillId="4" borderId="5" xfId="0" applyNumberFormat="1" applyFont="1" applyFill="1" applyBorder="1" applyAlignment="1">
      <alignment horizontal="right" indent="1"/>
    </xf>
    <xf numFmtId="167" fontId="2" fillId="0" borderId="0" xfId="0" applyNumberFormat="1" applyFont="1" applyAlignment="1">
      <alignment horizontal="right" indent="1"/>
    </xf>
    <xf numFmtId="167" fontId="43" fillId="4" borderId="4" xfId="0" applyNumberFormat="1" applyFont="1" applyFill="1" applyBorder="1" applyAlignment="1">
      <alignment horizontal="right" indent="1"/>
    </xf>
    <xf numFmtId="167" fontId="43" fillId="0" borderId="0" xfId="0" applyNumberFormat="1" applyFont="1" applyAlignment="1">
      <alignment horizontal="right" indent="1"/>
    </xf>
    <xf numFmtId="167" fontId="45" fillId="4" borderId="4" xfId="0" applyNumberFormat="1" applyFont="1" applyFill="1" applyBorder="1" applyAlignment="1">
      <alignment horizontal="right" indent="1"/>
    </xf>
    <xf numFmtId="167" fontId="45" fillId="4" borderId="0" xfId="0" applyNumberFormat="1" applyFont="1" applyFill="1" applyAlignment="1">
      <alignment horizontal="right" indent="1"/>
    </xf>
    <xf numFmtId="167" fontId="45" fillId="0" borderId="0" xfId="0" applyNumberFormat="1" applyFont="1" applyAlignment="1">
      <alignment horizontal="right" indent="1"/>
    </xf>
    <xf numFmtId="167" fontId="45" fillId="4" borderId="3" xfId="0" applyNumberFormat="1" applyFont="1" applyFill="1" applyBorder="1" applyAlignment="1">
      <alignment horizontal="right" indent="1"/>
    </xf>
    <xf numFmtId="0" fontId="45" fillId="8" borderId="0" xfId="0" applyFont="1" applyFill="1"/>
    <xf numFmtId="3" fontId="2" fillId="0" borderId="0" xfId="0" applyNumberFormat="1" applyFont="1" applyAlignment="1">
      <alignment horizontal="right" indent="1"/>
    </xf>
    <xf numFmtId="3" fontId="45" fillId="0" borderId="0" xfId="0" applyNumberFormat="1" applyFont="1" applyAlignment="1">
      <alignment horizontal="right" indent="1"/>
    </xf>
    <xf numFmtId="166" fontId="11" fillId="4" borderId="7" xfId="0" applyNumberFormat="1" applyFont="1" applyFill="1" applyBorder="1" applyAlignment="1">
      <alignment horizontal="right" vertical="center" indent="1"/>
    </xf>
    <xf numFmtId="3" fontId="11" fillId="0" borderId="7" xfId="0" applyNumberFormat="1" applyFont="1" applyBorder="1" applyAlignment="1" applyProtection="1">
      <alignment horizontal="right" vertical="center" indent="1"/>
      <protection locked="0"/>
    </xf>
    <xf numFmtId="167" fontId="11" fillId="4" borderId="7" xfId="0" applyNumberFormat="1" applyFont="1" applyFill="1" applyBorder="1" applyAlignment="1">
      <alignment horizontal="right" vertical="center" indent="1"/>
    </xf>
    <xf numFmtId="167" fontId="11" fillId="0" borderId="7" xfId="0" applyNumberFormat="1" applyFont="1" applyBorder="1" applyAlignment="1" applyProtection="1">
      <alignment horizontal="right" vertical="center" indent="1"/>
      <protection locked="0"/>
    </xf>
    <xf numFmtId="166" fontId="11" fillId="4" borderId="7" xfId="545" applyNumberFormat="1" applyFont="1" applyFill="1" applyBorder="1" applyAlignment="1" applyProtection="1">
      <alignment horizontal="right" vertical="center" indent="1"/>
    </xf>
    <xf numFmtId="0" fontId="53" fillId="0" borderId="24" xfId="0" applyFont="1" applyBorder="1"/>
    <xf numFmtId="0" fontId="6" fillId="6" borderId="5" xfId="0" applyFont="1" applyFill="1" applyBorder="1" applyAlignment="1">
      <alignment horizontal="center"/>
    </xf>
    <xf numFmtId="0" fontId="50" fillId="3" borderId="10" xfId="0" applyFont="1" applyFill="1" applyBorder="1" applyProtection="1">
      <protection locked="0"/>
    </xf>
    <xf numFmtId="168" fontId="50" fillId="3" borderId="10" xfId="557" applyNumberFormat="1" applyFont="1" applyFill="1" applyBorder="1" applyProtection="1">
      <protection locked="0"/>
    </xf>
    <xf numFmtId="168" fontId="51" fillId="0" borderId="10" xfId="557" applyNumberFormat="1" applyFont="1" applyFill="1" applyBorder="1" applyProtection="1">
      <protection locked="0"/>
    </xf>
    <xf numFmtId="0" fontId="50" fillId="3" borderId="45" xfId="0" applyFont="1" applyFill="1" applyBorder="1" applyProtection="1">
      <protection locked="0"/>
    </xf>
    <xf numFmtId="168" fontId="51" fillId="0" borderId="45" xfId="557" applyNumberFormat="1" applyFont="1" applyFill="1" applyBorder="1" applyProtection="1">
      <protection locked="0"/>
    </xf>
    <xf numFmtId="0" fontId="50" fillId="3" borderId="33" xfId="0" applyFont="1" applyFill="1" applyBorder="1" applyProtection="1">
      <protection locked="0"/>
    </xf>
    <xf numFmtId="168" fontId="50" fillId="3" borderId="33" xfId="557" applyNumberFormat="1" applyFont="1" applyFill="1" applyBorder="1" applyAlignment="1" applyProtection="1">
      <alignment horizontal="center"/>
      <protection locked="0"/>
    </xf>
    <xf numFmtId="0" fontId="52" fillId="0" borderId="3" xfId="0" applyFont="1" applyBorder="1" applyAlignment="1">
      <alignment horizontal="left" indent="1"/>
    </xf>
    <xf numFmtId="0" fontId="54" fillId="0" borderId="0" xfId="0" applyFont="1"/>
    <xf numFmtId="167" fontId="54" fillId="0" borderId="0" xfId="0" applyNumberFormat="1" applyFont="1"/>
    <xf numFmtId="0" fontId="55" fillId="0" borderId="0" xfId="0" applyFont="1"/>
    <xf numFmtId="0" fontId="56" fillId="0" borderId="0" xfId="0" applyFont="1"/>
    <xf numFmtId="3" fontId="2" fillId="0" borderId="27" xfId="0" applyNumberFormat="1" applyFont="1" applyBorder="1"/>
    <xf numFmtId="167" fontId="2" fillId="0" borderId="2" xfId="0" applyNumberFormat="1" applyFont="1" applyBorder="1"/>
    <xf numFmtId="167" fontId="2" fillId="0" borderId="28" xfId="557" applyNumberFormat="1" applyFont="1" applyFill="1" applyBorder="1" applyProtection="1"/>
    <xf numFmtId="167" fontId="2" fillId="0" borderId="28" xfId="0" applyNumberFormat="1" applyFont="1" applyBorder="1"/>
    <xf numFmtId="3" fontId="2" fillId="0" borderId="2" xfId="0" applyNumberFormat="1" applyFont="1" applyBorder="1"/>
    <xf numFmtId="0" fontId="58" fillId="18" borderId="0" xfId="0" applyFont="1" applyFill="1"/>
    <xf numFmtId="0" fontId="6" fillId="19" borderId="0" xfId="0" applyFont="1" applyFill="1"/>
    <xf numFmtId="0" fontId="6" fillId="20" borderId="0" xfId="0" applyFont="1" applyFill="1"/>
    <xf numFmtId="0" fontId="6" fillId="21" borderId="0" xfId="0" applyFont="1" applyFill="1"/>
    <xf numFmtId="0" fontId="6" fillId="22" borderId="0" xfId="0" applyFont="1" applyFill="1"/>
    <xf numFmtId="0" fontId="59" fillId="18" borderId="0" xfId="0" applyFont="1" applyFill="1"/>
    <xf numFmtId="0" fontId="6" fillId="19" borderId="0" xfId="0" applyFont="1" applyFill="1" applyAlignment="1">
      <alignment horizontal="center" vertical="center"/>
    </xf>
    <xf numFmtId="0" fontId="6" fillId="19" borderId="32" xfId="0" applyFont="1" applyFill="1" applyBorder="1" applyAlignment="1">
      <alignment horizontal="center" vertical="center" wrapText="1"/>
    </xf>
    <xf numFmtId="0" fontId="6" fillId="20" borderId="0" xfId="0" applyFont="1" applyFill="1" applyAlignment="1">
      <alignment horizontal="center" vertical="center"/>
    </xf>
    <xf numFmtId="0" fontId="6" fillId="21" borderId="0" xfId="0" applyFont="1" applyFill="1" applyAlignment="1">
      <alignment horizontal="center" vertical="center"/>
    </xf>
    <xf numFmtId="0" fontId="6" fillId="21" borderId="32" xfId="0" applyFont="1" applyFill="1" applyBorder="1" applyAlignment="1">
      <alignment horizontal="center" vertical="center" wrapText="1"/>
    </xf>
    <xf numFmtId="0" fontId="6" fillId="22" borderId="0" xfId="0" applyFont="1" applyFill="1" applyAlignment="1">
      <alignment horizontal="center" vertical="center"/>
    </xf>
    <xf numFmtId="0" fontId="6" fillId="22" borderId="32"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0" fillId="19" borderId="6" xfId="0" applyFont="1" applyFill="1" applyBorder="1" applyAlignment="1">
      <alignment horizontal="center" vertical="center" wrapText="1"/>
    </xf>
    <xf numFmtId="0" fontId="6" fillId="19" borderId="8"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60" fillId="20" borderId="6" xfId="0" applyFont="1" applyFill="1" applyBorder="1" applyAlignment="1">
      <alignment horizontal="center" vertical="center" wrapText="1"/>
    </xf>
    <xf numFmtId="0" fontId="6" fillId="21" borderId="6" xfId="0" applyFont="1" applyFill="1" applyBorder="1" applyAlignment="1">
      <alignment horizontal="center" vertical="center" wrapText="1"/>
    </xf>
    <xf numFmtId="0" fontId="60" fillId="21" borderId="6" xfId="0" applyFont="1" applyFill="1" applyBorder="1" applyAlignment="1">
      <alignment horizontal="center" vertical="center" wrapText="1"/>
    </xf>
    <xf numFmtId="0" fontId="6" fillId="21" borderId="8" xfId="0" applyFont="1" applyFill="1" applyBorder="1" applyAlignment="1">
      <alignment horizontal="center" vertical="center" wrapText="1"/>
    </xf>
    <xf numFmtId="0" fontId="6" fillId="22" borderId="6" xfId="0" applyFont="1" applyFill="1" applyBorder="1" applyAlignment="1">
      <alignment horizontal="center" vertical="center" wrapText="1"/>
    </xf>
    <xf numFmtId="0" fontId="60" fillId="22" borderId="6" xfId="0" applyFont="1" applyFill="1" applyBorder="1" applyAlignment="1">
      <alignment horizontal="center" vertical="center" wrapText="1"/>
    </xf>
    <xf numFmtId="0" fontId="6" fillId="22" borderId="8" xfId="0" applyFont="1" applyFill="1" applyBorder="1" applyAlignment="1">
      <alignment horizontal="center" vertical="center" wrapText="1"/>
    </xf>
    <xf numFmtId="0" fontId="59" fillId="0" borderId="0" xfId="0" applyFont="1" applyAlignment="1">
      <alignment wrapText="1"/>
    </xf>
    <xf numFmtId="0" fontId="54" fillId="17" borderId="0" xfId="0" applyFont="1" applyFill="1" applyAlignment="1">
      <alignment wrapText="1"/>
    </xf>
    <xf numFmtId="0" fontId="6" fillId="17" borderId="0" xfId="0" applyFont="1" applyFill="1" applyAlignment="1">
      <alignment wrapText="1"/>
    </xf>
    <xf numFmtId="0" fontId="6" fillId="17" borderId="30" xfId="0" applyFont="1" applyFill="1" applyBorder="1" applyAlignment="1">
      <alignment horizontal="center" wrapText="1"/>
    </xf>
    <xf numFmtId="0" fontId="54" fillId="17" borderId="29" xfId="0" applyFont="1" applyFill="1" applyBorder="1" applyAlignment="1">
      <alignment wrapText="1"/>
    </xf>
    <xf numFmtId="0" fontId="6" fillId="17" borderId="0" xfId="0" applyFont="1" applyFill="1" applyAlignment="1">
      <alignment horizontal="center"/>
    </xf>
    <xf numFmtId="0" fontId="54" fillId="17" borderId="11" xfId="0" applyFont="1" applyFill="1" applyBorder="1" applyAlignment="1">
      <alignment wrapText="1"/>
    </xf>
    <xf numFmtId="0" fontId="54" fillId="17" borderId="12" xfId="0" applyFont="1" applyFill="1" applyBorder="1" applyAlignment="1">
      <alignment wrapText="1"/>
    </xf>
    <xf numFmtId="0" fontId="6" fillId="17" borderId="11" xfId="0" applyFont="1" applyFill="1" applyBorder="1"/>
    <xf numFmtId="0" fontId="6" fillId="17" borderId="12" xfId="0" applyFont="1" applyFill="1" applyBorder="1"/>
    <xf numFmtId="0" fontId="6" fillId="17" borderId="13" xfId="0" applyFont="1" applyFill="1" applyBorder="1"/>
    <xf numFmtId="0" fontId="54" fillId="17" borderId="29" xfId="0" applyFont="1" applyFill="1" applyBorder="1"/>
    <xf numFmtId="0" fontId="54" fillId="17" borderId="0" xfId="0" applyFont="1" applyFill="1"/>
    <xf numFmtId="0" fontId="54" fillId="17" borderId="0" xfId="0" applyFont="1" applyFill="1" applyAlignment="1">
      <alignment horizontal="center" vertical="center"/>
    </xf>
    <xf numFmtId="0" fontId="40" fillId="17" borderId="14"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6" fillId="17" borderId="37" xfId="0" applyFont="1" applyFill="1" applyBorder="1" applyAlignment="1">
      <alignment horizontal="center" vertical="center" wrapText="1"/>
    </xf>
    <xf numFmtId="0" fontId="6" fillId="17" borderId="14" xfId="0" applyFont="1" applyFill="1" applyBorder="1" applyAlignment="1">
      <alignment horizontal="center" vertical="center" wrapText="1"/>
    </xf>
    <xf numFmtId="0" fontId="6" fillId="17" borderId="41" xfId="0" applyFont="1" applyFill="1" applyBorder="1" applyAlignment="1">
      <alignment horizontal="center" vertical="center" wrapText="1"/>
    </xf>
    <xf numFmtId="0" fontId="6" fillId="17" borderId="0" xfId="0" applyFont="1" applyFill="1" applyAlignment="1">
      <alignment horizontal="center" vertical="center" wrapText="1"/>
    </xf>
    <xf numFmtId="0" fontId="6" fillId="23" borderId="31" xfId="0" applyFont="1" applyFill="1" applyBorder="1" applyAlignment="1">
      <alignment horizontal="center" vertical="center" wrapText="1"/>
    </xf>
    <xf numFmtId="0" fontId="6" fillId="24" borderId="31" xfId="0" applyFont="1" applyFill="1" applyBorder="1" applyAlignment="1">
      <alignment horizontal="center" vertical="center" wrapText="1"/>
    </xf>
    <xf numFmtId="0" fontId="6" fillId="19" borderId="31" xfId="0" applyFont="1" applyFill="1" applyBorder="1" applyAlignment="1">
      <alignment horizontal="center" vertical="center" wrapText="1"/>
    </xf>
    <xf numFmtId="0" fontId="6" fillId="20" borderId="31" xfId="0" applyFont="1" applyFill="1" applyBorder="1" applyAlignment="1">
      <alignment horizontal="center" vertical="center" wrapText="1"/>
    </xf>
    <xf numFmtId="0" fontId="6" fillId="21" borderId="31" xfId="0" applyFont="1" applyFill="1" applyBorder="1" applyAlignment="1">
      <alignment horizontal="center" vertical="center" wrapText="1"/>
    </xf>
    <xf numFmtId="0" fontId="6" fillId="22" borderId="31" xfId="0" applyFont="1" applyFill="1" applyBorder="1" applyAlignment="1">
      <alignment horizontal="center" vertical="center" wrapText="1"/>
    </xf>
    <xf numFmtId="0" fontId="54" fillId="17" borderId="0" xfId="0" applyFont="1" applyFill="1" applyAlignment="1">
      <alignment horizontal="center" vertical="center" wrapText="1"/>
    </xf>
    <xf numFmtId="0" fontId="3" fillId="0" borderId="2" xfId="0" applyFont="1" applyBorder="1" applyAlignment="1">
      <alignment horizontal="left" indent="1"/>
    </xf>
    <xf numFmtId="3" fontId="11" fillId="0" borderId="7" xfId="0" applyNumberFormat="1" applyFont="1" applyBorder="1" applyAlignment="1">
      <alignment horizontal="right" vertical="center" indent="1"/>
    </xf>
    <xf numFmtId="167" fontId="11" fillId="0" borderId="7" xfId="0" applyNumberFormat="1" applyFont="1" applyBorder="1" applyAlignment="1">
      <alignment horizontal="right" vertical="center" indent="1"/>
    </xf>
    <xf numFmtId="0" fontId="2" fillId="3" borderId="2" xfId="0" applyFont="1" applyFill="1" applyBorder="1"/>
    <xf numFmtId="0" fontId="6" fillId="25" borderId="0" xfId="0" applyFont="1" applyFill="1"/>
    <xf numFmtId="0" fontId="6" fillId="25" borderId="0" xfId="0" applyFont="1" applyFill="1" applyAlignment="1">
      <alignment horizontal="center" vertical="center"/>
    </xf>
    <xf numFmtId="0" fontId="6" fillId="25" borderId="32" xfId="0" applyFont="1" applyFill="1" applyBorder="1" applyAlignment="1">
      <alignment horizontal="center" vertical="center" wrapText="1"/>
    </xf>
    <xf numFmtId="0" fontId="6" fillId="25" borderId="6" xfId="0" applyFont="1" applyFill="1" applyBorder="1" applyAlignment="1">
      <alignment horizontal="center" vertical="center" wrapText="1"/>
    </xf>
    <xf numFmtId="0" fontId="60" fillId="25" borderId="6" xfId="0" applyFont="1" applyFill="1" applyBorder="1" applyAlignment="1">
      <alignment horizontal="center" vertical="center" wrapText="1"/>
    </xf>
    <xf numFmtId="0" fontId="6" fillId="25" borderId="8" xfId="0" applyFont="1" applyFill="1" applyBorder="1" applyAlignment="1">
      <alignment horizontal="center" vertical="center" wrapText="1"/>
    </xf>
    <xf numFmtId="0" fontId="3" fillId="8" borderId="0" xfId="0" applyFont="1" applyFill="1" applyAlignment="1">
      <alignment horizontal="left" vertical="center" wrapText="1"/>
    </xf>
    <xf numFmtId="0" fontId="3" fillId="8" borderId="2" xfId="0" applyFont="1" applyFill="1" applyBorder="1" applyAlignment="1">
      <alignment horizontal="left" wrapText="1" indent="1"/>
    </xf>
    <xf numFmtId="0" fontId="3" fillId="8" borderId="0" xfId="0" applyFont="1" applyFill="1" applyAlignment="1">
      <alignment horizontal="center" wrapText="1"/>
    </xf>
    <xf numFmtId="4" fontId="47" fillId="0" borderId="0" xfId="0" applyNumberFormat="1" applyFont="1" applyAlignment="1">
      <alignment horizontal="right"/>
    </xf>
    <xf numFmtId="164" fontId="61" fillId="0" borderId="0" xfId="0" applyNumberFormat="1" applyFont="1"/>
    <xf numFmtId="3" fontId="61" fillId="0" borderId="29" xfId="0" applyNumberFormat="1" applyFont="1" applyBorder="1"/>
    <xf numFmtId="0" fontId="2" fillId="10" borderId="31" xfId="0" applyFont="1" applyFill="1" applyBorder="1"/>
    <xf numFmtId="167" fontId="2" fillId="4" borderId="28" xfId="557" applyNumberFormat="1" applyFont="1" applyFill="1" applyBorder="1" applyProtection="1"/>
    <xf numFmtId="0" fontId="6" fillId="20" borderId="7" xfId="0" applyFont="1" applyFill="1" applyBorder="1" applyAlignment="1">
      <alignment horizontal="center" vertical="center" wrapText="1"/>
    </xf>
    <xf numFmtId="0" fontId="6" fillId="21" borderId="7" xfId="0" applyFont="1" applyFill="1" applyBorder="1" applyAlignment="1">
      <alignment horizontal="center" vertical="center" wrapText="1"/>
    </xf>
    <xf numFmtId="0" fontId="6" fillId="22" borderId="7" xfId="0" applyFont="1" applyFill="1" applyBorder="1" applyAlignment="1">
      <alignment horizontal="center" vertical="center" wrapText="1"/>
    </xf>
    <xf numFmtId="167" fontId="45" fillId="4" borderId="30" xfId="0" applyNumberFormat="1" applyFont="1" applyFill="1" applyBorder="1" applyAlignment="1">
      <alignment horizontal="right" indent="1"/>
    </xf>
    <xf numFmtId="3" fontId="43" fillId="0" borderId="0" xfId="0" applyNumberFormat="1" applyFont="1" applyAlignment="1">
      <alignment horizontal="right" indent="1"/>
    </xf>
    <xf numFmtId="0" fontId="42" fillId="0" borderId="6" xfId="0" applyFont="1" applyBorder="1" applyAlignment="1">
      <alignment horizontal="center" wrapText="1"/>
    </xf>
    <xf numFmtId="0" fontId="6" fillId="19" borderId="30" xfId="0" applyFont="1" applyFill="1" applyBorder="1"/>
    <xf numFmtId="0" fontId="6" fillId="19" borderId="30" xfId="0" applyFont="1" applyFill="1" applyBorder="1" applyAlignment="1">
      <alignment horizontal="center" vertical="center" wrapText="1"/>
    </xf>
    <xf numFmtId="167" fontId="2" fillId="4" borderId="30" xfId="0" applyNumberFormat="1" applyFont="1" applyFill="1" applyBorder="1" applyAlignment="1">
      <alignment horizontal="right" indent="1"/>
    </xf>
    <xf numFmtId="167" fontId="43" fillId="4" borderId="30" xfId="0" applyNumberFormat="1" applyFont="1" applyFill="1" applyBorder="1" applyAlignment="1">
      <alignment horizontal="right" indent="1"/>
    </xf>
    <xf numFmtId="0" fontId="6" fillId="19" borderId="28" xfId="0" applyFont="1" applyFill="1" applyBorder="1" applyAlignment="1">
      <alignment horizontal="center" vertical="center" wrapText="1"/>
    </xf>
    <xf numFmtId="0" fontId="6" fillId="25" borderId="30" xfId="0" applyFont="1" applyFill="1" applyBorder="1"/>
    <xf numFmtId="0" fontId="6" fillId="25" borderId="30" xfId="0" applyFont="1" applyFill="1" applyBorder="1" applyAlignment="1">
      <alignment horizontal="center" vertical="center" wrapText="1"/>
    </xf>
    <xf numFmtId="167" fontId="45" fillId="0" borderId="4" xfId="0" applyNumberFormat="1" applyFont="1" applyBorder="1" applyAlignment="1">
      <alignment horizontal="right" indent="1"/>
    </xf>
    <xf numFmtId="167" fontId="45" fillId="0" borderId="30" xfId="0" applyNumberFormat="1" applyFont="1" applyBorder="1" applyAlignment="1">
      <alignment horizontal="right" indent="1"/>
    </xf>
    <xf numFmtId="0" fontId="6" fillId="25" borderId="22" xfId="0" applyFont="1" applyFill="1" applyBorder="1" applyAlignment="1">
      <alignment horizontal="center" vertical="center" wrapText="1"/>
    </xf>
    <xf numFmtId="0" fontId="6" fillId="25" borderId="7" xfId="0" applyFont="1" applyFill="1" applyBorder="1" applyAlignment="1">
      <alignment horizontal="center" vertical="center" wrapText="1"/>
    </xf>
    <xf numFmtId="0" fontId="6" fillId="22" borderId="30" xfId="0" applyFont="1" applyFill="1" applyBorder="1"/>
    <xf numFmtId="0" fontId="6" fillId="22" borderId="30" xfId="0" applyFont="1" applyFill="1" applyBorder="1" applyAlignment="1">
      <alignment horizontal="center" vertical="center" wrapText="1"/>
    </xf>
    <xf numFmtId="0" fontId="39" fillId="8" borderId="46" xfId="0" applyFont="1" applyFill="1" applyBorder="1" applyAlignment="1">
      <alignment horizontal="center" wrapText="1"/>
    </xf>
    <xf numFmtId="0" fontId="6" fillId="22" borderId="28" xfId="0" applyFont="1" applyFill="1" applyBorder="1" applyAlignment="1">
      <alignment horizontal="center" vertical="center" wrapText="1"/>
    </xf>
    <xf numFmtId="0" fontId="6" fillId="21" borderId="30" xfId="0" applyFont="1" applyFill="1" applyBorder="1"/>
    <xf numFmtId="0" fontId="6" fillId="21" borderId="30" xfId="0" applyFont="1" applyFill="1" applyBorder="1" applyAlignment="1">
      <alignment horizontal="center" vertical="center" wrapText="1"/>
    </xf>
    <xf numFmtId="0" fontId="6" fillId="21" borderId="28" xfId="0" applyFont="1" applyFill="1" applyBorder="1" applyAlignment="1">
      <alignment horizontal="center" vertical="center" wrapText="1"/>
    </xf>
    <xf numFmtId="0" fontId="6" fillId="20" borderId="32" xfId="0" applyFont="1" applyFill="1" applyBorder="1" applyAlignment="1">
      <alignment horizontal="center" vertical="center" wrapText="1"/>
    </xf>
    <xf numFmtId="0" fontId="6" fillId="20" borderId="8" xfId="0" applyFont="1" applyFill="1" applyBorder="1" applyAlignment="1">
      <alignment horizontal="center" vertical="center" wrapText="1"/>
    </xf>
    <xf numFmtId="0" fontId="6" fillId="20" borderId="30" xfId="0" applyFont="1" applyFill="1" applyBorder="1"/>
    <xf numFmtId="0" fontId="6" fillId="20" borderId="30" xfId="0" applyFont="1" applyFill="1" applyBorder="1" applyAlignment="1">
      <alignment horizontal="center" vertical="center" wrapText="1"/>
    </xf>
    <xf numFmtId="0" fontId="39" fillId="0" borderId="46" xfId="0" applyFont="1" applyBorder="1" applyAlignment="1">
      <alignment horizontal="center" wrapText="1"/>
    </xf>
    <xf numFmtId="0" fontId="45" fillId="0" borderId="46" xfId="0" applyFont="1" applyBorder="1" applyAlignment="1">
      <alignment horizontal="left" vertical="top" wrapText="1"/>
    </xf>
    <xf numFmtId="0" fontId="45" fillId="0" borderId="30" xfId="0" applyFont="1" applyBorder="1" applyAlignment="1">
      <alignment horizontal="left" vertical="top" wrapText="1"/>
    </xf>
    <xf numFmtId="0" fontId="45" fillId="0" borderId="47" xfId="0" applyFont="1" applyBorder="1" applyAlignment="1">
      <alignment horizontal="left" vertical="top" wrapText="1"/>
    </xf>
    <xf numFmtId="0" fontId="6" fillId="20" borderId="28" xfId="0" applyFont="1" applyFill="1" applyBorder="1" applyAlignment="1">
      <alignment horizontal="center" vertical="center" wrapText="1"/>
    </xf>
    <xf numFmtId="0" fontId="6" fillId="26" borderId="0" xfId="0" applyFont="1" applyFill="1"/>
    <xf numFmtId="0" fontId="6" fillId="26" borderId="30" xfId="0" applyFont="1" applyFill="1" applyBorder="1"/>
    <xf numFmtId="0" fontId="6" fillId="26" borderId="0" xfId="0" applyFont="1" applyFill="1" applyAlignment="1">
      <alignment horizontal="center" vertical="center"/>
    </xf>
    <xf numFmtId="0" fontId="6" fillId="26" borderId="32" xfId="0" applyFont="1" applyFill="1" applyBorder="1" applyAlignment="1">
      <alignment horizontal="center" vertical="center" wrapText="1"/>
    </xf>
    <xf numFmtId="0" fontId="6" fillId="26" borderId="30" xfId="0" applyFont="1" applyFill="1" applyBorder="1" applyAlignment="1">
      <alignment horizontal="center" vertical="center" wrapText="1"/>
    </xf>
    <xf numFmtId="0" fontId="6" fillId="26" borderId="7" xfId="0" applyFont="1" applyFill="1" applyBorder="1" applyAlignment="1">
      <alignment horizontal="center" vertical="center" wrapText="1"/>
    </xf>
    <xf numFmtId="0" fontId="6" fillId="26" borderId="6" xfId="0" applyFont="1" applyFill="1" applyBorder="1" applyAlignment="1">
      <alignment horizontal="center" vertical="center" wrapText="1"/>
    </xf>
    <xf numFmtId="0" fontId="60" fillId="26" borderId="6" xfId="0" applyFont="1" applyFill="1" applyBorder="1" applyAlignment="1">
      <alignment horizontal="center" vertical="center" wrapText="1"/>
    </xf>
    <xf numFmtId="0" fontId="6" fillId="26" borderId="8" xfId="0" applyFont="1" applyFill="1" applyBorder="1" applyAlignment="1">
      <alignment horizontal="center" vertical="center" wrapText="1"/>
    </xf>
    <xf numFmtId="0" fontId="6" fillId="26" borderId="22" xfId="0" applyFont="1" applyFill="1" applyBorder="1" applyAlignment="1">
      <alignment horizontal="center" vertical="center" wrapText="1"/>
    </xf>
    <xf numFmtId="3" fontId="11" fillId="0" borderId="6" xfId="0" applyNumberFormat="1" applyFont="1" applyBorder="1" applyAlignment="1">
      <alignment horizontal="right" vertical="center" indent="1"/>
    </xf>
    <xf numFmtId="166" fontId="11" fillId="4" borderId="6" xfId="0" applyNumberFormat="1" applyFont="1" applyFill="1" applyBorder="1" applyAlignment="1">
      <alignment horizontal="right" vertical="center" indent="1"/>
    </xf>
    <xf numFmtId="167" fontId="11" fillId="4" borderId="6" xfId="0" applyNumberFormat="1" applyFont="1" applyFill="1" applyBorder="1" applyAlignment="1">
      <alignment horizontal="right" vertical="center" indent="1"/>
    </xf>
    <xf numFmtId="167" fontId="11" fillId="0" borderId="6" xfId="0" applyNumberFormat="1" applyFont="1" applyBorder="1" applyAlignment="1">
      <alignment horizontal="right" vertical="center" indent="1"/>
    </xf>
    <xf numFmtId="166" fontId="11" fillId="4" borderId="6" xfId="545" applyNumberFormat="1" applyFont="1" applyFill="1" applyBorder="1" applyAlignment="1" applyProtection="1">
      <alignment horizontal="right" vertical="center" indent="1"/>
    </xf>
    <xf numFmtId="0" fontId="42" fillId="18" borderId="28" xfId="0" applyFont="1" applyFill="1" applyBorder="1" applyAlignment="1">
      <alignment horizontal="left"/>
    </xf>
    <xf numFmtId="0" fontId="6" fillId="18" borderId="24" xfId="0" applyFont="1" applyFill="1" applyBorder="1"/>
    <xf numFmtId="0" fontId="6" fillId="0" borderId="24" xfId="0" applyFont="1" applyBorder="1" applyAlignment="1">
      <alignment wrapText="1"/>
    </xf>
    <xf numFmtId="0" fontId="2" fillId="0" borderId="24" xfId="0" applyFont="1" applyBorder="1"/>
    <xf numFmtId="0" fontId="42" fillId="0" borderId="24" xfId="0" applyFont="1" applyBorder="1"/>
    <xf numFmtId="0" fontId="6" fillId="0" borderId="24" xfId="0" applyFont="1" applyBorder="1"/>
    <xf numFmtId="0" fontId="44" fillId="0" borderId="24" xfId="0" applyFont="1" applyBorder="1"/>
    <xf numFmtId="0" fontId="11" fillId="0" borderId="24" xfId="0" applyFont="1" applyBorder="1"/>
    <xf numFmtId="0" fontId="6" fillId="4" borderId="24" xfId="0" applyFont="1" applyFill="1" applyBorder="1"/>
    <xf numFmtId="0" fontId="6" fillId="4" borderId="24" xfId="0" applyFont="1" applyFill="1" applyBorder="1" applyAlignment="1">
      <alignment horizontal="center" vertical="center" wrapText="1"/>
    </xf>
    <xf numFmtId="0" fontId="42" fillId="0" borderId="22" xfId="0" applyFont="1" applyBorder="1" applyAlignment="1">
      <alignment horizontal="left" wrapText="1"/>
    </xf>
    <xf numFmtId="0" fontId="11" fillId="0" borderId="30" xfId="0" applyFont="1" applyBorder="1" applyAlignment="1">
      <alignment vertical="center" wrapText="1"/>
    </xf>
    <xf numFmtId="3" fontId="11" fillId="0" borderId="30" xfId="0" applyNumberFormat="1" applyFont="1" applyBorder="1" applyAlignment="1">
      <alignment vertical="center" wrapText="1"/>
    </xf>
    <xf numFmtId="0" fontId="62" fillId="0" borderId="24" xfId="0" applyFont="1" applyBorder="1"/>
    <xf numFmtId="3" fontId="2" fillId="5" borderId="2" xfId="0" applyNumberFormat="1" applyFont="1" applyFill="1" applyBorder="1"/>
    <xf numFmtId="164" fontId="63" fillId="0" borderId="0" xfId="0" applyNumberFormat="1" applyFont="1"/>
    <xf numFmtId="3" fontId="63" fillId="0" borderId="29" xfId="0" applyNumberFormat="1" applyFont="1" applyBorder="1"/>
    <xf numFmtId="167" fontId="61" fillId="0" borderId="30" xfId="557" applyNumberFormat="1" applyFont="1" applyFill="1" applyBorder="1" applyProtection="1"/>
    <xf numFmtId="169" fontId="3" fillId="0" borderId="2" xfId="0" applyNumberFormat="1" applyFont="1" applyBorder="1" applyAlignment="1" applyProtection="1">
      <alignment horizontal="right" indent="1"/>
      <protection locked="0"/>
    </xf>
    <xf numFmtId="169" fontId="3" fillId="0" borderId="2" xfId="0" applyNumberFormat="1" applyFont="1" applyBorder="1" applyAlignment="1">
      <alignment horizontal="right" indent="1"/>
    </xf>
    <xf numFmtId="169" fontId="3" fillId="0" borderId="0" xfId="0" applyNumberFormat="1" applyFont="1" applyAlignment="1">
      <alignment horizontal="right" indent="1"/>
    </xf>
    <xf numFmtId="169" fontId="47" fillId="0" borderId="0" xfId="0" applyNumberFormat="1" applyFont="1" applyAlignment="1">
      <alignment horizontal="right" indent="1"/>
    </xf>
    <xf numFmtId="169" fontId="47" fillId="0" borderId="0" xfId="0" applyNumberFormat="1" applyFont="1" applyAlignment="1">
      <alignment horizontal="right"/>
    </xf>
    <xf numFmtId="169" fontId="38" fillId="3" borderId="0" xfId="0" applyNumberFormat="1" applyFont="1" applyFill="1" applyAlignment="1">
      <alignment horizontal="right" indent="1"/>
    </xf>
    <xf numFmtId="169" fontId="3" fillId="0" borderId="16" xfId="0" applyNumberFormat="1" applyFont="1" applyBorder="1" applyAlignment="1">
      <alignment horizontal="right" indent="1"/>
    </xf>
    <xf numFmtId="169" fontId="0" fillId="3" borderId="2" xfId="0" applyNumberFormat="1" applyFill="1" applyBorder="1" applyAlignment="1">
      <alignment horizontal="right" indent="1"/>
    </xf>
    <xf numFmtId="169" fontId="2" fillId="3" borderId="2" xfId="0" applyNumberFormat="1" applyFont="1" applyFill="1" applyBorder="1" applyAlignment="1">
      <alignment horizontal="right" indent="1"/>
    </xf>
    <xf numFmtId="169" fontId="0" fillId="0" borderId="0" xfId="0" applyNumberFormat="1" applyAlignment="1">
      <alignment horizontal="right" indent="1"/>
    </xf>
    <xf numFmtId="169" fontId="0" fillId="8" borderId="0" xfId="0" applyNumberFormat="1" applyFill="1" applyAlignment="1">
      <alignment horizontal="right" indent="1"/>
    </xf>
    <xf numFmtId="169" fontId="2" fillId="3" borderId="2" xfId="557" applyNumberFormat="1" applyFont="1" applyFill="1" applyBorder="1" applyAlignment="1" applyProtection="1">
      <alignment horizontal="right" indent="1"/>
    </xf>
    <xf numFmtId="0" fontId="57" fillId="19" borderId="20" xfId="0" applyFont="1" applyFill="1" applyBorder="1" applyAlignment="1">
      <alignment horizontal="center"/>
    </xf>
    <xf numFmtId="0" fontId="42" fillId="20" borderId="20" xfId="0" applyFont="1" applyFill="1" applyBorder="1" applyAlignment="1">
      <alignment horizontal="center"/>
    </xf>
    <xf numFmtId="0" fontId="42" fillId="21" borderId="20" xfId="0" applyFont="1" applyFill="1" applyBorder="1" applyAlignment="1">
      <alignment horizontal="center"/>
    </xf>
    <xf numFmtId="0" fontId="42" fillId="22" borderId="20" xfId="0" applyFont="1" applyFill="1" applyBorder="1" applyAlignment="1">
      <alignment horizontal="center"/>
    </xf>
    <xf numFmtId="0" fontId="6" fillId="27" borderId="0" xfId="0" applyFont="1" applyFill="1"/>
    <xf numFmtId="0" fontId="6" fillId="27" borderId="30" xfId="0" applyFont="1" applyFill="1" applyBorder="1"/>
    <xf numFmtId="0" fontId="6" fillId="27" borderId="0" xfId="0" applyFont="1" applyFill="1" applyAlignment="1">
      <alignment horizontal="center" vertical="center"/>
    </xf>
    <xf numFmtId="0" fontId="6" fillId="27" borderId="32" xfId="0" applyFont="1" applyFill="1" applyBorder="1" applyAlignment="1">
      <alignment horizontal="center" vertical="center" wrapText="1"/>
    </xf>
    <xf numFmtId="0" fontId="6" fillId="27" borderId="30" xfId="0" applyFont="1" applyFill="1" applyBorder="1" applyAlignment="1">
      <alignment horizontal="center" vertical="center" wrapText="1"/>
    </xf>
    <xf numFmtId="0" fontId="6" fillId="27" borderId="7" xfId="0" applyFont="1" applyFill="1" applyBorder="1" applyAlignment="1">
      <alignment horizontal="center" vertical="center" wrapText="1"/>
    </xf>
    <xf numFmtId="0" fontId="6" fillId="27" borderId="6" xfId="0" applyFont="1" applyFill="1" applyBorder="1" applyAlignment="1">
      <alignment horizontal="center" vertical="center" wrapText="1"/>
    </xf>
    <xf numFmtId="0" fontId="60" fillId="27" borderId="6" xfId="0" applyFont="1" applyFill="1" applyBorder="1" applyAlignment="1">
      <alignment horizontal="center" vertical="center" wrapText="1"/>
    </xf>
    <xf numFmtId="0" fontId="6" fillId="27" borderId="8" xfId="0" applyFont="1" applyFill="1" applyBorder="1" applyAlignment="1">
      <alignment horizontal="center" vertical="center" wrapText="1"/>
    </xf>
    <xf numFmtId="0" fontId="6" fillId="27" borderId="22" xfId="0" applyFont="1" applyFill="1" applyBorder="1" applyAlignment="1">
      <alignment horizontal="center" vertical="center" wrapText="1"/>
    </xf>
    <xf numFmtId="3" fontId="45" fillId="0" borderId="0" xfId="0" applyNumberFormat="1" applyFont="1" applyAlignment="1" applyProtection="1">
      <alignment horizontal="right" indent="1"/>
      <protection locked="0"/>
    </xf>
    <xf numFmtId="167" fontId="45" fillId="0" borderId="0" xfId="0" applyNumberFormat="1" applyFont="1" applyAlignment="1" applyProtection="1">
      <alignment horizontal="right" indent="1"/>
      <protection locked="0"/>
    </xf>
    <xf numFmtId="0" fontId="11" fillId="0" borderId="24" xfId="0" applyFont="1" applyBorder="1" applyProtection="1">
      <protection locked="0"/>
    </xf>
    <xf numFmtId="0" fontId="64" fillId="3" borderId="0" xfId="0" applyFont="1" applyFill="1"/>
    <xf numFmtId="0" fontId="49" fillId="3" borderId="0" xfId="0" applyFont="1" applyFill="1" applyAlignment="1">
      <alignment horizontal="center"/>
    </xf>
    <xf numFmtId="0" fontId="6" fillId="26" borderId="2" xfId="0" applyFont="1" applyFill="1" applyBorder="1" applyAlignment="1">
      <alignment horizontal="center" vertical="center" wrapText="1"/>
    </xf>
    <xf numFmtId="0" fontId="39" fillId="8" borderId="34" xfId="0" applyFont="1" applyFill="1" applyBorder="1" applyAlignment="1">
      <alignment horizontal="center" wrapText="1"/>
    </xf>
    <xf numFmtId="0" fontId="6" fillId="19" borderId="2"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6" fillId="21" borderId="2" xfId="0" applyFont="1" applyFill="1" applyBorder="1" applyAlignment="1">
      <alignment horizontal="center" vertical="center" wrapText="1"/>
    </xf>
    <xf numFmtId="0" fontId="6" fillId="22" borderId="2" xfId="0" applyFont="1" applyFill="1" applyBorder="1" applyAlignment="1">
      <alignment horizontal="center" vertical="center" wrapText="1"/>
    </xf>
    <xf numFmtId="0" fontId="45" fillId="8" borderId="46" xfId="0" applyFont="1" applyFill="1" applyBorder="1" applyAlignment="1">
      <alignment horizontal="left" vertical="top" wrapText="1"/>
    </xf>
    <xf numFmtId="0" fontId="45" fillId="8" borderId="30" xfId="0" applyFont="1" applyFill="1" applyBorder="1" applyAlignment="1">
      <alignment horizontal="left" vertical="top" wrapText="1"/>
    </xf>
    <xf numFmtId="0" fontId="45" fillId="8" borderId="47" xfId="0" applyFont="1" applyFill="1" applyBorder="1" applyAlignment="1">
      <alignment horizontal="left" vertical="top" wrapText="1"/>
    </xf>
    <xf numFmtId="0" fontId="6" fillId="27" borderId="2" xfId="0" applyFont="1" applyFill="1" applyBorder="1" applyAlignment="1">
      <alignment horizontal="center" vertical="center" wrapText="1"/>
    </xf>
    <xf numFmtId="0" fontId="6" fillId="25" borderId="2"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48" xfId="0" applyFont="1" applyBorder="1" applyAlignment="1">
      <alignment horizontal="center" vertical="center" wrapText="1"/>
    </xf>
    <xf numFmtId="0" fontId="2" fillId="29" borderId="0" xfId="0" applyFont="1" applyFill="1"/>
    <xf numFmtId="0" fontId="6" fillId="30" borderId="0" xfId="0" applyFont="1" applyFill="1"/>
    <xf numFmtId="0" fontId="6" fillId="30" borderId="30" xfId="0" applyFont="1" applyFill="1" applyBorder="1"/>
    <xf numFmtId="0" fontId="6" fillId="30" borderId="0" xfId="0" applyFont="1" applyFill="1" applyAlignment="1">
      <alignment horizontal="center" vertical="center"/>
    </xf>
    <xf numFmtId="0" fontId="6" fillId="30" borderId="32" xfId="0" applyFont="1" applyFill="1" applyBorder="1" applyAlignment="1">
      <alignment horizontal="center" vertical="center" wrapText="1"/>
    </xf>
    <xf numFmtId="0" fontId="6" fillId="30" borderId="30" xfId="0" applyFont="1" applyFill="1" applyBorder="1" applyAlignment="1">
      <alignment horizontal="center" vertical="center" wrapText="1"/>
    </xf>
    <xf numFmtId="0" fontId="6" fillId="30" borderId="7" xfId="0" applyFont="1" applyFill="1" applyBorder="1" applyAlignment="1">
      <alignment horizontal="center" vertical="center" wrapText="1"/>
    </xf>
    <xf numFmtId="0" fontId="6" fillId="30" borderId="2" xfId="0" applyFont="1" applyFill="1" applyBorder="1" applyAlignment="1">
      <alignment horizontal="center" vertical="center" wrapText="1"/>
    </xf>
    <xf numFmtId="0" fontId="6" fillId="30" borderId="6" xfId="0" applyFont="1" applyFill="1" applyBorder="1" applyAlignment="1">
      <alignment horizontal="center" vertical="center" wrapText="1"/>
    </xf>
    <xf numFmtId="0" fontId="60" fillId="30" borderId="6" xfId="0" applyFont="1" applyFill="1" applyBorder="1" applyAlignment="1">
      <alignment horizontal="center" vertical="center" wrapText="1"/>
    </xf>
    <xf numFmtId="0" fontId="6" fillId="30" borderId="8" xfId="0" applyFont="1" applyFill="1" applyBorder="1" applyAlignment="1">
      <alignment horizontal="center" vertical="center" wrapText="1"/>
    </xf>
    <xf numFmtId="0" fontId="6" fillId="30" borderId="22" xfId="0" applyFont="1" applyFill="1" applyBorder="1" applyAlignment="1">
      <alignment horizontal="center" vertical="center" wrapText="1"/>
    </xf>
    <xf numFmtId="0" fontId="3" fillId="0" borderId="2" xfId="0" applyFont="1" applyBorder="1" applyAlignment="1" applyProtection="1">
      <alignment horizontal="center"/>
      <protection locked="0"/>
    </xf>
    <xf numFmtId="169" fontId="2" fillId="3" borderId="2" xfId="0" applyNumberFormat="1" applyFont="1" applyFill="1" applyBorder="1" applyAlignment="1" applyProtection="1">
      <alignment horizontal="right" indent="1"/>
      <protection locked="0"/>
    </xf>
    <xf numFmtId="169" fontId="0" fillId="3" borderId="2" xfId="0" applyNumberFormat="1" applyFill="1" applyBorder="1" applyAlignment="1" applyProtection="1">
      <alignment horizontal="right" indent="1"/>
      <protection locked="0"/>
    </xf>
    <xf numFmtId="167" fontId="45" fillId="4" borderId="30" xfId="0" applyNumberFormat="1" applyFont="1" applyFill="1" applyBorder="1" applyAlignment="1" applyProtection="1">
      <alignment horizontal="right" indent="1"/>
      <protection locked="0"/>
    </xf>
    <xf numFmtId="0" fontId="50" fillId="3" borderId="10" xfId="0" applyFont="1" applyFill="1" applyBorder="1" applyAlignment="1">
      <alignment horizontal="center"/>
    </xf>
    <xf numFmtId="168" fontId="64" fillId="0" borderId="10" xfId="557" applyNumberFormat="1" applyFont="1" applyFill="1" applyBorder="1" applyProtection="1">
      <protection locked="0"/>
    </xf>
    <xf numFmtId="168" fontId="64" fillId="0" borderId="10" xfId="557" applyNumberFormat="1" applyFont="1" applyFill="1" applyBorder="1"/>
    <xf numFmtId="168" fontId="64" fillId="0" borderId="33" xfId="557" applyNumberFormat="1" applyFont="1" applyFill="1" applyBorder="1"/>
    <xf numFmtId="168" fontId="64" fillId="0" borderId="4" xfId="557" applyNumberFormat="1" applyFont="1" applyFill="1" applyBorder="1"/>
    <xf numFmtId="168" fontId="64" fillId="0" borderId="3" xfId="557" applyNumberFormat="1" applyFont="1" applyFill="1" applyBorder="1"/>
    <xf numFmtId="168" fontId="65" fillId="0" borderId="4" xfId="557" applyNumberFormat="1" applyFont="1" applyFill="1" applyBorder="1"/>
    <xf numFmtId="0" fontId="50" fillId="3" borderId="9" xfId="0" applyFont="1" applyFill="1" applyBorder="1"/>
    <xf numFmtId="0" fontId="6" fillId="6" borderId="10" xfId="0" applyFont="1" applyFill="1" applyBorder="1" applyAlignment="1">
      <alignment horizontal="center"/>
    </xf>
    <xf numFmtId="0" fontId="66" fillId="3" borderId="3" xfId="0" applyFont="1" applyFill="1" applyBorder="1" applyAlignment="1">
      <alignment horizontal="center"/>
    </xf>
    <xf numFmtId="168" fontId="50" fillId="0" borderId="10" xfId="557" applyNumberFormat="1" applyFont="1" applyFill="1" applyBorder="1" applyProtection="1">
      <protection locked="0"/>
    </xf>
    <xf numFmtId="168" fontId="51" fillId="3" borderId="10" xfId="557" applyNumberFormat="1" applyFont="1" applyFill="1" applyBorder="1" applyProtection="1">
      <protection locked="0"/>
    </xf>
    <xf numFmtId="168" fontId="51" fillId="3" borderId="45" xfId="557" applyNumberFormat="1" applyFont="1" applyFill="1" applyBorder="1" applyProtection="1">
      <protection locked="0"/>
    </xf>
    <xf numFmtId="168" fontId="51" fillId="3" borderId="10" xfId="557" applyNumberFormat="1" applyFont="1" applyFill="1" applyBorder="1"/>
    <xf numFmtId="168" fontId="50" fillId="0" borderId="33" xfId="557" applyNumberFormat="1" applyFont="1" applyFill="1" applyBorder="1" applyAlignment="1" applyProtection="1">
      <alignment horizontal="center"/>
      <protection locked="0"/>
    </xf>
    <xf numFmtId="168" fontId="50" fillId="3" borderId="33" xfId="557" applyNumberFormat="1" applyFont="1" applyFill="1" applyBorder="1"/>
    <xf numFmtId="168" fontId="50" fillId="0" borderId="33" xfId="557" applyNumberFormat="1" applyFont="1" applyFill="1" applyBorder="1"/>
    <xf numFmtId="168" fontId="50" fillId="3" borderId="40" xfId="557" applyNumberFormat="1" applyFont="1" applyFill="1" applyBorder="1"/>
    <xf numFmtId="168" fontId="50" fillId="0" borderId="40" xfId="557" applyNumberFormat="1" applyFont="1" applyFill="1" applyBorder="1"/>
    <xf numFmtId="168" fontId="50" fillId="0" borderId="3" xfId="557" applyNumberFormat="1" applyFont="1" applyFill="1" applyBorder="1"/>
    <xf numFmtId="168" fontId="50" fillId="3" borderId="42" xfId="557" applyNumberFormat="1" applyFont="1" applyFill="1" applyBorder="1"/>
    <xf numFmtId="168" fontId="50" fillId="3" borderId="5" xfId="557" applyNumberFormat="1" applyFont="1" applyFill="1" applyBorder="1"/>
    <xf numFmtId="168" fontId="50" fillId="0" borderId="44" xfId="557" applyNumberFormat="1" applyFont="1" applyFill="1" applyBorder="1"/>
    <xf numFmtId="168" fontId="50" fillId="3" borderId="4" xfId="557" applyNumberFormat="1" applyFont="1" applyFill="1" applyBorder="1"/>
    <xf numFmtId="168" fontId="51" fillId="3" borderId="4" xfId="557" applyNumberFormat="1" applyFont="1" applyFill="1" applyBorder="1"/>
    <xf numFmtId="168" fontId="51" fillId="0" borderId="4" xfId="557" applyNumberFormat="1" applyFont="1" applyFill="1" applyBorder="1"/>
    <xf numFmtId="168" fontId="50" fillId="3" borderId="6" xfId="557" applyNumberFormat="1" applyFont="1" applyFill="1" applyBorder="1"/>
    <xf numFmtId="0" fontId="64" fillId="0" borderId="9" xfId="0" applyFont="1" applyBorder="1"/>
    <xf numFmtId="0" fontId="6" fillId="0" borderId="5" xfId="0" applyFont="1" applyBorder="1" applyAlignment="1">
      <alignment horizontal="center"/>
    </xf>
    <xf numFmtId="0" fontId="66" fillId="0" borderId="3" xfId="0" applyFont="1" applyBorder="1" applyAlignment="1">
      <alignment horizontal="center"/>
    </xf>
    <xf numFmtId="168" fontId="64" fillId="0" borderId="44" xfId="557" applyNumberFormat="1" applyFont="1" applyFill="1" applyBorder="1"/>
    <xf numFmtId="168" fontId="64" fillId="0" borderId="6" xfId="557" applyNumberFormat="1" applyFont="1" applyFill="1" applyBorder="1"/>
    <xf numFmtId="0" fontId="64" fillId="0" borderId="0" xfId="0" applyFont="1"/>
    <xf numFmtId="0" fontId="6" fillId="0" borderId="10" xfId="0" applyFont="1" applyBorder="1"/>
    <xf numFmtId="0" fontId="50" fillId="0" borderId="10" xfId="0" applyFont="1" applyBorder="1"/>
    <xf numFmtId="0" fontId="50" fillId="0" borderId="0" xfId="0" applyFont="1"/>
    <xf numFmtId="3" fontId="50" fillId="3" borderId="0" xfId="0" applyNumberFormat="1" applyFont="1" applyFill="1"/>
    <xf numFmtId="0" fontId="6" fillId="0" borderId="4" xfId="0" applyFont="1" applyBorder="1"/>
    <xf numFmtId="0" fontId="50" fillId="0" borderId="4" xfId="0" applyFont="1" applyBorder="1"/>
    <xf numFmtId="0" fontId="6" fillId="0" borderId="3" xfId="0" applyFont="1" applyBorder="1"/>
    <xf numFmtId="0" fontId="50" fillId="0" borderId="3" xfId="0" applyFont="1" applyBorder="1"/>
    <xf numFmtId="168" fontId="51" fillId="0" borderId="3" xfId="557" applyNumberFormat="1" applyFont="1" applyFill="1" applyBorder="1"/>
    <xf numFmtId="0" fontId="6" fillId="0" borderId="33" xfId="0" applyFont="1" applyBorder="1"/>
    <xf numFmtId="0" fontId="50" fillId="0" borderId="33" xfId="0" applyFont="1" applyBorder="1"/>
    <xf numFmtId="0" fontId="6" fillId="0" borderId="5" xfId="0" applyFont="1" applyBorder="1"/>
    <xf numFmtId="0" fontId="50" fillId="0" borderId="44" xfId="0" applyFont="1" applyBorder="1"/>
    <xf numFmtId="43" fontId="50" fillId="3" borderId="0" xfId="557" applyFont="1" applyFill="1"/>
    <xf numFmtId="0" fontId="50" fillId="3" borderId="10" xfId="0" applyFont="1" applyFill="1" applyBorder="1" applyAlignment="1">
      <alignment horizontal="center" vertical="center"/>
    </xf>
    <xf numFmtId="43" fontId="0" fillId="3" borderId="0" xfId="557" applyFont="1" applyFill="1"/>
    <xf numFmtId="43" fontId="0" fillId="0" borderId="0" xfId="557" applyFont="1" applyFill="1"/>
    <xf numFmtId="43" fontId="50" fillId="0" borderId="0" xfId="557" applyFont="1" applyFill="1"/>
    <xf numFmtId="43" fontId="67" fillId="0" borderId="0" xfId="557" applyFont="1" applyFill="1"/>
    <xf numFmtId="0" fontId="2" fillId="0" borderId="8" xfId="0" applyFont="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top"/>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167" fontId="6" fillId="0" borderId="22" xfId="0" applyNumberFormat="1" applyFont="1" applyBorder="1" applyAlignment="1">
      <alignment horizontal="center" vertical="center" wrapText="1"/>
    </xf>
    <xf numFmtId="167" fontId="6" fillId="0" borderId="24" xfId="0" applyNumberFormat="1" applyFont="1" applyBorder="1" applyAlignment="1">
      <alignment horizontal="center" vertical="center" wrapText="1"/>
    </xf>
    <xf numFmtId="167" fontId="6" fillId="0" borderId="26" xfId="0" applyNumberFormat="1" applyFont="1" applyBorder="1" applyAlignment="1">
      <alignment horizontal="center" vertical="center" wrapText="1"/>
    </xf>
    <xf numFmtId="0" fontId="2" fillId="0" borderId="2" xfId="0" applyFont="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0" fillId="0" borderId="0" xfId="0" applyFont="1" applyAlignment="1">
      <alignment horizontal="left" wrapText="1"/>
    </xf>
    <xf numFmtId="0" fontId="9" fillId="13" borderId="18" xfId="0" applyFont="1" applyFill="1" applyBorder="1" applyAlignment="1">
      <alignment horizontal="center" vertical="center"/>
    </xf>
    <xf numFmtId="0" fontId="9" fillId="13" borderId="19" xfId="0" applyFont="1" applyFill="1" applyBorder="1" applyAlignment="1">
      <alignment horizontal="center" vertical="center"/>
    </xf>
    <xf numFmtId="0" fontId="9" fillId="13" borderId="20" xfId="0" applyFont="1" applyFill="1" applyBorder="1" applyAlignment="1">
      <alignment horizontal="center" vertical="center"/>
    </xf>
    <xf numFmtId="0" fontId="9" fillId="12" borderId="18" xfId="0" applyFont="1" applyFill="1" applyBorder="1" applyAlignment="1">
      <alignment horizontal="center" vertical="center"/>
    </xf>
    <xf numFmtId="0" fontId="9" fillId="12" borderId="19" xfId="0" applyFont="1" applyFill="1" applyBorder="1" applyAlignment="1">
      <alignment horizontal="center" vertical="center"/>
    </xf>
    <xf numFmtId="0" fontId="9" fillId="12" borderId="20" xfId="0" applyFont="1" applyFill="1" applyBorder="1" applyAlignment="1">
      <alignment horizontal="center" vertical="center"/>
    </xf>
    <xf numFmtId="0" fontId="9" fillId="11" borderId="18" xfId="0" applyFont="1" applyFill="1" applyBorder="1" applyAlignment="1">
      <alignment horizontal="center" vertical="center"/>
    </xf>
    <xf numFmtId="0" fontId="9" fillId="11" borderId="19" xfId="0" applyFont="1" applyFill="1" applyBorder="1" applyAlignment="1">
      <alignment horizontal="center" vertical="center"/>
    </xf>
    <xf numFmtId="0" fontId="9" fillId="11" borderId="20" xfId="0" applyFont="1" applyFill="1" applyBorder="1" applyAlignment="1">
      <alignment horizontal="center" vertical="center"/>
    </xf>
    <xf numFmtId="0" fontId="9" fillId="14" borderId="18" xfId="0" applyFont="1" applyFill="1" applyBorder="1" applyAlignment="1">
      <alignment horizontal="center" vertical="center"/>
    </xf>
    <xf numFmtId="0" fontId="9" fillId="14" borderId="19" xfId="0" applyFont="1" applyFill="1" applyBorder="1" applyAlignment="1">
      <alignment horizontal="center" vertical="center"/>
    </xf>
    <xf numFmtId="0" fontId="9" fillId="14" borderId="20" xfId="0" applyFont="1" applyFill="1" applyBorder="1" applyAlignment="1">
      <alignment horizontal="center" vertical="center"/>
    </xf>
    <xf numFmtId="0" fontId="9" fillId="15" borderId="18" xfId="0" applyFont="1" applyFill="1" applyBorder="1" applyAlignment="1">
      <alignment horizontal="center" vertical="center"/>
    </xf>
    <xf numFmtId="0" fontId="9" fillId="15" borderId="19" xfId="0" applyFont="1" applyFill="1" applyBorder="1" applyAlignment="1">
      <alignment horizontal="center" vertical="center"/>
    </xf>
    <xf numFmtId="0" fontId="9" fillId="15" borderId="20" xfId="0" applyFont="1" applyFill="1" applyBorder="1" applyAlignment="1">
      <alignment horizontal="center" vertical="center"/>
    </xf>
    <xf numFmtId="0" fontId="9" fillId="16" borderId="18" xfId="0" applyFont="1" applyFill="1" applyBorder="1" applyAlignment="1">
      <alignment horizontal="center" vertical="center"/>
    </xf>
    <xf numFmtId="0" fontId="9" fillId="16" borderId="19" xfId="0" applyFont="1" applyFill="1" applyBorder="1" applyAlignment="1">
      <alignment horizontal="center" vertical="center"/>
    </xf>
    <xf numFmtId="0" fontId="9" fillId="16" borderId="20" xfId="0" applyFont="1" applyFill="1" applyBorder="1" applyAlignment="1">
      <alignment horizontal="center" vertical="center"/>
    </xf>
    <xf numFmtId="0" fontId="2" fillId="0" borderId="8"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6" fillId="15" borderId="11" xfId="0" applyFont="1" applyFill="1" applyBorder="1" applyAlignment="1">
      <alignment horizontal="center"/>
    </xf>
    <xf numFmtId="0" fontId="6" fillId="15" borderId="13" xfId="0" applyFont="1" applyFill="1" applyBorder="1" applyAlignment="1">
      <alignment horizontal="center"/>
    </xf>
    <xf numFmtId="0" fontId="6" fillId="16" borderId="11" xfId="0" applyFont="1" applyFill="1" applyBorder="1" applyAlignment="1">
      <alignment horizontal="center"/>
    </xf>
    <xf numFmtId="0" fontId="6" fillId="16" borderId="13" xfId="0" applyFont="1" applyFill="1" applyBorder="1" applyAlignment="1">
      <alignment horizontal="center"/>
    </xf>
    <xf numFmtId="0" fontId="6" fillId="11" borderId="11" xfId="0" applyFont="1" applyFill="1" applyBorder="1" applyAlignment="1">
      <alignment horizontal="center"/>
    </xf>
    <xf numFmtId="0" fontId="6" fillId="11" borderId="13" xfId="0" applyFont="1" applyFill="1" applyBorder="1" applyAlignment="1">
      <alignment horizontal="center"/>
    </xf>
    <xf numFmtId="0" fontId="6" fillId="12" borderId="11" xfId="0" applyFont="1" applyFill="1" applyBorder="1" applyAlignment="1">
      <alignment horizontal="center"/>
    </xf>
    <xf numFmtId="0" fontId="6" fillId="12" borderId="13" xfId="0" applyFont="1" applyFill="1" applyBorder="1" applyAlignment="1">
      <alignment horizontal="center"/>
    </xf>
    <xf numFmtId="0" fontId="6" fillId="13" borderId="11" xfId="0" applyFont="1" applyFill="1" applyBorder="1" applyAlignment="1">
      <alignment horizontal="center"/>
    </xf>
    <xf numFmtId="0" fontId="6" fillId="13" borderId="13" xfId="0" applyFont="1" applyFill="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9" fillId="3" borderId="8" xfId="0" applyFont="1" applyFill="1" applyBorder="1" applyAlignment="1">
      <alignment horizontal="center"/>
    </xf>
    <xf numFmtId="0" fontId="49" fillId="3" borderId="6" xfId="0" applyFont="1" applyFill="1" applyBorder="1" applyAlignment="1">
      <alignment horizontal="center"/>
    </xf>
    <xf numFmtId="0" fontId="49" fillId="3" borderId="40" xfId="0" applyFont="1" applyFill="1" applyBorder="1" applyAlignment="1">
      <alignment horizontal="center"/>
    </xf>
    <xf numFmtId="0" fontId="49" fillId="3" borderId="0" xfId="0" applyFont="1" applyFill="1" applyAlignment="1">
      <alignment horizontal="center"/>
    </xf>
    <xf numFmtId="0" fontId="6" fillId="14" borderId="11" xfId="0" applyFont="1" applyFill="1" applyBorder="1" applyAlignment="1">
      <alignment horizontal="center"/>
    </xf>
    <xf numFmtId="0" fontId="6" fillId="14" borderId="13" xfId="0" applyFont="1" applyFill="1" applyBorder="1" applyAlignment="1">
      <alignment horizontal="center"/>
    </xf>
    <xf numFmtId="0" fontId="5" fillId="3" borderId="8" xfId="0" applyFont="1" applyFill="1" applyBorder="1" applyAlignment="1">
      <alignment horizontal="center" vertical="top"/>
    </xf>
    <xf numFmtId="0" fontId="5" fillId="3" borderId="6" xfId="0" applyFont="1" applyFill="1" applyBorder="1" applyAlignment="1">
      <alignment horizontal="center" vertical="top"/>
    </xf>
    <xf numFmtId="0" fontId="0" fillId="3" borderId="8" xfId="0" applyFill="1" applyBorder="1" applyAlignment="1">
      <alignment horizontal="left" vertical="top" wrapText="1"/>
    </xf>
    <xf numFmtId="0" fontId="0" fillId="3" borderId="6" xfId="0" applyFill="1" applyBorder="1" applyAlignment="1">
      <alignment horizontal="left" vertical="top" wrapText="1"/>
    </xf>
    <xf numFmtId="0" fontId="6" fillId="28" borderId="11" xfId="0" applyFont="1" applyFill="1" applyBorder="1" applyAlignment="1">
      <alignment horizontal="center"/>
    </xf>
    <xf numFmtId="0" fontId="6" fillId="28" borderId="13" xfId="0" applyFont="1" applyFill="1" applyBorder="1" applyAlignment="1">
      <alignment horizontal="center"/>
    </xf>
    <xf numFmtId="0" fontId="0" fillId="3" borderId="8"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5" fillId="3" borderId="40" xfId="0" applyFont="1" applyFill="1" applyBorder="1" applyAlignment="1">
      <alignment horizontal="center" vertical="top"/>
    </xf>
    <xf numFmtId="0" fontId="5" fillId="3" borderId="0" xfId="0" applyFont="1" applyFill="1" applyAlignment="1">
      <alignment horizontal="center" vertical="top"/>
    </xf>
    <xf numFmtId="0" fontId="0" fillId="3" borderId="8" xfId="0" applyFill="1" applyBorder="1" applyAlignment="1">
      <alignment horizontal="left" vertical="top"/>
    </xf>
    <xf numFmtId="0" fontId="0" fillId="3" borderId="6" xfId="0" applyFill="1" applyBorder="1" applyAlignment="1">
      <alignment horizontal="left" vertical="top"/>
    </xf>
    <xf numFmtId="0" fontId="42" fillId="27" borderId="19" xfId="0" applyFont="1" applyFill="1" applyBorder="1" applyAlignment="1">
      <alignment horizontal="center"/>
    </xf>
    <xf numFmtId="0" fontId="42" fillId="27" borderId="20" xfId="0" applyFont="1" applyFill="1" applyBorder="1" applyAlignment="1">
      <alignment horizontal="center"/>
    </xf>
    <xf numFmtId="0" fontId="6" fillId="27" borderId="2" xfId="0" applyFont="1" applyFill="1" applyBorder="1" applyAlignment="1">
      <alignment horizontal="center" vertical="center" wrapText="1"/>
    </xf>
    <xf numFmtId="0" fontId="39" fillId="8" borderId="8" xfId="0" applyFont="1" applyFill="1" applyBorder="1" applyAlignment="1">
      <alignment horizontal="center" wrapText="1"/>
    </xf>
    <xf numFmtId="0" fontId="39" fillId="8" borderId="7" xfId="0" applyFont="1" applyFill="1" applyBorder="1" applyAlignment="1">
      <alignment horizontal="center" wrapText="1"/>
    </xf>
    <xf numFmtId="0" fontId="39" fillId="8" borderId="34" xfId="0" applyFont="1" applyFill="1" applyBorder="1" applyAlignment="1">
      <alignment horizontal="center" wrapText="1"/>
    </xf>
    <xf numFmtId="0" fontId="45" fillId="8" borderId="42" xfId="0" applyFont="1" applyFill="1" applyBorder="1" applyAlignment="1">
      <alignment horizontal="left" vertical="top" wrapText="1"/>
    </xf>
    <xf numFmtId="0" fontId="45" fillId="8" borderId="43" xfId="0" applyFont="1" applyFill="1" applyBorder="1" applyAlignment="1">
      <alignment horizontal="left" vertical="top" wrapText="1"/>
    </xf>
    <xf numFmtId="0" fontId="45" fillId="8" borderId="46" xfId="0" applyFont="1" applyFill="1" applyBorder="1" applyAlignment="1">
      <alignment horizontal="left" vertical="top" wrapText="1"/>
    </xf>
    <xf numFmtId="0" fontId="45" fillId="8" borderId="40" xfId="0" applyFont="1" applyFill="1" applyBorder="1" applyAlignment="1">
      <alignment horizontal="left" vertical="top" wrapText="1"/>
    </xf>
    <xf numFmtId="0" fontId="45" fillId="8" borderId="0" xfId="0" applyFont="1" applyFill="1" applyAlignment="1">
      <alignment horizontal="left" vertical="top" wrapText="1"/>
    </xf>
    <xf numFmtId="0" fontId="45" fillId="8" borderId="30" xfId="0" applyFont="1" applyFill="1" applyBorder="1" applyAlignment="1">
      <alignment horizontal="left" vertical="top" wrapText="1"/>
    </xf>
    <xf numFmtId="0" fontId="45" fillId="8" borderId="32" xfId="0" applyFont="1" applyFill="1" applyBorder="1" applyAlignment="1">
      <alignment horizontal="left" vertical="top" wrapText="1"/>
    </xf>
    <xf numFmtId="0" fontId="45" fillId="8" borderId="9" xfId="0" applyFont="1" applyFill="1" applyBorder="1" applyAlignment="1">
      <alignment horizontal="left" vertical="top" wrapText="1"/>
    </xf>
    <xf numFmtId="0" fontId="45" fillId="8" borderId="47" xfId="0" applyFont="1" applyFill="1" applyBorder="1" applyAlignment="1">
      <alignment horizontal="left" vertical="top" wrapText="1"/>
    </xf>
    <xf numFmtId="0" fontId="6" fillId="25" borderId="2" xfId="0" applyFont="1" applyFill="1" applyBorder="1" applyAlignment="1">
      <alignment horizontal="center" vertical="center" wrapText="1"/>
    </xf>
    <xf numFmtId="0" fontId="42" fillId="22" borderId="19" xfId="0" applyFont="1" applyFill="1" applyBorder="1" applyAlignment="1">
      <alignment horizontal="center"/>
    </xf>
    <xf numFmtId="0" fontId="6" fillId="22" borderId="2" xfId="0" applyFont="1" applyFill="1" applyBorder="1" applyAlignment="1">
      <alignment horizontal="center" vertical="center" wrapText="1"/>
    </xf>
    <xf numFmtId="0" fontId="39" fillId="8" borderId="42" xfId="0" applyFont="1" applyFill="1" applyBorder="1" applyAlignment="1">
      <alignment horizontal="center" wrapText="1"/>
    </xf>
    <xf numFmtId="0" fontId="39" fillId="8" borderId="43" xfId="0" applyFont="1" applyFill="1" applyBorder="1" applyAlignment="1">
      <alignment horizontal="center" wrapText="1"/>
    </xf>
    <xf numFmtId="0" fontId="42" fillId="25" borderId="18" xfId="0" applyFont="1" applyFill="1" applyBorder="1" applyAlignment="1">
      <alignment horizontal="center"/>
    </xf>
    <xf numFmtId="0" fontId="42" fillId="25" borderId="19" xfId="0" applyFont="1" applyFill="1" applyBorder="1" applyAlignment="1">
      <alignment horizontal="center"/>
    </xf>
    <xf numFmtId="0" fontId="42" fillId="25" borderId="20" xfId="0" applyFont="1" applyFill="1" applyBorder="1" applyAlignment="1">
      <alignment horizontal="center"/>
    </xf>
    <xf numFmtId="0" fontId="42" fillId="21" borderId="19" xfId="0" applyFont="1" applyFill="1" applyBorder="1" applyAlignment="1">
      <alignment horizontal="center"/>
    </xf>
    <xf numFmtId="0" fontId="6" fillId="21" borderId="2" xfId="0" applyFont="1" applyFill="1" applyBorder="1" applyAlignment="1">
      <alignment horizontal="center" vertical="center" wrapText="1"/>
    </xf>
    <xf numFmtId="0" fontId="39" fillId="0" borderId="42" xfId="0" applyFont="1" applyBorder="1" applyAlignment="1">
      <alignment horizontal="center" wrapText="1"/>
    </xf>
    <xf numFmtId="0" fontId="39" fillId="0" borderId="43" xfId="0" applyFont="1" applyBorder="1" applyAlignment="1">
      <alignment horizontal="center" wrapText="1"/>
    </xf>
    <xf numFmtId="0" fontId="57" fillId="19" borderId="18" xfId="0" applyFont="1" applyFill="1" applyBorder="1" applyAlignment="1">
      <alignment horizontal="center"/>
    </xf>
    <xf numFmtId="0" fontId="57" fillId="19" borderId="19" xfId="0" applyFont="1" applyFill="1" applyBorder="1" applyAlignment="1">
      <alignment horizontal="center"/>
    </xf>
    <xf numFmtId="0" fontId="6" fillId="19" borderId="2" xfId="0" applyFont="1" applyFill="1" applyBorder="1" applyAlignment="1">
      <alignment horizontal="center" vertical="center" wrapText="1"/>
    </xf>
    <xf numFmtId="0" fontId="45" fillId="0" borderId="42" xfId="0" applyFont="1" applyBorder="1" applyAlignment="1">
      <alignment horizontal="left" vertical="top" wrapText="1"/>
    </xf>
    <xf numFmtId="0" fontId="45" fillId="0" borderId="43" xfId="0" applyFont="1" applyBorder="1" applyAlignment="1">
      <alignment horizontal="left" vertical="top" wrapText="1"/>
    </xf>
    <xf numFmtId="0" fontId="45" fillId="0" borderId="40" xfId="0" applyFont="1" applyBorder="1" applyAlignment="1">
      <alignment horizontal="left" vertical="top" wrapText="1"/>
    </xf>
    <xf numFmtId="0" fontId="45" fillId="0" borderId="0" xfId="0" applyFont="1" applyAlignment="1">
      <alignment horizontal="left" vertical="top" wrapText="1"/>
    </xf>
    <xf numFmtId="0" fontId="45" fillId="0" borderId="32" xfId="0" applyFont="1" applyBorder="1" applyAlignment="1">
      <alignment horizontal="left" vertical="top" wrapText="1"/>
    </xf>
    <xf numFmtId="0" fontId="45" fillId="0" borderId="9" xfId="0" applyFont="1" applyBorder="1" applyAlignment="1">
      <alignment horizontal="left" vertical="top" wrapText="1"/>
    </xf>
    <xf numFmtId="0" fontId="42" fillId="20" borderId="19" xfId="0" applyFont="1" applyFill="1" applyBorder="1" applyAlignment="1">
      <alignment horizontal="center"/>
    </xf>
    <xf numFmtId="0" fontId="6" fillId="20" borderId="2" xfId="0" applyFont="1" applyFill="1" applyBorder="1" applyAlignment="1">
      <alignment horizontal="center" vertical="center" wrapText="1"/>
    </xf>
    <xf numFmtId="0" fontId="42" fillId="30" borderId="19" xfId="0" applyFont="1" applyFill="1" applyBorder="1" applyAlignment="1">
      <alignment horizontal="center"/>
    </xf>
    <xf numFmtId="0" fontId="42" fillId="30" borderId="20" xfId="0" applyFont="1" applyFill="1" applyBorder="1" applyAlignment="1">
      <alignment horizontal="center"/>
    </xf>
    <xf numFmtId="0" fontId="6" fillId="30" borderId="2" xfId="0" applyFont="1" applyFill="1" applyBorder="1" applyAlignment="1">
      <alignment horizontal="center" vertical="center" wrapText="1"/>
    </xf>
    <xf numFmtId="0" fontId="45" fillId="8" borderId="42" xfId="0" applyFont="1" applyFill="1" applyBorder="1" applyAlignment="1" applyProtection="1">
      <alignment horizontal="left" vertical="top" wrapText="1"/>
      <protection locked="0"/>
    </xf>
    <xf numFmtId="0" fontId="45" fillId="8" borderId="43" xfId="0" applyFont="1" applyFill="1" applyBorder="1" applyAlignment="1" applyProtection="1">
      <alignment horizontal="left" vertical="top" wrapText="1"/>
      <protection locked="0"/>
    </xf>
    <xf numFmtId="0" fontId="45" fillId="8" borderId="46" xfId="0" applyFont="1" applyFill="1" applyBorder="1" applyAlignment="1" applyProtection="1">
      <alignment horizontal="left" vertical="top" wrapText="1"/>
      <protection locked="0"/>
    </xf>
    <xf numFmtId="0" fontId="45" fillId="8" borderId="40" xfId="0" applyFont="1" applyFill="1" applyBorder="1" applyAlignment="1" applyProtection="1">
      <alignment horizontal="left" vertical="top" wrapText="1"/>
      <protection locked="0"/>
    </xf>
    <xf numFmtId="0" fontId="45" fillId="8" borderId="0" xfId="0" applyFont="1" applyFill="1" applyAlignment="1" applyProtection="1">
      <alignment horizontal="left" vertical="top" wrapText="1"/>
      <protection locked="0"/>
    </xf>
    <xf numFmtId="0" fontId="45" fillId="8" borderId="30" xfId="0" applyFont="1" applyFill="1" applyBorder="1" applyAlignment="1" applyProtection="1">
      <alignment horizontal="left" vertical="top" wrapText="1"/>
      <protection locked="0"/>
    </xf>
    <xf numFmtId="0" fontId="45" fillId="8" borderId="32" xfId="0" applyFont="1" applyFill="1" applyBorder="1" applyAlignment="1" applyProtection="1">
      <alignment horizontal="left" vertical="top" wrapText="1"/>
      <protection locked="0"/>
    </xf>
    <xf numFmtId="0" fontId="45" fillId="8" borderId="9" xfId="0" applyFont="1" applyFill="1" applyBorder="1" applyAlignment="1" applyProtection="1">
      <alignment horizontal="left" vertical="top" wrapText="1"/>
      <protection locked="0"/>
    </xf>
    <xf numFmtId="0" fontId="45" fillId="8" borderId="47" xfId="0" applyFont="1" applyFill="1" applyBorder="1" applyAlignment="1" applyProtection="1">
      <alignment horizontal="left" vertical="top" wrapText="1"/>
      <protection locked="0"/>
    </xf>
    <xf numFmtId="0" fontId="42" fillId="26" borderId="19" xfId="0" applyFont="1" applyFill="1" applyBorder="1" applyAlignment="1">
      <alignment horizontal="center"/>
    </xf>
    <xf numFmtId="0" fontId="42" fillId="26" borderId="20" xfId="0" applyFont="1" applyFill="1" applyBorder="1" applyAlignment="1">
      <alignment horizontal="center"/>
    </xf>
    <xf numFmtId="0" fontId="6" fillId="26" borderId="2" xfId="0" applyFont="1" applyFill="1" applyBorder="1" applyAlignment="1">
      <alignment horizontal="center" vertical="center" wrapText="1"/>
    </xf>
    <xf numFmtId="0" fontId="50" fillId="0" borderId="0" xfId="0" applyFont="1" applyAlignment="1">
      <alignment horizontal="left" wrapText="1"/>
    </xf>
  </cellXfs>
  <cellStyles count="558">
    <cellStyle name="Comma" xfId="557" builtinId="3"/>
    <cellStyle name="Comma 10" xfId="2" xr:uid="{00000000-0005-0000-0000-000001000000}"/>
    <cellStyle name="Comma 11" xfId="3" xr:uid="{00000000-0005-0000-0000-000002000000}"/>
    <cellStyle name="Comma 11 2" xfId="4" xr:uid="{00000000-0005-0000-0000-000003000000}"/>
    <cellStyle name="Comma 12" xfId="5" xr:uid="{00000000-0005-0000-0000-000004000000}"/>
    <cellStyle name="Comma 13" xfId="6" xr:uid="{00000000-0005-0000-0000-000005000000}"/>
    <cellStyle name="Comma 14" xfId="7" xr:uid="{00000000-0005-0000-0000-000006000000}"/>
    <cellStyle name="Comma 15" xfId="8" xr:uid="{00000000-0005-0000-0000-000007000000}"/>
    <cellStyle name="Comma 2" xfId="9" xr:uid="{00000000-0005-0000-0000-000008000000}"/>
    <cellStyle name="Comma 2 2" xfId="10" xr:uid="{00000000-0005-0000-0000-000009000000}"/>
    <cellStyle name="Comma 2 2 2" xfId="11" xr:uid="{00000000-0005-0000-0000-00000A000000}"/>
    <cellStyle name="Comma 2 3" xfId="12" xr:uid="{00000000-0005-0000-0000-00000B000000}"/>
    <cellStyle name="Comma 2 4" xfId="13" xr:uid="{00000000-0005-0000-0000-00000C000000}"/>
    <cellStyle name="Comma 2 5" xfId="14" xr:uid="{00000000-0005-0000-0000-00000D000000}"/>
    <cellStyle name="Comma 3" xfId="15" xr:uid="{00000000-0005-0000-0000-00000E000000}"/>
    <cellStyle name="Comma 3 2" xfId="16" xr:uid="{00000000-0005-0000-0000-00000F000000}"/>
    <cellStyle name="Comma 3 2 2" xfId="17" xr:uid="{00000000-0005-0000-0000-000010000000}"/>
    <cellStyle name="Comma 4" xfId="18" xr:uid="{00000000-0005-0000-0000-000011000000}"/>
    <cellStyle name="Comma 4 2" xfId="19" xr:uid="{00000000-0005-0000-0000-000012000000}"/>
    <cellStyle name="Comma 4 3" xfId="20" xr:uid="{00000000-0005-0000-0000-000013000000}"/>
    <cellStyle name="Comma 5" xfId="21" xr:uid="{00000000-0005-0000-0000-000014000000}"/>
    <cellStyle name="Comma 5 2" xfId="22" xr:uid="{00000000-0005-0000-0000-000015000000}"/>
    <cellStyle name="Comma 6" xfId="23" xr:uid="{00000000-0005-0000-0000-000016000000}"/>
    <cellStyle name="Comma 6 2" xfId="24" xr:uid="{00000000-0005-0000-0000-000017000000}"/>
    <cellStyle name="Comma 7" xfId="25" xr:uid="{00000000-0005-0000-0000-000018000000}"/>
    <cellStyle name="Comma 7 2" xfId="26" xr:uid="{00000000-0005-0000-0000-000019000000}"/>
    <cellStyle name="Comma 7 3" xfId="27" xr:uid="{00000000-0005-0000-0000-00001A000000}"/>
    <cellStyle name="Comma 8" xfId="28" xr:uid="{00000000-0005-0000-0000-00001B000000}"/>
    <cellStyle name="Comma 9" xfId="29" xr:uid="{00000000-0005-0000-0000-00001C000000}"/>
    <cellStyle name="Comma 9 2" xfId="30" xr:uid="{00000000-0005-0000-0000-00001D000000}"/>
    <cellStyle name="Currency 2" xfId="31" xr:uid="{00000000-0005-0000-0000-00001E000000}"/>
    <cellStyle name="Currency 2 2" xfId="32" xr:uid="{00000000-0005-0000-0000-00001F000000}"/>
    <cellStyle name="Currency 2 2 2" xfId="33" xr:uid="{00000000-0005-0000-0000-000020000000}"/>
    <cellStyle name="Currency 2 3" xfId="34" xr:uid="{00000000-0005-0000-0000-000021000000}"/>
    <cellStyle name="Currency 2 4" xfId="35" xr:uid="{00000000-0005-0000-0000-000022000000}"/>
    <cellStyle name="Currency 2 4 2" xfId="36" xr:uid="{00000000-0005-0000-0000-000023000000}"/>
    <cellStyle name="Currency 2 5" xfId="37" xr:uid="{00000000-0005-0000-0000-000024000000}"/>
    <cellStyle name="Currency 3" xfId="38" xr:uid="{00000000-0005-0000-0000-000025000000}"/>
    <cellStyle name="Currency 3 2" xfId="39" xr:uid="{00000000-0005-0000-0000-000026000000}"/>
    <cellStyle name="Currency 4" xfId="40" xr:uid="{00000000-0005-0000-0000-000027000000}"/>
    <cellStyle name="Currency 4 2" xfId="41" xr:uid="{00000000-0005-0000-0000-000028000000}"/>
    <cellStyle name="Currency 4 3" xfId="42" xr:uid="{00000000-0005-0000-0000-000029000000}"/>
    <cellStyle name="Currency 5" xfId="43" xr:uid="{00000000-0005-0000-0000-00002A000000}"/>
    <cellStyle name="Currency 6" xfId="44" xr:uid="{00000000-0005-0000-0000-00002B000000}"/>
    <cellStyle name="Currency 6 2" xfId="45" xr:uid="{00000000-0005-0000-0000-00002C000000}"/>
    <cellStyle name="Currency 7" xfId="46" xr:uid="{00000000-0005-0000-0000-00002D000000}"/>
    <cellStyle name="Followed Hyperlink 2" xfId="47" xr:uid="{00000000-0005-0000-0000-00002E000000}"/>
    <cellStyle name="Hyperlink 2" xfId="48" xr:uid="{00000000-0005-0000-0000-00002F000000}"/>
    <cellStyle name="Hyperlink 2 2" xfId="49" xr:uid="{00000000-0005-0000-0000-000030000000}"/>
    <cellStyle name="Hyperlink 3" xfId="50" xr:uid="{00000000-0005-0000-0000-000031000000}"/>
    <cellStyle name="Hyperlink 4" xfId="51" xr:uid="{00000000-0005-0000-0000-000032000000}"/>
    <cellStyle name="Hyperlink 5" xfId="52" xr:uid="{00000000-0005-0000-0000-000033000000}"/>
    <cellStyle name="Normal" xfId="0" builtinId="0"/>
    <cellStyle name="Normal 10" xfId="53" xr:uid="{00000000-0005-0000-0000-000035000000}"/>
    <cellStyle name="Normal 10 2" xfId="54" xr:uid="{00000000-0005-0000-0000-000036000000}"/>
    <cellStyle name="Normal 10 3" xfId="55" xr:uid="{00000000-0005-0000-0000-000037000000}"/>
    <cellStyle name="Normal 10 4" xfId="56" xr:uid="{00000000-0005-0000-0000-000038000000}"/>
    <cellStyle name="Normal 100" xfId="57" xr:uid="{00000000-0005-0000-0000-000039000000}"/>
    <cellStyle name="Normal 101" xfId="58" xr:uid="{00000000-0005-0000-0000-00003A000000}"/>
    <cellStyle name="Normal 102" xfId="59" xr:uid="{00000000-0005-0000-0000-00003B000000}"/>
    <cellStyle name="Normal 103" xfId="60" xr:uid="{00000000-0005-0000-0000-00003C000000}"/>
    <cellStyle name="Normal 104" xfId="61" xr:uid="{00000000-0005-0000-0000-00003D000000}"/>
    <cellStyle name="Normal 105" xfId="62" xr:uid="{00000000-0005-0000-0000-00003E000000}"/>
    <cellStyle name="Normal 106" xfId="63" xr:uid="{00000000-0005-0000-0000-00003F000000}"/>
    <cellStyle name="Normal 107" xfId="64" xr:uid="{00000000-0005-0000-0000-000040000000}"/>
    <cellStyle name="Normal 108" xfId="65" xr:uid="{00000000-0005-0000-0000-000041000000}"/>
    <cellStyle name="Normal 109" xfId="66" xr:uid="{00000000-0005-0000-0000-000042000000}"/>
    <cellStyle name="Normal 11" xfId="67" xr:uid="{00000000-0005-0000-0000-000043000000}"/>
    <cellStyle name="Normal 11 2" xfId="68" xr:uid="{00000000-0005-0000-0000-000044000000}"/>
    <cellStyle name="Normal 110" xfId="69" xr:uid="{00000000-0005-0000-0000-000045000000}"/>
    <cellStyle name="Normal 111" xfId="70" xr:uid="{00000000-0005-0000-0000-000046000000}"/>
    <cellStyle name="Normal 112" xfId="71" xr:uid="{00000000-0005-0000-0000-000047000000}"/>
    <cellStyle name="Normal 113" xfId="72" xr:uid="{00000000-0005-0000-0000-000048000000}"/>
    <cellStyle name="Normal 114" xfId="73" xr:uid="{00000000-0005-0000-0000-000049000000}"/>
    <cellStyle name="Normal 115" xfId="74" xr:uid="{00000000-0005-0000-0000-00004A000000}"/>
    <cellStyle name="Normal 116" xfId="75" xr:uid="{00000000-0005-0000-0000-00004B000000}"/>
    <cellStyle name="Normal 117" xfId="76" xr:uid="{00000000-0005-0000-0000-00004C000000}"/>
    <cellStyle name="Normal 118" xfId="77" xr:uid="{00000000-0005-0000-0000-00004D000000}"/>
    <cellStyle name="Normal 119" xfId="78" xr:uid="{00000000-0005-0000-0000-00004E000000}"/>
    <cellStyle name="Normal 12" xfId="79" xr:uid="{00000000-0005-0000-0000-00004F000000}"/>
    <cellStyle name="Normal 120" xfId="80" xr:uid="{00000000-0005-0000-0000-000050000000}"/>
    <cellStyle name="Normal 121" xfId="81" xr:uid="{00000000-0005-0000-0000-000051000000}"/>
    <cellStyle name="Normal 122" xfId="82" xr:uid="{00000000-0005-0000-0000-000052000000}"/>
    <cellStyle name="Normal 123" xfId="83" xr:uid="{00000000-0005-0000-0000-000053000000}"/>
    <cellStyle name="Normal 124" xfId="84" xr:uid="{00000000-0005-0000-0000-000054000000}"/>
    <cellStyle name="Normal 125" xfId="85" xr:uid="{00000000-0005-0000-0000-000055000000}"/>
    <cellStyle name="Normal 126" xfId="86" xr:uid="{00000000-0005-0000-0000-000056000000}"/>
    <cellStyle name="Normal 127" xfId="87" xr:uid="{00000000-0005-0000-0000-000057000000}"/>
    <cellStyle name="Normal 128" xfId="88" xr:uid="{00000000-0005-0000-0000-000058000000}"/>
    <cellStyle name="Normal 129" xfId="89" xr:uid="{00000000-0005-0000-0000-000059000000}"/>
    <cellStyle name="Normal 13" xfId="90" xr:uid="{00000000-0005-0000-0000-00005A000000}"/>
    <cellStyle name="Normal 13 2" xfId="91" xr:uid="{00000000-0005-0000-0000-00005B000000}"/>
    <cellStyle name="Normal 130" xfId="92" xr:uid="{00000000-0005-0000-0000-00005C000000}"/>
    <cellStyle name="Normal 131" xfId="93" xr:uid="{00000000-0005-0000-0000-00005D000000}"/>
    <cellStyle name="Normal 132" xfId="94" xr:uid="{00000000-0005-0000-0000-00005E000000}"/>
    <cellStyle name="Normal 133" xfId="95" xr:uid="{00000000-0005-0000-0000-00005F000000}"/>
    <cellStyle name="Normal 134" xfId="96" xr:uid="{00000000-0005-0000-0000-000060000000}"/>
    <cellStyle name="Normal 135" xfId="97" xr:uid="{00000000-0005-0000-0000-000061000000}"/>
    <cellStyle name="Normal 136" xfId="98" xr:uid="{00000000-0005-0000-0000-000062000000}"/>
    <cellStyle name="Normal 137" xfId="99" xr:uid="{00000000-0005-0000-0000-000063000000}"/>
    <cellStyle name="Normal 138" xfId="100" xr:uid="{00000000-0005-0000-0000-000064000000}"/>
    <cellStyle name="Normal 139" xfId="101" xr:uid="{00000000-0005-0000-0000-000065000000}"/>
    <cellStyle name="Normal 14" xfId="102" xr:uid="{00000000-0005-0000-0000-000066000000}"/>
    <cellStyle name="Normal 140" xfId="103" xr:uid="{00000000-0005-0000-0000-000067000000}"/>
    <cellStyle name="Normal 141" xfId="104" xr:uid="{00000000-0005-0000-0000-000068000000}"/>
    <cellStyle name="Normal 142" xfId="105" xr:uid="{00000000-0005-0000-0000-000069000000}"/>
    <cellStyle name="Normal 143" xfId="106" xr:uid="{00000000-0005-0000-0000-00006A000000}"/>
    <cellStyle name="Normal 144" xfId="107" xr:uid="{00000000-0005-0000-0000-00006B000000}"/>
    <cellStyle name="Normal 145" xfId="108" xr:uid="{00000000-0005-0000-0000-00006C000000}"/>
    <cellStyle name="Normal 146" xfId="109" xr:uid="{00000000-0005-0000-0000-00006D000000}"/>
    <cellStyle name="Normal 147" xfId="110" xr:uid="{00000000-0005-0000-0000-00006E000000}"/>
    <cellStyle name="Normal 148" xfId="111" xr:uid="{00000000-0005-0000-0000-00006F000000}"/>
    <cellStyle name="Normal 149" xfId="112" xr:uid="{00000000-0005-0000-0000-000070000000}"/>
    <cellStyle name="Normal 15" xfId="113" xr:uid="{00000000-0005-0000-0000-000071000000}"/>
    <cellStyle name="Normal 150" xfId="114" xr:uid="{00000000-0005-0000-0000-000072000000}"/>
    <cellStyle name="Normal 151" xfId="115" xr:uid="{00000000-0005-0000-0000-000073000000}"/>
    <cellStyle name="Normal 152" xfId="116" xr:uid="{00000000-0005-0000-0000-000074000000}"/>
    <cellStyle name="Normal 153" xfId="117" xr:uid="{00000000-0005-0000-0000-000075000000}"/>
    <cellStyle name="Normal 154" xfId="118" xr:uid="{00000000-0005-0000-0000-000076000000}"/>
    <cellStyle name="Normal 155" xfId="119" xr:uid="{00000000-0005-0000-0000-000077000000}"/>
    <cellStyle name="Normal 156" xfId="120" xr:uid="{00000000-0005-0000-0000-000078000000}"/>
    <cellStyle name="Normal 157" xfId="121" xr:uid="{00000000-0005-0000-0000-000079000000}"/>
    <cellStyle name="Normal 158" xfId="122" xr:uid="{00000000-0005-0000-0000-00007A000000}"/>
    <cellStyle name="Normal 159" xfId="123" xr:uid="{00000000-0005-0000-0000-00007B000000}"/>
    <cellStyle name="Normal 16" xfId="124" xr:uid="{00000000-0005-0000-0000-00007C000000}"/>
    <cellStyle name="Normal 160" xfId="125" xr:uid="{00000000-0005-0000-0000-00007D000000}"/>
    <cellStyle name="Normal 161" xfId="126" xr:uid="{00000000-0005-0000-0000-00007E000000}"/>
    <cellStyle name="Normal 162" xfId="127" xr:uid="{00000000-0005-0000-0000-00007F000000}"/>
    <cellStyle name="Normal 163" xfId="128" xr:uid="{00000000-0005-0000-0000-000080000000}"/>
    <cellStyle name="Normal 164" xfId="129" xr:uid="{00000000-0005-0000-0000-000081000000}"/>
    <cellStyle name="Normal 165" xfId="130" xr:uid="{00000000-0005-0000-0000-000082000000}"/>
    <cellStyle name="Normal 166" xfId="131" xr:uid="{00000000-0005-0000-0000-000083000000}"/>
    <cellStyle name="Normal 167" xfId="132" xr:uid="{00000000-0005-0000-0000-000084000000}"/>
    <cellStyle name="Normal 168" xfId="133" xr:uid="{00000000-0005-0000-0000-000085000000}"/>
    <cellStyle name="Normal 169" xfId="134" xr:uid="{00000000-0005-0000-0000-000086000000}"/>
    <cellStyle name="Normal 17" xfId="135" xr:uid="{00000000-0005-0000-0000-000087000000}"/>
    <cellStyle name="Normal 170" xfId="136" xr:uid="{00000000-0005-0000-0000-000088000000}"/>
    <cellStyle name="Normal 171" xfId="137" xr:uid="{00000000-0005-0000-0000-000089000000}"/>
    <cellStyle name="Normal 172" xfId="138" xr:uid="{00000000-0005-0000-0000-00008A000000}"/>
    <cellStyle name="Normal 173" xfId="139" xr:uid="{00000000-0005-0000-0000-00008B000000}"/>
    <cellStyle name="Normal 174" xfId="140" xr:uid="{00000000-0005-0000-0000-00008C000000}"/>
    <cellStyle name="Normal 175" xfId="141" xr:uid="{00000000-0005-0000-0000-00008D000000}"/>
    <cellStyle name="Normal 176" xfId="142" xr:uid="{00000000-0005-0000-0000-00008E000000}"/>
    <cellStyle name="Normal 177" xfId="143" xr:uid="{00000000-0005-0000-0000-00008F000000}"/>
    <cellStyle name="Normal 178" xfId="144" xr:uid="{00000000-0005-0000-0000-000090000000}"/>
    <cellStyle name="Normal 179" xfId="145" xr:uid="{00000000-0005-0000-0000-000091000000}"/>
    <cellStyle name="Normal 18" xfId="146" xr:uid="{00000000-0005-0000-0000-000092000000}"/>
    <cellStyle name="Normal 180" xfId="147" xr:uid="{00000000-0005-0000-0000-000093000000}"/>
    <cellStyle name="Normal 181" xfId="148" xr:uid="{00000000-0005-0000-0000-000094000000}"/>
    <cellStyle name="Normal 182" xfId="149" xr:uid="{00000000-0005-0000-0000-000095000000}"/>
    <cellStyle name="Normal 183" xfId="150" xr:uid="{00000000-0005-0000-0000-000096000000}"/>
    <cellStyle name="Normal 184" xfId="151" xr:uid="{00000000-0005-0000-0000-000097000000}"/>
    <cellStyle name="Normal 185" xfId="152" xr:uid="{00000000-0005-0000-0000-000098000000}"/>
    <cellStyle name="Normal 186" xfId="153" xr:uid="{00000000-0005-0000-0000-000099000000}"/>
    <cellStyle name="Normal 187" xfId="154" xr:uid="{00000000-0005-0000-0000-00009A000000}"/>
    <cellStyle name="Normal 188" xfId="155" xr:uid="{00000000-0005-0000-0000-00009B000000}"/>
    <cellStyle name="Normal 189" xfId="156" xr:uid="{00000000-0005-0000-0000-00009C000000}"/>
    <cellStyle name="Normal 19" xfId="157" xr:uid="{00000000-0005-0000-0000-00009D000000}"/>
    <cellStyle name="Normal 190" xfId="158" xr:uid="{00000000-0005-0000-0000-00009E000000}"/>
    <cellStyle name="Normal 191" xfId="159" xr:uid="{00000000-0005-0000-0000-00009F000000}"/>
    <cellStyle name="Normal 192" xfId="160" xr:uid="{00000000-0005-0000-0000-0000A0000000}"/>
    <cellStyle name="Normal 193" xfId="161" xr:uid="{00000000-0005-0000-0000-0000A1000000}"/>
    <cellStyle name="Normal 194" xfId="162" xr:uid="{00000000-0005-0000-0000-0000A2000000}"/>
    <cellStyle name="Normal 195" xfId="163" xr:uid="{00000000-0005-0000-0000-0000A3000000}"/>
    <cellStyle name="Normal 196" xfId="164" xr:uid="{00000000-0005-0000-0000-0000A4000000}"/>
    <cellStyle name="Normal 197" xfId="165" xr:uid="{00000000-0005-0000-0000-0000A5000000}"/>
    <cellStyle name="Normal 198" xfId="166" xr:uid="{00000000-0005-0000-0000-0000A6000000}"/>
    <cellStyle name="Normal 199" xfId="167" xr:uid="{00000000-0005-0000-0000-0000A7000000}"/>
    <cellStyle name="Normal 2" xfId="168" xr:uid="{00000000-0005-0000-0000-0000A8000000}"/>
    <cellStyle name="Normal 2 10" xfId="169" xr:uid="{00000000-0005-0000-0000-0000A9000000}"/>
    <cellStyle name="Normal 2 10 2" xfId="170" xr:uid="{00000000-0005-0000-0000-0000AA000000}"/>
    <cellStyle name="Normal 2 11" xfId="171" xr:uid="{00000000-0005-0000-0000-0000AB000000}"/>
    <cellStyle name="Normal 2 11 2" xfId="172" xr:uid="{00000000-0005-0000-0000-0000AC000000}"/>
    <cellStyle name="Normal 2 2" xfId="173" xr:uid="{00000000-0005-0000-0000-0000AD000000}"/>
    <cellStyle name="Normal 2 2 2" xfId="174" xr:uid="{00000000-0005-0000-0000-0000AE000000}"/>
    <cellStyle name="Normal 2 2 2 2" xfId="175" xr:uid="{00000000-0005-0000-0000-0000AF000000}"/>
    <cellStyle name="Normal 2 2 3" xfId="176" xr:uid="{00000000-0005-0000-0000-0000B0000000}"/>
    <cellStyle name="Normal 2 2 4" xfId="177" xr:uid="{00000000-0005-0000-0000-0000B1000000}"/>
    <cellStyle name="Normal 2 2 5" xfId="178" xr:uid="{00000000-0005-0000-0000-0000B2000000}"/>
    <cellStyle name="Normal 2 3" xfId="179" xr:uid="{00000000-0005-0000-0000-0000B3000000}"/>
    <cellStyle name="Normal 2 3 2" xfId="180" xr:uid="{00000000-0005-0000-0000-0000B4000000}"/>
    <cellStyle name="Normal 2 3 3" xfId="181" xr:uid="{00000000-0005-0000-0000-0000B5000000}"/>
    <cellStyle name="Normal 2 4" xfId="182" xr:uid="{00000000-0005-0000-0000-0000B6000000}"/>
    <cellStyle name="Normal 2 5" xfId="183" xr:uid="{00000000-0005-0000-0000-0000B7000000}"/>
    <cellStyle name="Normal 2 6" xfId="1" xr:uid="{00000000-0005-0000-0000-0000B8000000}"/>
    <cellStyle name="Normal 2 6 2" xfId="184" xr:uid="{00000000-0005-0000-0000-0000B9000000}"/>
    <cellStyle name="Normal 2 7" xfId="185" xr:uid="{00000000-0005-0000-0000-0000BA000000}"/>
    <cellStyle name="Normal 2 8" xfId="186" xr:uid="{00000000-0005-0000-0000-0000BB000000}"/>
    <cellStyle name="Normal 2 8 2" xfId="187" xr:uid="{00000000-0005-0000-0000-0000BC000000}"/>
    <cellStyle name="Normal 2 9" xfId="188" xr:uid="{00000000-0005-0000-0000-0000BD000000}"/>
    <cellStyle name="Normal 20" xfId="189" xr:uid="{00000000-0005-0000-0000-0000BE000000}"/>
    <cellStyle name="Normal 200" xfId="190" xr:uid="{00000000-0005-0000-0000-0000BF000000}"/>
    <cellStyle name="Normal 201" xfId="191" xr:uid="{00000000-0005-0000-0000-0000C0000000}"/>
    <cellStyle name="Normal 202" xfId="192" xr:uid="{00000000-0005-0000-0000-0000C1000000}"/>
    <cellStyle name="Normal 203" xfId="193" xr:uid="{00000000-0005-0000-0000-0000C2000000}"/>
    <cellStyle name="Normal 204" xfId="194" xr:uid="{00000000-0005-0000-0000-0000C3000000}"/>
    <cellStyle name="Normal 205" xfId="195" xr:uid="{00000000-0005-0000-0000-0000C4000000}"/>
    <cellStyle name="Normal 206" xfId="196" xr:uid="{00000000-0005-0000-0000-0000C5000000}"/>
    <cellStyle name="Normal 207" xfId="197" xr:uid="{00000000-0005-0000-0000-0000C6000000}"/>
    <cellStyle name="Normal 208" xfId="198" xr:uid="{00000000-0005-0000-0000-0000C7000000}"/>
    <cellStyle name="Normal 209" xfId="199" xr:uid="{00000000-0005-0000-0000-0000C8000000}"/>
    <cellStyle name="Normal 21" xfId="200" xr:uid="{00000000-0005-0000-0000-0000C9000000}"/>
    <cellStyle name="Normal 210" xfId="201" xr:uid="{00000000-0005-0000-0000-0000CA000000}"/>
    <cellStyle name="Normal 211" xfId="202" xr:uid="{00000000-0005-0000-0000-0000CB000000}"/>
    <cellStyle name="Normal 212" xfId="203" xr:uid="{00000000-0005-0000-0000-0000CC000000}"/>
    <cellStyle name="Normal 213" xfId="204" xr:uid="{00000000-0005-0000-0000-0000CD000000}"/>
    <cellStyle name="Normal 214" xfId="205" xr:uid="{00000000-0005-0000-0000-0000CE000000}"/>
    <cellStyle name="Normal 215" xfId="206" xr:uid="{00000000-0005-0000-0000-0000CF000000}"/>
    <cellStyle name="Normal 216" xfId="207" xr:uid="{00000000-0005-0000-0000-0000D0000000}"/>
    <cellStyle name="Normal 217" xfId="208" xr:uid="{00000000-0005-0000-0000-0000D1000000}"/>
    <cellStyle name="Normal 218" xfId="209" xr:uid="{00000000-0005-0000-0000-0000D2000000}"/>
    <cellStyle name="Normal 219" xfId="210" xr:uid="{00000000-0005-0000-0000-0000D3000000}"/>
    <cellStyle name="Normal 22" xfId="211" xr:uid="{00000000-0005-0000-0000-0000D4000000}"/>
    <cellStyle name="Normal 220" xfId="212" xr:uid="{00000000-0005-0000-0000-0000D5000000}"/>
    <cellStyle name="Normal 221" xfId="213" xr:uid="{00000000-0005-0000-0000-0000D6000000}"/>
    <cellStyle name="Normal 222" xfId="214" xr:uid="{00000000-0005-0000-0000-0000D7000000}"/>
    <cellStyle name="Normal 223" xfId="215" xr:uid="{00000000-0005-0000-0000-0000D8000000}"/>
    <cellStyle name="Normal 224" xfId="216" xr:uid="{00000000-0005-0000-0000-0000D9000000}"/>
    <cellStyle name="Normal 225" xfId="217" xr:uid="{00000000-0005-0000-0000-0000DA000000}"/>
    <cellStyle name="Normal 226" xfId="218" xr:uid="{00000000-0005-0000-0000-0000DB000000}"/>
    <cellStyle name="Normal 227" xfId="219" xr:uid="{00000000-0005-0000-0000-0000DC000000}"/>
    <cellStyle name="Normal 228" xfId="220" xr:uid="{00000000-0005-0000-0000-0000DD000000}"/>
    <cellStyle name="Normal 229" xfId="221" xr:uid="{00000000-0005-0000-0000-0000DE000000}"/>
    <cellStyle name="Normal 23" xfId="222" xr:uid="{00000000-0005-0000-0000-0000DF000000}"/>
    <cellStyle name="Normal 230" xfId="223" xr:uid="{00000000-0005-0000-0000-0000E0000000}"/>
    <cellStyle name="Normal 231" xfId="224" xr:uid="{00000000-0005-0000-0000-0000E1000000}"/>
    <cellStyle name="Normal 232" xfId="225" xr:uid="{00000000-0005-0000-0000-0000E2000000}"/>
    <cellStyle name="Normal 233" xfId="226" xr:uid="{00000000-0005-0000-0000-0000E3000000}"/>
    <cellStyle name="Normal 234" xfId="227" xr:uid="{00000000-0005-0000-0000-0000E4000000}"/>
    <cellStyle name="Normal 235" xfId="228" xr:uid="{00000000-0005-0000-0000-0000E5000000}"/>
    <cellStyle name="Normal 236" xfId="229" xr:uid="{00000000-0005-0000-0000-0000E6000000}"/>
    <cellStyle name="Normal 237" xfId="230" xr:uid="{00000000-0005-0000-0000-0000E7000000}"/>
    <cellStyle name="Normal 238" xfId="231" xr:uid="{00000000-0005-0000-0000-0000E8000000}"/>
    <cellStyle name="Normal 239" xfId="232" xr:uid="{00000000-0005-0000-0000-0000E9000000}"/>
    <cellStyle name="Normal 24" xfId="233" xr:uid="{00000000-0005-0000-0000-0000EA000000}"/>
    <cellStyle name="Normal 240" xfId="234" xr:uid="{00000000-0005-0000-0000-0000EB000000}"/>
    <cellStyle name="Normal 241" xfId="235" xr:uid="{00000000-0005-0000-0000-0000EC000000}"/>
    <cellStyle name="Normal 242" xfId="236" xr:uid="{00000000-0005-0000-0000-0000ED000000}"/>
    <cellStyle name="Normal 243" xfId="237" xr:uid="{00000000-0005-0000-0000-0000EE000000}"/>
    <cellStyle name="Normal 244" xfId="238" xr:uid="{00000000-0005-0000-0000-0000EF000000}"/>
    <cellStyle name="Normal 245" xfId="239" xr:uid="{00000000-0005-0000-0000-0000F0000000}"/>
    <cellStyle name="Normal 246" xfId="240" xr:uid="{00000000-0005-0000-0000-0000F1000000}"/>
    <cellStyle name="Normal 247" xfId="241" xr:uid="{00000000-0005-0000-0000-0000F2000000}"/>
    <cellStyle name="Normal 248" xfId="242" xr:uid="{00000000-0005-0000-0000-0000F3000000}"/>
    <cellStyle name="Normal 249" xfId="243" xr:uid="{00000000-0005-0000-0000-0000F4000000}"/>
    <cellStyle name="Normal 25" xfId="244" xr:uid="{00000000-0005-0000-0000-0000F5000000}"/>
    <cellStyle name="Normal 250" xfId="245" xr:uid="{00000000-0005-0000-0000-0000F6000000}"/>
    <cellStyle name="Normal 251" xfId="246" xr:uid="{00000000-0005-0000-0000-0000F7000000}"/>
    <cellStyle name="Normal 252" xfId="247" xr:uid="{00000000-0005-0000-0000-0000F8000000}"/>
    <cellStyle name="Normal 253" xfId="248" xr:uid="{00000000-0005-0000-0000-0000F9000000}"/>
    <cellStyle name="Normal 254" xfId="249" xr:uid="{00000000-0005-0000-0000-0000FA000000}"/>
    <cellStyle name="Normal 255" xfId="250" xr:uid="{00000000-0005-0000-0000-0000FB000000}"/>
    <cellStyle name="Normal 256" xfId="251" xr:uid="{00000000-0005-0000-0000-0000FC000000}"/>
    <cellStyle name="Normal 257" xfId="252" xr:uid="{00000000-0005-0000-0000-0000FD000000}"/>
    <cellStyle name="Normal 258" xfId="253" xr:uid="{00000000-0005-0000-0000-0000FE000000}"/>
    <cellStyle name="Normal 259" xfId="254" xr:uid="{00000000-0005-0000-0000-0000FF000000}"/>
    <cellStyle name="Normal 26" xfId="255" xr:uid="{00000000-0005-0000-0000-000000010000}"/>
    <cellStyle name="Normal 260" xfId="256" xr:uid="{00000000-0005-0000-0000-000001010000}"/>
    <cellStyle name="Normal 261" xfId="257" xr:uid="{00000000-0005-0000-0000-000002010000}"/>
    <cellStyle name="Normal 262" xfId="258" xr:uid="{00000000-0005-0000-0000-000003010000}"/>
    <cellStyle name="Normal 263" xfId="259" xr:uid="{00000000-0005-0000-0000-000004010000}"/>
    <cellStyle name="Normal 264" xfId="260" xr:uid="{00000000-0005-0000-0000-000005010000}"/>
    <cellStyle name="Normal 265" xfId="261" xr:uid="{00000000-0005-0000-0000-000006010000}"/>
    <cellStyle name="Normal 266" xfId="262" xr:uid="{00000000-0005-0000-0000-000007010000}"/>
    <cellStyle name="Normal 267" xfId="263" xr:uid="{00000000-0005-0000-0000-000008010000}"/>
    <cellStyle name="Normal 268" xfId="264" xr:uid="{00000000-0005-0000-0000-000009010000}"/>
    <cellStyle name="Normal 269" xfId="265" xr:uid="{00000000-0005-0000-0000-00000A010000}"/>
    <cellStyle name="Normal 27" xfId="266" xr:uid="{00000000-0005-0000-0000-00000B010000}"/>
    <cellStyle name="Normal 270" xfId="267" xr:uid="{00000000-0005-0000-0000-00000C010000}"/>
    <cellStyle name="Normal 271" xfId="268" xr:uid="{00000000-0005-0000-0000-00000D010000}"/>
    <cellStyle name="Normal 272" xfId="269" xr:uid="{00000000-0005-0000-0000-00000E010000}"/>
    <cellStyle name="Normal 273" xfId="270" xr:uid="{00000000-0005-0000-0000-00000F010000}"/>
    <cellStyle name="Normal 274" xfId="271" xr:uid="{00000000-0005-0000-0000-000010010000}"/>
    <cellStyle name="Normal 275" xfId="272" xr:uid="{00000000-0005-0000-0000-000011010000}"/>
    <cellStyle name="Normal 276" xfId="273" xr:uid="{00000000-0005-0000-0000-000012010000}"/>
    <cellStyle name="Normal 277" xfId="274" xr:uid="{00000000-0005-0000-0000-000013010000}"/>
    <cellStyle name="Normal 278" xfId="275" xr:uid="{00000000-0005-0000-0000-000014010000}"/>
    <cellStyle name="Normal 279" xfId="276" xr:uid="{00000000-0005-0000-0000-000015010000}"/>
    <cellStyle name="Normal 28" xfId="277" xr:uid="{00000000-0005-0000-0000-000016010000}"/>
    <cellStyle name="Normal 280" xfId="278" xr:uid="{00000000-0005-0000-0000-000017010000}"/>
    <cellStyle name="Normal 281" xfId="279" xr:uid="{00000000-0005-0000-0000-000018010000}"/>
    <cellStyle name="Normal 282" xfId="280" xr:uid="{00000000-0005-0000-0000-000019010000}"/>
    <cellStyle name="Normal 283" xfId="281" xr:uid="{00000000-0005-0000-0000-00001A010000}"/>
    <cellStyle name="Normal 284" xfId="282" xr:uid="{00000000-0005-0000-0000-00001B010000}"/>
    <cellStyle name="Normal 285" xfId="283" xr:uid="{00000000-0005-0000-0000-00001C010000}"/>
    <cellStyle name="Normal 286" xfId="284" xr:uid="{00000000-0005-0000-0000-00001D010000}"/>
    <cellStyle name="Normal 287" xfId="285" xr:uid="{00000000-0005-0000-0000-00001E010000}"/>
    <cellStyle name="Normal 288" xfId="286" xr:uid="{00000000-0005-0000-0000-00001F010000}"/>
    <cellStyle name="Normal 289" xfId="287" xr:uid="{00000000-0005-0000-0000-000020010000}"/>
    <cellStyle name="Normal 29" xfId="288" xr:uid="{00000000-0005-0000-0000-000021010000}"/>
    <cellStyle name="Normal 290" xfId="289" xr:uid="{00000000-0005-0000-0000-000022010000}"/>
    <cellStyle name="Normal 291" xfId="290" xr:uid="{00000000-0005-0000-0000-000023010000}"/>
    <cellStyle name="Normal 292" xfId="291" xr:uid="{00000000-0005-0000-0000-000024010000}"/>
    <cellStyle name="Normal 293" xfId="292" xr:uid="{00000000-0005-0000-0000-000025010000}"/>
    <cellStyle name="Normal 294" xfId="293" xr:uid="{00000000-0005-0000-0000-000026010000}"/>
    <cellStyle name="Normal 295" xfId="294" xr:uid="{00000000-0005-0000-0000-000027010000}"/>
    <cellStyle name="Normal 296" xfId="295" xr:uid="{00000000-0005-0000-0000-000028010000}"/>
    <cellStyle name="Normal 297" xfId="296" xr:uid="{00000000-0005-0000-0000-000029010000}"/>
    <cellStyle name="Normal 298" xfId="297" xr:uid="{00000000-0005-0000-0000-00002A010000}"/>
    <cellStyle name="Normal 299" xfId="298" xr:uid="{00000000-0005-0000-0000-00002B010000}"/>
    <cellStyle name="Normal 3" xfId="299" xr:uid="{00000000-0005-0000-0000-00002C010000}"/>
    <cellStyle name="Normal 3 10" xfId="300" xr:uid="{00000000-0005-0000-0000-00002D010000}"/>
    <cellStyle name="Normal 3 100" xfId="301" xr:uid="{00000000-0005-0000-0000-00002E010000}"/>
    <cellStyle name="Normal 3 101" xfId="302" xr:uid="{00000000-0005-0000-0000-00002F010000}"/>
    <cellStyle name="Normal 3 102" xfId="303" xr:uid="{00000000-0005-0000-0000-000030010000}"/>
    <cellStyle name="Normal 3 103" xfId="304" xr:uid="{00000000-0005-0000-0000-000031010000}"/>
    <cellStyle name="Normal 3 104" xfId="305" xr:uid="{00000000-0005-0000-0000-000032010000}"/>
    <cellStyle name="Normal 3 105" xfId="306" xr:uid="{00000000-0005-0000-0000-000033010000}"/>
    <cellStyle name="Normal 3 106" xfId="307" xr:uid="{00000000-0005-0000-0000-000034010000}"/>
    <cellStyle name="Normal 3 107" xfId="308" xr:uid="{00000000-0005-0000-0000-000035010000}"/>
    <cellStyle name="Normal 3 108" xfId="309" xr:uid="{00000000-0005-0000-0000-000036010000}"/>
    <cellStyle name="Normal 3 109" xfId="310" xr:uid="{00000000-0005-0000-0000-000037010000}"/>
    <cellStyle name="Normal 3 11" xfId="311" xr:uid="{00000000-0005-0000-0000-000038010000}"/>
    <cellStyle name="Normal 3 110" xfId="312" xr:uid="{00000000-0005-0000-0000-000039010000}"/>
    <cellStyle name="Normal 3 111" xfId="313" xr:uid="{00000000-0005-0000-0000-00003A010000}"/>
    <cellStyle name="Normal 3 112" xfId="314" xr:uid="{00000000-0005-0000-0000-00003B010000}"/>
    <cellStyle name="Normal 3 113" xfId="315" xr:uid="{00000000-0005-0000-0000-00003C010000}"/>
    <cellStyle name="Normal 3 114" xfId="316" xr:uid="{00000000-0005-0000-0000-00003D010000}"/>
    <cellStyle name="Normal 3 115" xfId="317" xr:uid="{00000000-0005-0000-0000-00003E010000}"/>
    <cellStyle name="Normal 3 116" xfId="318" xr:uid="{00000000-0005-0000-0000-00003F010000}"/>
    <cellStyle name="Normal 3 117" xfId="319" xr:uid="{00000000-0005-0000-0000-000040010000}"/>
    <cellStyle name="Normal 3 118" xfId="320" xr:uid="{00000000-0005-0000-0000-000041010000}"/>
    <cellStyle name="Normal 3 119" xfId="321" xr:uid="{00000000-0005-0000-0000-000042010000}"/>
    <cellStyle name="Normal 3 12" xfId="322" xr:uid="{00000000-0005-0000-0000-000043010000}"/>
    <cellStyle name="Normal 3 120" xfId="323" xr:uid="{00000000-0005-0000-0000-000044010000}"/>
    <cellStyle name="Normal 3 121" xfId="324" xr:uid="{00000000-0005-0000-0000-000045010000}"/>
    <cellStyle name="Normal 3 122" xfId="325" xr:uid="{00000000-0005-0000-0000-000046010000}"/>
    <cellStyle name="Normal 3 123" xfId="326" xr:uid="{00000000-0005-0000-0000-000047010000}"/>
    <cellStyle name="Normal 3 124" xfId="327" xr:uid="{00000000-0005-0000-0000-000048010000}"/>
    <cellStyle name="Normal 3 125" xfId="328" xr:uid="{00000000-0005-0000-0000-000049010000}"/>
    <cellStyle name="Normal 3 126" xfId="329" xr:uid="{00000000-0005-0000-0000-00004A010000}"/>
    <cellStyle name="Normal 3 127" xfId="330" xr:uid="{00000000-0005-0000-0000-00004B010000}"/>
    <cellStyle name="Normal 3 128" xfId="331" xr:uid="{00000000-0005-0000-0000-00004C010000}"/>
    <cellStyle name="Normal 3 128 2" xfId="332" xr:uid="{00000000-0005-0000-0000-00004D010000}"/>
    <cellStyle name="Normal 3 129" xfId="333" xr:uid="{00000000-0005-0000-0000-00004E010000}"/>
    <cellStyle name="Normal 3 13" xfId="334" xr:uid="{00000000-0005-0000-0000-00004F010000}"/>
    <cellStyle name="Normal 3 14" xfId="335" xr:uid="{00000000-0005-0000-0000-000050010000}"/>
    <cellStyle name="Normal 3 15" xfId="336" xr:uid="{00000000-0005-0000-0000-000051010000}"/>
    <cellStyle name="Normal 3 16" xfId="337" xr:uid="{00000000-0005-0000-0000-000052010000}"/>
    <cellStyle name="Normal 3 17" xfId="338" xr:uid="{00000000-0005-0000-0000-000053010000}"/>
    <cellStyle name="Normal 3 18" xfId="339" xr:uid="{00000000-0005-0000-0000-000054010000}"/>
    <cellStyle name="Normal 3 19" xfId="340" xr:uid="{00000000-0005-0000-0000-000055010000}"/>
    <cellStyle name="Normal 3 2" xfId="341" xr:uid="{00000000-0005-0000-0000-000056010000}"/>
    <cellStyle name="Normal 3 20" xfId="342" xr:uid="{00000000-0005-0000-0000-000057010000}"/>
    <cellStyle name="Normal 3 21" xfId="343" xr:uid="{00000000-0005-0000-0000-000058010000}"/>
    <cellStyle name="Normal 3 22" xfId="344" xr:uid="{00000000-0005-0000-0000-000059010000}"/>
    <cellStyle name="Normal 3 23" xfId="345" xr:uid="{00000000-0005-0000-0000-00005A010000}"/>
    <cellStyle name="Normal 3 24" xfId="346" xr:uid="{00000000-0005-0000-0000-00005B010000}"/>
    <cellStyle name="Normal 3 25" xfId="347" xr:uid="{00000000-0005-0000-0000-00005C010000}"/>
    <cellStyle name="Normal 3 26" xfId="348" xr:uid="{00000000-0005-0000-0000-00005D010000}"/>
    <cellStyle name="Normal 3 27" xfId="349" xr:uid="{00000000-0005-0000-0000-00005E010000}"/>
    <cellStyle name="Normal 3 28" xfId="350" xr:uid="{00000000-0005-0000-0000-00005F010000}"/>
    <cellStyle name="Normal 3 29" xfId="351" xr:uid="{00000000-0005-0000-0000-000060010000}"/>
    <cellStyle name="Normal 3 3" xfId="352" xr:uid="{00000000-0005-0000-0000-000061010000}"/>
    <cellStyle name="Normal 3 30" xfId="353" xr:uid="{00000000-0005-0000-0000-000062010000}"/>
    <cellStyle name="Normal 3 31" xfId="354" xr:uid="{00000000-0005-0000-0000-000063010000}"/>
    <cellStyle name="Normal 3 32" xfId="355" xr:uid="{00000000-0005-0000-0000-000064010000}"/>
    <cellStyle name="Normal 3 33" xfId="356" xr:uid="{00000000-0005-0000-0000-000065010000}"/>
    <cellStyle name="Normal 3 34" xfId="357" xr:uid="{00000000-0005-0000-0000-000066010000}"/>
    <cellStyle name="Normal 3 35" xfId="358" xr:uid="{00000000-0005-0000-0000-000067010000}"/>
    <cellStyle name="Normal 3 36" xfId="359" xr:uid="{00000000-0005-0000-0000-000068010000}"/>
    <cellStyle name="Normal 3 37" xfId="360" xr:uid="{00000000-0005-0000-0000-000069010000}"/>
    <cellStyle name="Normal 3 38" xfId="361" xr:uid="{00000000-0005-0000-0000-00006A010000}"/>
    <cellStyle name="Normal 3 39" xfId="362" xr:uid="{00000000-0005-0000-0000-00006B010000}"/>
    <cellStyle name="Normal 3 4" xfId="363" xr:uid="{00000000-0005-0000-0000-00006C010000}"/>
    <cellStyle name="Normal 3 40" xfId="364" xr:uid="{00000000-0005-0000-0000-00006D010000}"/>
    <cellStyle name="Normal 3 41" xfId="365" xr:uid="{00000000-0005-0000-0000-00006E010000}"/>
    <cellStyle name="Normal 3 42" xfId="366" xr:uid="{00000000-0005-0000-0000-00006F010000}"/>
    <cellStyle name="Normal 3 43" xfId="367" xr:uid="{00000000-0005-0000-0000-000070010000}"/>
    <cellStyle name="Normal 3 44" xfId="368" xr:uid="{00000000-0005-0000-0000-000071010000}"/>
    <cellStyle name="Normal 3 45" xfId="369" xr:uid="{00000000-0005-0000-0000-000072010000}"/>
    <cellStyle name="Normal 3 46" xfId="370" xr:uid="{00000000-0005-0000-0000-000073010000}"/>
    <cellStyle name="Normal 3 47" xfId="371" xr:uid="{00000000-0005-0000-0000-000074010000}"/>
    <cellStyle name="Normal 3 48" xfId="372" xr:uid="{00000000-0005-0000-0000-000075010000}"/>
    <cellStyle name="Normal 3 49" xfId="373" xr:uid="{00000000-0005-0000-0000-000076010000}"/>
    <cellStyle name="Normal 3 5" xfId="374" xr:uid="{00000000-0005-0000-0000-000077010000}"/>
    <cellStyle name="Normal 3 50" xfId="375" xr:uid="{00000000-0005-0000-0000-000078010000}"/>
    <cellStyle name="Normal 3 51" xfId="376" xr:uid="{00000000-0005-0000-0000-000079010000}"/>
    <cellStyle name="Normal 3 52" xfId="377" xr:uid="{00000000-0005-0000-0000-00007A010000}"/>
    <cellStyle name="Normal 3 53" xfId="378" xr:uid="{00000000-0005-0000-0000-00007B010000}"/>
    <cellStyle name="Normal 3 54" xfId="379" xr:uid="{00000000-0005-0000-0000-00007C010000}"/>
    <cellStyle name="Normal 3 55" xfId="380" xr:uid="{00000000-0005-0000-0000-00007D010000}"/>
    <cellStyle name="Normal 3 56" xfId="381" xr:uid="{00000000-0005-0000-0000-00007E010000}"/>
    <cellStyle name="Normal 3 57" xfId="382" xr:uid="{00000000-0005-0000-0000-00007F010000}"/>
    <cellStyle name="Normal 3 58" xfId="383" xr:uid="{00000000-0005-0000-0000-000080010000}"/>
    <cellStyle name="Normal 3 59" xfId="384" xr:uid="{00000000-0005-0000-0000-000081010000}"/>
    <cellStyle name="Normal 3 6" xfId="385" xr:uid="{00000000-0005-0000-0000-000082010000}"/>
    <cellStyle name="Normal 3 60" xfId="386" xr:uid="{00000000-0005-0000-0000-000083010000}"/>
    <cellStyle name="Normal 3 61" xfId="387" xr:uid="{00000000-0005-0000-0000-000084010000}"/>
    <cellStyle name="Normal 3 62" xfId="388" xr:uid="{00000000-0005-0000-0000-000085010000}"/>
    <cellStyle name="Normal 3 63" xfId="389" xr:uid="{00000000-0005-0000-0000-000086010000}"/>
    <cellStyle name="Normal 3 64" xfId="390" xr:uid="{00000000-0005-0000-0000-000087010000}"/>
    <cellStyle name="Normal 3 65" xfId="391" xr:uid="{00000000-0005-0000-0000-000088010000}"/>
    <cellStyle name="Normal 3 66" xfId="392" xr:uid="{00000000-0005-0000-0000-000089010000}"/>
    <cellStyle name="Normal 3 67" xfId="393" xr:uid="{00000000-0005-0000-0000-00008A010000}"/>
    <cellStyle name="Normal 3 68" xfId="394" xr:uid="{00000000-0005-0000-0000-00008B010000}"/>
    <cellStyle name="Normal 3 69" xfId="395" xr:uid="{00000000-0005-0000-0000-00008C010000}"/>
    <cellStyle name="Normal 3 7" xfId="396" xr:uid="{00000000-0005-0000-0000-00008D010000}"/>
    <cellStyle name="Normal 3 70" xfId="397" xr:uid="{00000000-0005-0000-0000-00008E010000}"/>
    <cellStyle name="Normal 3 71" xfId="398" xr:uid="{00000000-0005-0000-0000-00008F010000}"/>
    <cellStyle name="Normal 3 72" xfId="399" xr:uid="{00000000-0005-0000-0000-000090010000}"/>
    <cellStyle name="Normal 3 73" xfId="400" xr:uid="{00000000-0005-0000-0000-000091010000}"/>
    <cellStyle name="Normal 3 74" xfId="401" xr:uid="{00000000-0005-0000-0000-000092010000}"/>
    <cellStyle name="Normal 3 75" xfId="402" xr:uid="{00000000-0005-0000-0000-000093010000}"/>
    <cellStyle name="Normal 3 76" xfId="403" xr:uid="{00000000-0005-0000-0000-000094010000}"/>
    <cellStyle name="Normal 3 77" xfId="404" xr:uid="{00000000-0005-0000-0000-000095010000}"/>
    <cellStyle name="Normal 3 78" xfId="405" xr:uid="{00000000-0005-0000-0000-000096010000}"/>
    <cellStyle name="Normal 3 79" xfId="406" xr:uid="{00000000-0005-0000-0000-000097010000}"/>
    <cellStyle name="Normal 3 8" xfId="407" xr:uid="{00000000-0005-0000-0000-000098010000}"/>
    <cellStyle name="Normal 3 80" xfId="408" xr:uid="{00000000-0005-0000-0000-000099010000}"/>
    <cellStyle name="Normal 3 81" xfId="409" xr:uid="{00000000-0005-0000-0000-00009A010000}"/>
    <cellStyle name="Normal 3 82" xfId="410" xr:uid="{00000000-0005-0000-0000-00009B010000}"/>
    <cellStyle name="Normal 3 83" xfId="411" xr:uid="{00000000-0005-0000-0000-00009C010000}"/>
    <cellStyle name="Normal 3 84" xfId="412" xr:uid="{00000000-0005-0000-0000-00009D010000}"/>
    <cellStyle name="Normal 3 85" xfId="413" xr:uid="{00000000-0005-0000-0000-00009E010000}"/>
    <cellStyle name="Normal 3 86" xfId="414" xr:uid="{00000000-0005-0000-0000-00009F010000}"/>
    <cellStyle name="Normal 3 87" xfId="415" xr:uid="{00000000-0005-0000-0000-0000A0010000}"/>
    <cellStyle name="Normal 3 88" xfId="416" xr:uid="{00000000-0005-0000-0000-0000A1010000}"/>
    <cellStyle name="Normal 3 89" xfId="417" xr:uid="{00000000-0005-0000-0000-0000A2010000}"/>
    <cellStyle name="Normal 3 9" xfId="418" xr:uid="{00000000-0005-0000-0000-0000A3010000}"/>
    <cellStyle name="Normal 3 90" xfId="419" xr:uid="{00000000-0005-0000-0000-0000A4010000}"/>
    <cellStyle name="Normal 3 91" xfId="420" xr:uid="{00000000-0005-0000-0000-0000A5010000}"/>
    <cellStyle name="Normal 3 92" xfId="421" xr:uid="{00000000-0005-0000-0000-0000A6010000}"/>
    <cellStyle name="Normal 3 93" xfId="422" xr:uid="{00000000-0005-0000-0000-0000A7010000}"/>
    <cellStyle name="Normal 3 94" xfId="423" xr:uid="{00000000-0005-0000-0000-0000A8010000}"/>
    <cellStyle name="Normal 3 95" xfId="424" xr:uid="{00000000-0005-0000-0000-0000A9010000}"/>
    <cellStyle name="Normal 3 96" xfId="425" xr:uid="{00000000-0005-0000-0000-0000AA010000}"/>
    <cellStyle name="Normal 3 97" xfId="426" xr:uid="{00000000-0005-0000-0000-0000AB010000}"/>
    <cellStyle name="Normal 3 98" xfId="427" xr:uid="{00000000-0005-0000-0000-0000AC010000}"/>
    <cellStyle name="Normal 3 99" xfId="428" xr:uid="{00000000-0005-0000-0000-0000AD010000}"/>
    <cellStyle name="Normal 30" xfId="429" xr:uid="{00000000-0005-0000-0000-0000AE010000}"/>
    <cellStyle name="Normal 300" xfId="430" xr:uid="{00000000-0005-0000-0000-0000AF010000}"/>
    <cellStyle name="Normal 301" xfId="431" xr:uid="{00000000-0005-0000-0000-0000B0010000}"/>
    <cellStyle name="Normal 302" xfId="432" xr:uid="{00000000-0005-0000-0000-0000B1010000}"/>
    <cellStyle name="Normal 303" xfId="433" xr:uid="{00000000-0005-0000-0000-0000B2010000}"/>
    <cellStyle name="Normal 304" xfId="434" xr:uid="{00000000-0005-0000-0000-0000B3010000}"/>
    <cellStyle name="Normal 305" xfId="435" xr:uid="{00000000-0005-0000-0000-0000B4010000}"/>
    <cellStyle name="Normal 306" xfId="436" xr:uid="{00000000-0005-0000-0000-0000B5010000}"/>
    <cellStyle name="Normal 307" xfId="437" xr:uid="{00000000-0005-0000-0000-0000B6010000}"/>
    <cellStyle name="Normal 308" xfId="438" xr:uid="{00000000-0005-0000-0000-0000B7010000}"/>
    <cellStyle name="Normal 309" xfId="439" xr:uid="{00000000-0005-0000-0000-0000B8010000}"/>
    <cellStyle name="Normal 31" xfId="440" xr:uid="{00000000-0005-0000-0000-0000B9010000}"/>
    <cellStyle name="Normal 310" xfId="441" xr:uid="{00000000-0005-0000-0000-0000BA010000}"/>
    <cellStyle name="Normal 311" xfId="442" xr:uid="{00000000-0005-0000-0000-0000BB010000}"/>
    <cellStyle name="Normal 312" xfId="443" xr:uid="{00000000-0005-0000-0000-0000BC010000}"/>
    <cellStyle name="Normal 313" xfId="444" xr:uid="{00000000-0005-0000-0000-0000BD010000}"/>
    <cellStyle name="Normal 314" xfId="445" xr:uid="{00000000-0005-0000-0000-0000BE010000}"/>
    <cellStyle name="Normal 315" xfId="446" xr:uid="{00000000-0005-0000-0000-0000BF010000}"/>
    <cellStyle name="Normal 316" xfId="447" xr:uid="{00000000-0005-0000-0000-0000C0010000}"/>
    <cellStyle name="Normal 317" xfId="448" xr:uid="{00000000-0005-0000-0000-0000C1010000}"/>
    <cellStyle name="Normal 318" xfId="449" xr:uid="{00000000-0005-0000-0000-0000C2010000}"/>
    <cellStyle name="Normal 319" xfId="450" xr:uid="{00000000-0005-0000-0000-0000C3010000}"/>
    <cellStyle name="Normal 319 2" xfId="451" xr:uid="{00000000-0005-0000-0000-0000C4010000}"/>
    <cellStyle name="Normal 32" xfId="452" xr:uid="{00000000-0005-0000-0000-0000C5010000}"/>
    <cellStyle name="Normal 320" xfId="453" xr:uid="{00000000-0005-0000-0000-0000C6010000}"/>
    <cellStyle name="Normal 321" xfId="454" xr:uid="{00000000-0005-0000-0000-0000C7010000}"/>
    <cellStyle name="Normal 322" xfId="455" xr:uid="{00000000-0005-0000-0000-0000C8010000}"/>
    <cellStyle name="Normal 323" xfId="456" xr:uid="{00000000-0005-0000-0000-0000C9010000}"/>
    <cellStyle name="Normal 324" xfId="457" xr:uid="{00000000-0005-0000-0000-0000CA010000}"/>
    <cellStyle name="Normal 33" xfId="458" xr:uid="{00000000-0005-0000-0000-0000CB010000}"/>
    <cellStyle name="Normal 34" xfId="459" xr:uid="{00000000-0005-0000-0000-0000CC010000}"/>
    <cellStyle name="Normal 35" xfId="460" xr:uid="{00000000-0005-0000-0000-0000CD010000}"/>
    <cellStyle name="Normal 36" xfId="461" xr:uid="{00000000-0005-0000-0000-0000CE010000}"/>
    <cellStyle name="Normal 37" xfId="462" xr:uid="{00000000-0005-0000-0000-0000CF010000}"/>
    <cellStyle name="Normal 38" xfId="463" xr:uid="{00000000-0005-0000-0000-0000D0010000}"/>
    <cellStyle name="Normal 39" xfId="464" xr:uid="{00000000-0005-0000-0000-0000D1010000}"/>
    <cellStyle name="Normal 4" xfId="465" xr:uid="{00000000-0005-0000-0000-0000D2010000}"/>
    <cellStyle name="Normal 4 2" xfId="466" xr:uid="{00000000-0005-0000-0000-0000D3010000}"/>
    <cellStyle name="Normal 4 3" xfId="467" xr:uid="{00000000-0005-0000-0000-0000D4010000}"/>
    <cellStyle name="Normal 40" xfId="468" xr:uid="{00000000-0005-0000-0000-0000D5010000}"/>
    <cellStyle name="Normal 41" xfId="469" xr:uid="{00000000-0005-0000-0000-0000D6010000}"/>
    <cellStyle name="Normal 42" xfId="470" xr:uid="{00000000-0005-0000-0000-0000D7010000}"/>
    <cellStyle name="Normal 43" xfId="471" xr:uid="{00000000-0005-0000-0000-0000D8010000}"/>
    <cellStyle name="Normal 44" xfId="472" xr:uid="{00000000-0005-0000-0000-0000D9010000}"/>
    <cellStyle name="Normal 45" xfId="473" xr:uid="{00000000-0005-0000-0000-0000DA010000}"/>
    <cellStyle name="Normal 46" xfId="474" xr:uid="{00000000-0005-0000-0000-0000DB010000}"/>
    <cellStyle name="Normal 47" xfId="475" xr:uid="{00000000-0005-0000-0000-0000DC010000}"/>
    <cellStyle name="Normal 48" xfId="476" xr:uid="{00000000-0005-0000-0000-0000DD010000}"/>
    <cellStyle name="Normal 49" xfId="477" xr:uid="{00000000-0005-0000-0000-0000DE010000}"/>
    <cellStyle name="Normal 5" xfId="478" xr:uid="{00000000-0005-0000-0000-0000DF010000}"/>
    <cellStyle name="Normal 5 2" xfId="479" xr:uid="{00000000-0005-0000-0000-0000E0010000}"/>
    <cellStyle name="Normal 50" xfId="480" xr:uid="{00000000-0005-0000-0000-0000E1010000}"/>
    <cellStyle name="Normal 51" xfId="481" xr:uid="{00000000-0005-0000-0000-0000E2010000}"/>
    <cellStyle name="Normal 52" xfId="482" xr:uid="{00000000-0005-0000-0000-0000E3010000}"/>
    <cellStyle name="Normal 53" xfId="483" xr:uid="{00000000-0005-0000-0000-0000E4010000}"/>
    <cellStyle name="Normal 54" xfId="484" xr:uid="{00000000-0005-0000-0000-0000E5010000}"/>
    <cellStyle name="Normal 55" xfId="485" xr:uid="{00000000-0005-0000-0000-0000E6010000}"/>
    <cellStyle name="Normal 56" xfId="486" xr:uid="{00000000-0005-0000-0000-0000E7010000}"/>
    <cellStyle name="Normal 57" xfId="487" xr:uid="{00000000-0005-0000-0000-0000E8010000}"/>
    <cellStyle name="Normal 58" xfId="488" xr:uid="{00000000-0005-0000-0000-0000E9010000}"/>
    <cellStyle name="Normal 59" xfId="489" xr:uid="{00000000-0005-0000-0000-0000EA010000}"/>
    <cellStyle name="Normal 6" xfId="490" xr:uid="{00000000-0005-0000-0000-0000EB010000}"/>
    <cellStyle name="Normal 6 2" xfId="491" xr:uid="{00000000-0005-0000-0000-0000EC010000}"/>
    <cellStyle name="Normal 6 3" xfId="492" xr:uid="{00000000-0005-0000-0000-0000ED010000}"/>
    <cellStyle name="Normal 6 4" xfId="493" xr:uid="{00000000-0005-0000-0000-0000EE010000}"/>
    <cellStyle name="Normal 6 4 2" xfId="494" xr:uid="{00000000-0005-0000-0000-0000EF010000}"/>
    <cellStyle name="Normal 6 5" xfId="495" xr:uid="{00000000-0005-0000-0000-0000F0010000}"/>
    <cellStyle name="Normal 60" xfId="496" xr:uid="{00000000-0005-0000-0000-0000F1010000}"/>
    <cellStyle name="Normal 61" xfId="497" xr:uid="{00000000-0005-0000-0000-0000F2010000}"/>
    <cellStyle name="Normal 62" xfId="498" xr:uid="{00000000-0005-0000-0000-0000F3010000}"/>
    <cellStyle name="Normal 63" xfId="499" xr:uid="{00000000-0005-0000-0000-0000F4010000}"/>
    <cellStyle name="Normal 64" xfId="500" xr:uid="{00000000-0005-0000-0000-0000F5010000}"/>
    <cellStyle name="Normal 65" xfId="501" xr:uid="{00000000-0005-0000-0000-0000F6010000}"/>
    <cellStyle name="Normal 66" xfId="502" xr:uid="{00000000-0005-0000-0000-0000F7010000}"/>
    <cellStyle name="Normal 67" xfId="503" xr:uid="{00000000-0005-0000-0000-0000F8010000}"/>
    <cellStyle name="Normal 68" xfId="504" xr:uid="{00000000-0005-0000-0000-0000F9010000}"/>
    <cellStyle name="Normal 69" xfId="505" xr:uid="{00000000-0005-0000-0000-0000FA010000}"/>
    <cellStyle name="Normal 7" xfId="506" xr:uid="{00000000-0005-0000-0000-0000FB010000}"/>
    <cellStyle name="Normal 7 2" xfId="507" xr:uid="{00000000-0005-0000-0000-0000FC010000}"/>
    <cellStyle name="Normal 70" xfId="508" xr:uid="{00000000-0005-0000-0000-0000FD010000}"/>
    <cellStyle name="Normal 71" xfId="509" xr:uid="{00000000-0005-0000-0000-0000FE010000}"/>
    <cellStyle name="Normal 72" xfId="510" xr:uid="{00000000-0005-0000-0000-0000FF010000}"/>
    <cellStyle name="Normal 73" xfId="511" xr:uid="{00000000-0005-0000-0000-000000020000}"/>
    <cellStyle name="Normal 74" xfId="512" xr:uid="{00000000-0005-0000-0000-000001020000}"/>
    <cellStyle name="Normal 75" xfId="513" xr:uid="{00000000-0005-0000-0000-000002020000}"/>
    <cellStyle name="Normal 76" xfId="514" xr:uid="{00000000-0005-0000-0000-000003020000}"/>
    <cellStyle name="Normal 77" xfId="515" xr:uid="{00000000-0005-0000-0000-000004020000}"/>
    <cellStyle name="Normal 78" xfId="516" xr:uid="{00000000-0005-0000-0000-000005020000}"/>
    <cellStyle name="Normal 79" xfId="517" xr:uid="{00000000-0005-0000-0000-000006020000}"/>
    <cellStyle name="Normal 8" xfId="518" xr:uid="{00000000-0005-0000-0000-000007020000}"/>
    <cellStyle name="Normal 8 2" xfId="519" xr:uid="{00000000-0005-0000-0000-000008020000}"/>
    <cellStyle name="Normal 80" xfId="520" xr:uid="{00000000-0005-0000-0000-000009020000}"/>
    <cellStyle name="Normal 81" xfId="521" xr:uid="{00000000-0005-0000-0000-00000A020000}"/>
    <cellStyle name="Normal 82" xfId="522" xr:uid="{00000000-0005-0000-0000-00000B020000}"/>
    <cellStyle name="Normal 83" xfId="523" xr:uid="{00000000-0005-0000-0000-00000C020000}"/>
    <cellStyle name="Normal 84" xfId="524" xr:uid="{00000000-0005-0000-0000-00000D020000}"/>
    <cellStyle name="Normal 85" xfId="525" xr:uid="{00000000-0005-0000-0000-00000E020000}"/>
    <cellStyle name="Normal 86" xfId="526" xr:uid="{00000000-0005-0000-0000-00000F020000}"/>
    <cellStyle name="Normal 87" xfId="527" xr:uid="{00000000-0005-0000-0000-000010020000}"/>
    <cellStyle name="Normal 88" xfId="528" xr:uid="{00000000-0005-0000-0000-000011020000}"/>
    <cellStyle name="Normal 89" xfId="529" xr:uid="{00000000-0005-0000-0000-000012020000}"/>
    <cellStyle name="Normal 9" xfId="530" xr:uid="{00000000-0005-0000-0000-000013020000}"/>
    <cellStyle name="Normal 9 2" xfId="531" xr:uid="{00000000-0005-0000-0000-000014020000}"/>
    <cellStyle name="Normal 9 3" xfId="532" xr:uid="{00000000-0005-0000-0000-000015020000}"/>
    <cellStyle name="Normal 90" xfId="533" xr:uid="{00000000-0005-0000-0000-000016020000}"/>
    <cellStyle name="Normal 91" xfId="534" xr:uid="{00000000-0005-0000-0000-000017020000}"/>
    <cellStyle name="Normal 92" xfId="535" xr:uid="{00000000-0005-0000-0000-000018020000}"/>
    <cellStyle name="Normal 93" xfId="536" xr:uid="{00000000-0005-0000-0000-000019020000}"/>
    <cellStyle name="Normal 94" xfId="537" xr:uid="{00000000-0005-0000-0000-00001A020000}"/>
    <cellStyle name="Normal 95" xfId="538" xr:uid="{00000000-0005-0000-0000-00001B020000}"/>
    <cellStyle name="Normal 96" xfId="539" xr:uid="{00000000-0005-0000-0000-00001C020000}"/>
    <cellStyle name="Normal 97" xfId="540" xr:uid="{00000000-0005-0000-0000-00001D020000}"/>
    <cellStyle name="Normal 98" xfId="541" xr:uid="{00000000-0005-0000-0000-00001E020000}"/>
    <cellStyle name="Normal 99" xfId="542" xr:uid="{00000000-0005-0000-0000-00001F020000}"/>
    <cellStyle name="Note 2" xfId="543" xr:uid="{00000000-0005-0000-0000-000020020000}"/>
    <cellStyle name="Note 3" xfId="544" xr:uid="{00000000-0005-0000-0000-000021020000}"/>
    <cellStyle name="Percent 2" xfId="545" xr:uid="{00000000-0005-0000-0000-000022020000}"/>
    <cellStyle name="Percent 2 2" xfId="546" xr:uid="{00000000-0005-0000-0000-000023020000}"/>
    <cellStyle name="Percent 2 3" xfId="547" xr:uid="{00000000-0005-0000-0000-000024020000}"/>
    <cellStyle name="Percent 2 4" xfId="548" xr:uid="{00000000-0005-0000-0000-000025020000}"/>
    <cellStyle name="Percent 2 5" xfId="549" xr:uid="{00000000-0005-0000-0000-000026020000}"/>
    <cellStyle name="Percent 2 5 2" xfId="550" xr:uid="{00000000-0005-0000-0000-000027020000}"/>
    <cellStyle name="Percent 3" xfId="551" xr:uid="{00000000-0005-0000-0000-000028020000}"/>
    <cellStyle name="Percent 3 2" xfId="552" xr:uid="{00000000-0005-0000-0000-000029020000}"/>
    <cellStyle name="Percent 3 2 2" xfId="553" xr:uid="{00000000-0005-0000-0000-00002A020000}"/>
    <cellStyle name="Percent 4" xfId="554" xr:uid="{00000000-0005-0000-0000-00002B020000}"/>
    <cellStyle name="Percent 4 2" xfId="555" xr:uid="{00000000-0005-0000-0000-00002C020000}"/>
    <cellStyle name="Title 2" xfId="556" xr:uid="{00000000-0005-0000-0000-00002D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F38"/>
  <sheetViews>
    <sheetView showGridLines="0" tabSelected="1" zoomScale="90" zoomScaleNormal="90" workbookViewId="0">
      <pane xSplit="3" ySplit="5" topLeftCell="AR6" activePane="bottomRight" state="frozen"/>
      <selection activeCell="N43" sqref="N43"/>
      <selection pane="topRight" activeCell="N43" sqref="N43"/>
      <selection pane="bottomLeft" activeCell="N43" sqref="N43"/>
      <selection pane="bottomRight" activeCell="BI6" sqref="BI6"/>
    </sheetView>
  </sheetViews>
  <sheetFormatPr defaultColWidth="9.140625" defaultRowHeight="15"/>
  <cols>
    <col min="1" max="1" width="2.140625" customWidth="1"/>
    <col min="2" max="2" width="21" customWidth="1"/>
    <col min="3" max="3" width="13.85546875" bestFit="1" customWidth="1"/>
    <col min="4" max="4" width="13.85546875" hidden="1" customWidth="1"/>
    <col min="5" max="5" width="11.42578125" hidden="1" customWidth="1"/>
    <col min="6" max="6" width="10.42578125" hidden="1" customWidth="1"/>
    <col min="7" max="7" width="10.7109375" hidden="1" customWidth="1"/>
    <col min="8" max="8" width="16.42578125" style="48" hidden="1" customWidth="1"/>
    <col min="9" max="9" width="14.140625" hidden="1" customWidth="1"/>
    <col min="10" max="10" width="11.42578125" hidden="1" customWidth="1"/>
    <col min="11" max="11" width="9.140625" hidden="1" customWidth="1"/>
    <col min="12" max="12" width="10.7109375" hidden="1" customWidth="1"/>
    <col min="13" max="13" width="14.42578125" style="48" hidden="1" customWidth="1"/>
    <col min="14" max="14" width="14.140625" hidden="1" customWidth="1"/>
    <col min="15" max="15" width="11.42578125" hidden="1" customWidth="1"/>
    <col min="16" max="16" width="9.140625" hidden="1" customWidth="1"/>
    <col min="17" max="17" width="10.7109375" hidden="1" customWidth="1"/>
    <col min="18" max="18" width="14.42578125" style="48" hidden="1" customWidth="1"/>
    <col min="19" max="19" width="14.28515625" hidden="1" customWidth="1"/>
    <col min="20" max="20" width="11.42578125" hidden="1" customWidth="1"/>
    <col min="21" max="21" width="9.140625" hidden="1" customWidth="1"/>
    <col min="22" max="22" width="10.7109375" hidden="1" customWidth="1"/>
    <col min="23" max="23" width="14.42578125" style="48" hidden="1" customWidth="1"/>
    <col min="24" max="24" width="14.140625" hidden="1" customWidth="1"/>
    <col min="25" max="25" width="11.42578125" hidden="1" customWidth="1"/>
    <col min="26" max="26" width="9.140625" hidden="1" customWidth="1"/>
    <col min="27" max="27" width="10.7109375" hidden="1" customWidth="1"/>
    <col min="28" max="28" width="13" style="48" hidden="1" customWidth="1"/>
    <col min="29" max="29" width="14.140625" hidden="1" customWidth="1"/>
    <col min="30" max="30" width="11.42578125" hidden="1" customWidth="1"/>
    <col min="31" max="31" width="9.140625" hidden="1" customWidth="1"/>
    <col min="32" max="32" width="10.7109375" hidden="1" customWidth="1"/>
    <col min="33" max="33" width="14.42578125" style="48" hidden="1" customWidth="1"/>
    <col min="34" max="34" width="14.140625" hidden="1" customWidth="1"/>
    <col min="35" max="35" width="11.42578125" hidden="1" customWidth="1"/>
    <col min="36" max="36" width="9.140625" hidden="1" customWidth="1"/>
    <col min="37" max="37" width="10.7109375" hidden="1" customWidth="1"/>
    <col min="38" max="38" width="14.42578125" style="48" hidden="1" customWidth="1"/>
    <col min="39" max="39" width="14.140625" hidden="1" customWidth="1"/>
    <col min="40" max="40" width="11.42578125" hidden="1" customWidth="1"/>
    <col min="41" max="41" width="9.140625" hidden="1" customWidth="1"/>
    <col min="42" max="42" width="10.7109375" hidden="1" customWidth="1"/>
    <col min="43" max="43" width="14.42578125" style="48" hidden="1" customWidth="1"/>
    <col min="44" max="44" width="14.140625" customWidth="1"/>
    <col min="45" max="45" width="11.42578125" customWidth="1"/>
    <col min="46" max="46" width="9.140625" hidden="1" customWidth="1"/>
    <col min="47" max="47" width="10.7109375" customWidth="1"/>
    <col min="48" max="48" width="14.42578125" style="48" customWidth="1"/>
    <col min="49" max="49" width="14.140625" customWidth="1"/>
    <col min="50" max="50" width="11.42578125" customWidth="1"/>
    <col min="51" max="51" width="9.140625" hidden="1" customWidth="1"/>
    <col min="52" max="52" width="10.7109375" customWidth="1"/>
    <col min="53" max="53" width="14.42578125" style="48" customWidth="1"/>
    <col min="54" max="54" width="14.140625" customWidth="1"/>
    <col min="55" max="55" width="11.42578125" customWidth="1"/>
    <col min="56" max="56" width="9.140625" hidden="1" customWidth="1"/>
    <col min="57" max="57" width="10.7109375" customWidth="1"/>
    <col min="58" max="58" width="14.42578125" style="48" customWidth="1"/>
    <col min="702" max="702" width="10.85546875" customWidth="1"/>
  </cols>
  <sheetData>
    <row r="1" spans="2:58" s="153" customFormat="1" ht="15.75" thickBot="1">
      <c r="H1" s="154"/>
      <c r="M1" s="154"/>
      <c r="R1" s="154"/>
      <c r="W1" s="154"/>
      <c r="AB1" s="154"/>
      <c r="AG1" s="154"/>
      <c r="AL1" s="154"/>
      <c r="AQ1" s="154"/>
      <c r="AV1" s="154"/>
      <c r="BA1" s="154"/>
      <c r="BF1" s="154"/>
    </row>
    <row r="2" spans="2:58" s="153" customFormat="1" ht="23.25" customHeight="1">
      <c r="B2" s="155"/>
      <c r="C2" s="156"/>
      <c r="D2" s="438" t="s">
        <v>194</v>
      </c>
      <c r="E2" s="439"/>
      <c r="F2" s="439"/>
      <c r="G2" s="439"/>
      <c r="H2" s="440"/>
      <c r="I2" s="435" t="s">
        <v>179</v>
      </c>
      <c r="J2" s="436"/>
      <c r="K2" s="436"/>
      <c r="L2" s="436"/>
      <c r="M2" s="437"/>
      <c r="N2" s="432" t="s">
        <v>180</v>
      </c>
      <c r="O2" s="433"/>
      <c r="P2" s="433"/>
      <c r="Q2" s="433"/>
      <c r="R2" s="434"/>
      <c r="S2" s="441" t="s">
        <v>181</v>
      </c>
      <c r="T2" s="442"/>
      <c r="U2" s="442"/>
      <c r="V2" s="442"/>
      <c r="W2" s="443"/>
      <c r="X2" s="444" t="s">
        <v>182</v>
      </c>
      <c r="Y2" s="445"/>
      <c r="Z2" s="445"/>
      <c r="AA2" s="445"/>
      <c r="AB2" s="446"/>
      <c r="AC2" s="447" t="s">
        <v>183</v>
      </c>
      <c r="AD2" s="448"/>
      <c r="AE2" s="448"/>
      <c r="AF2" s="448"/>
      <c r="AG2" s="449"/>
      <c r="AH2" s="438" t="s">
        <v>184</v>
      </c>
      <c r="AI2" s="439"/>
      <c r="AJ2" s="439"/>
      <c r="AK2" s="439"/>
      <c r="AL2" s="440"/>
      <c r="AM2" s="435" t="s">
        <v>195</v>
      </c>
      <c r="AN2" s="436"/>
      <c r="AO2" s="436"/>
      <c r="AP2" s="436"/>
      <c r="AQ2" s="437"/>
      <c r="AR2" s="432" t="s">
        <v>196</v>
      </c>
      <c r="AS2" s="433"/>
      <c r="AT2" s="433"/>
      <c r="AU2" s="433"/>
      <c r="AV2" s="434"/>
      <c r="AW2" s="441" t="s">
        <v>197</v>
      </c>
      <c r="AX2" s="442"/>
      <c r="AY2" s="442"/>
      <c r="AZ2" s="442"/>
      <c r="BA2" s="443"/>
      <c r="BB2" s="444" t="s">
        <v>198</v>
      </c>
      <c r="BC2" s="445"/>
      <c r="BD2" s="445"/>
      <c r="BE2" s="445"/>
      <c r="BF2" s="446"/>
    </row>
    <row r="3" spans="2:58" ht="24" customHeight="1" thickBot="1">
      <c r="B3" s="71" t="s">
        <v>121</v>
      </c>
      <c r="D3" s="419" t="s">
        <v>1</v>
      </c>
      <c r="E3" s="413" t="s">
        <v>2</v>
      </c>
      <c r="F3" s="413" t="s">
        <v>18</v>
      </c>
      <c r="G3" s="416" t="s">
        <v>3</v>
      </c>
      <c r="H3" s="422" t="s">
        <v>15</v>
      </c>
      <c r="I3" s="419" t="s">
        <v>1</v>
      </c>
      <c r="J3" s="413" t="s">
        <v>2</v>
      </c>
      <c r="K3" s="413" t="s">
        <v>18</v>
      </c>
      <c r="L3" s="416" t="s">
        <v>3</v>
      </c>
      <c r="M3" s="422" t="s">
        <v>15</v>
      </c>
      <c r="N3" s="419" t="s">
        <v>1</v>
      </c>
      <c r="O3" s="413" t="s">
        <v>2</v>
      </c>
      <c r="P3" s="413" t="s">
        <v>18</v>
      </c>
      <c r="Q3" s="416" t="s">
        <v>3</v>
      </c>
      <c r="R3" s="422" t="s">
        <v>15</v>
      </c>
      <c r="S3" s="419" t="s">
        <v>1</v>
      </c>
      <c r="T3" s="413" t="s">
        <v>2</v>
      </c>
      <c r="U3" s="413" t="s">
        <v>18</v>
      </c>
      <c r="V3" s="416" t="s">
        <v>3</v>
      </c>
      <c r="W3" s="422" t="s">
        <v>15</v>
      </c>
      <c r="X3" s="419" t="s">
        <v>1</v>
      </c>
      <c r="Y3" s="413" t="s">
        <v>2</v>
      </c>
      <c r="Z3" s="413" t="s">
        <v>18</v>
      </c>
      <c r="AA3" s="416" t="s">
        <v>3</v>
      </c>
      <c r="AB3" s="422" t="s">
        <v>15</v>
      </c>
      <c r="AC3" s="419" t="s">
        <v>1</v>
      </c>
      <c r="AD3" s="413" t="s">
        <v>2</v>
      </c>
      <c r="AE3" s="413" t="s">
        <v>18</v>
      </c>
      <c r="AF3" s="416" t="s">
        <v>3</v>
      </c>
      <c r="AG3" s="422" t="s">
        <v>15</v>
      </c>
      <c r="AH3" s="419" t="s">
        <v>1</v>
      </c>
      <c r="AI3" s="413" t="s">
        <v>2</v>
      </c>
      <c r="AJ3" s="413" t="s">
        <v>18</v>
      </c>
      <c r="AK3" s="416" t="s">
        <v>3</v>
      </c>
      <c r="AL3" s="422" t="s">
        <v>15</v>
      </c>
      <c r="AM3" s="419" t="s">
        <v>1</v>
      </c>
      <c r="AN3" s="413" t="s">
        <v>2</v>
      </c>
      <c r="AO3" s="413" t="s">
        <v>18</v>
      </c>
      <c r="AP3" s="416" t="s">
        <v>3</v>
      </c>
      <c r="AQ3" s="422" t="s">
        <v>15</v>
      </c>
      <c r="AR3" s="419" t="s">
        <v>1</v>
      </c>
      <c r="AS3" s="413" t="s">
        <v>2</v>
      </c>
      <c r="AT3" s="413" t="s">
        <v>18</v>
      </c>
      <c r="AU3" s="416" t="s">
        <v>3</v>
      </c>
      <c r="AV3" s="422" t="s">
        <v>15</v>
      </c>
      <c r="AW3" s="419" t="s">
        <v>1</v>
      </c>
      <c r="AX3" s="413" t="s">
        <v>2</v>
      </c>
      <c r="AY3" s="413" t="s">
        <v>18</v>
      </c>
      <c r="AZ3" s="416" t="s">
        <v>3</v>
      </c>
      <c r="BA3" s="422" t="s">
        <v>15</v>
      </c>
      <c r="BB3" s="419" t="s">
        <v>1</v>
      </c>
      <c r="BC3" s="413" t="s">
        <v>2</v>
      </c>
      <c r="BD3" s="413" t="s">
        <v>18</v>
      </c>
      <c r="BE3" s="416" t="s">
        <v>3</v>
      </c>
      <c r="BF3" s="422" t="s">
        <v>15</v>
      </c>
    </row>
    <row r="4" spans="2:58" ht="18" customHeight="1" thickBot="1">
      <c r="B4" s="230" t="s">
        <v>122</v>
      </c>
      <c r="C4" s="8"/>
      <c r="D4" s="420"/>
      <c r="E4" s="414"/>
      <c r="F4" s="414"/>
      <c r="G4" s="417"/>
      <c r="H4" s="423"/>
      <c r="I4" s="420"/>
      <c r="J4" s="414"/>
      <c r="K4" s="414"/>
      <c r="L4" s="417"/>
      <c r="M4" s="423"/>
      <c r="N4" s="420"/>
      <c r="O4" s="414"/>
      <c r="P4" s="414"/>
      <c r="Q4" s="417"/>
      <c r="R4" s="423"/>
      <c r="S4" s="420"/>
      <c r="T4" s="414"/>
      <c r="U4" s="414"/>
      <c r="V4" s="417"/>
      <c r="W4" s="423"/>
      <c r="X4" s="420"/>
      <c r="Y4" s="414"/>
      <c r="Z4" s="414"/>
      <c r="AA4" s="417"/>
      <c r="AB4" s="423"/>
      <c r="AC4" s="420"/>
      <c r="AD4" s="414"/>
      <c r="AE4" s="414"/>
      <c r="AF4" s="417"/>
      <c r="AG4" s="423"/>
      <c r="AH4" s="420"/>
      <c r="AI4" s="414"/>
      <c r="AJ4" s="414"/>
      <c r="AK4" s="417"/>
      <c r="AL4" s="423"/>
      <c r="AM4" s="420"/>
      <c r="AN4" s="414"/>
      <c r="AO4" s="414"/>
      <c r="AP4" s="417"/>
      <c r="AQ4" s="423"/>
      <c r="AR4" s="420"/>
      <c r="AS4" s="414"/>
      <c r="AT4" s="414"/>
      <c r="AU4" s="417"/>
      <c r="AV4" s="423"/>
      <c r="AW4" s="420"/>
      <c r="AX4" s="414"/>
      <c r="AY4" s="414"/>
      <c r="AZ4" s="417"/>
      <c r="BA4" s="423"/>
      <c r="BB4" s="420"/>
      <c r="BC4" s="414"/>
      <c r="BD4" s="414"/>
      <c r="BE4" s="417"/>
      <c r="BF4" s="423"/>
    </row>
    <row r="5" spans="2:58" ht="18" customHeight="1">
      <c r="B5" s="9" t="s">
        <v>4</v>
      </c>
      <c r="C5" s="10" t="s">
        <v>5</v>
      </c>
      <c r="D5" s="421"/>
      <c r="E5" s="415"/>
      <c r="F5" s="415"/>
      <c r="G5" s="418"/>
      <c r="H5" s="424"/>
      <c r="I5" s="421"/>
      <c r="J5" s="415"/>
      <c r="K5" s="415"/>
      <c r="L5" s="418"/>
      <c r="M5" s="424"/>
      <c r="N5" s="421"/>
      <c r="O5" s="415"/>
      <c r="P5" s="415"/>
      <c r="Q5" s="418"/>
      <c r="R5" s="424"/>
      <c r="S5" s="421"/>
      <c r="T5" s="415"/>
      <c r="U5" s="415"/>
      <c r="V5" s="418"/>
      <c r="W5" s="424"/>
      <c r="X5" s="421"/>
      <c r="Y5" s="415"/>
      <c r="Z5" s="415"/>
      <c r="AA5" s="418"/>
      <c r="AB5" s="424"/>
      <c r="AC5" s="421"/>
      <c r="AD5" s="415"/>
      <c r="AE5" s="415"/>
      <c r="AF5" s="418"/>
      <c r="AG5" s="424"/>
      <c r="AH5" s="421"/>
      <c r="AI5" s="415"/>
      <c r="AJ5" s="415"/>
      <c r="AK5" s="418"/>
      <c r="AL5" s="424"/>
      <c r="AM5" s="421"/>
      <c r="AN5" s="415"/>
      <c r="AO5" s="415"/>
      <c r="AP5" s="418"/>
      <c r="AQ5" s="424"/>
      <c r="AR5" s="421"/>
      <c r="AS5" s="415"/>
      <c r="AT5" s="415"/>
      <c r="AU5" s="418"/>
      <c r="AV5" s="424"/>
      <c r="AW5" s="421"/>
      <c r="AX5" s="415"/>
      <c r="AY5" s="415"/>
      <c r="AZ5" s="418"/>
      <c r="BA5" s="424"/>
      <c r="BB5" s="421"/>
      <c r="BC5" s="415"/>
      <c r="BD5" s="415"/>
      <c r="BE5" s="418"/>
      <c r="BF5" s="424"/>
    </row>
    <row r="6" spans="2:58">
      <c r="B6" s="426" t="s">
        <v>6</v>
      </c>
      <c r="C6" s="36" t="s">
        <v>7</v>
      </c>
      <c r="D6" s="157">
        <v>1980</v>
      </c>
      <c r="E6" s="2">
        <v>38279.5</v>
      </c>
      <c r="F6" s="7"/>
      <c r="G6" s="3">
        <f>IF($B$4="quarter",SUM((E6/45),(F6/900)),IF($B$4="semester",SUM((E6/30),F6/900)))</f>
        <v>1275.9833333333333</v>
      </c>
      <c r="H6" s="159">
        <v>5339615</v>
      </c>
      <c r="I6" s="157">
        <v>1893</v>
      </c>
      <c r="J6" s="2">
        <v>36268</v>
      </c>
      <c r="K6" s="7"/>
      <c r="L6" s="3">
        <f>IF($B$4="quarter",SUM((J6/45),(K6/900)),IF($B$4="semester",SUM((J6/30),K6/900)))</f>
        <v>1208.9333333333334</v>
      </c>
      <c r="M6" s="159">
        <v>5576819</v>
      </c>
      <c r="N6" s="157">
        <v>1771</v>
      </c>
      <c r="O6" s="2">
        <v>33873</v>
      </c>
      <c r="P6" s="7"/>
      <c r="Q6" s="3">
        <f>IF($B$4="quarter",SUM((O6/45),(P6/900)),IF($B$4="semester",SUM((O6/30),P6/900)))</f>
        <v>1129.0999999999999</v>
      </c>
      <c r="R6" s="159">
        <v>5080556</v>
      </c>
      <c r="S6" s="157">
        <v>1654</v>
      </c>
      <c r="T6" s="2">
        <v>31266</v>
      </c>
      <c r="U6" s="7"/>
      <c r="V6" s="3">
        <f>IF($B$4="quarter",SUM((T6/45),(U6/900)),IF($B$4="semester",SUM((T6/30),U6/900)))</f>
        <v>1042.2</v>
      </c>
      <c r="W6" s="159">
        <v>5144673</v>
      </c>
      <c r="X6" s="157">
        <v>1586</v>
      </c>
      <c r="Y6" s="2">
        <v>30063</v>
      </c>
      <c r="Z6" s="7"/>
      <c r="AA6" s="3">
        <f>IF($B$4="quarter",SUM((Y6/45),(Z6/900)),IF($B$4="semester",SUM((Y6/30),Z6/900)))</f>
        <v>1002.1</v>
      </c>
      <c r="AB6" s="159">
        <v>5089080</v>
      </c>
      <c r="AC6" s="157">
        <v>1565</v>
      </c>
      <c r="AD6" s="2">
        <v>29004</v>
      </c>
      <c r="AE6" s="7"/>
      <c r="AF6" s="3">
        <f>IF($B$4="quarter",SUM((AD6/45),(AE6/900)),IF($B$4="semester",SUM((AD6/30),AE6/900)))</f>
        <v>966.8</v>
      </c>
      <c r="AG6" s="159">
        <v>5473204</v>
      </c>
      <c r="AH6" s="157">
        <v>1356</v>
      </c>
      <c r="AI6" s="2">
        <v>26245</v>
      </c>
      <c r="AJ6" s="7"/>
      <c r="AK6" s="3">
        <f>IF($B$4="quarter",SUM((AI6/45),(AJ6/900)),IF($B$4="semester",SUM((AI6/30),AJ6/900)))</f>
        <v>874.83333333333337</v>
      </c>
      <c r="AL6" s="159">
        <v>5188920</v>
      </c>
      <c r="AM6" s="157">
        <v>1400</v>
      </c>
      <c r="AN6" s="2">
        <v>26306</v>
      </c>
      <c r="AO6" s="7"/>
      <c r="AP6" s="3">
        <f>IF($B$4="quarter",SUM((AN6/45),(AO6/900)),IF($B$4="semester",SUM((AN6/30),AO6/900)))</f>
        <v>876.86666666666667</v>
      </c>
      <c r="AQ6" s="159">
        <v>5257633</v>
      </c>
      <c r="AR6" s="157">
        <v>1291</v>
      </c>
      <c r="AS6" s="2">
        <v>25532</v>
      </c>
      <c r="AT6" s="7"/>
      <c r="AU6" s="3">
        <f>IF($B$4="quarter",SUM((AS6/45),(AT6/900)),IF($B$4="semester",SUM((AS6/30),AT6/900)))</f>
        <v>851.06666666666672</v>
      </c>
      <c r="AV6" s="159">
        <v>5253409</v>
      </c>
      <c r="AW6" s="157">
        <v>1266</v>
      </c>
      <c r="AX6" s="2">
        <v>25876</v>
      </c>
      <c r="AY6" s="7"/>
      <c r="AZ6" s="3">
        <f>IF($B$4="quarter",SUM((AX6/45),(AY6/900)),IF($B$4="semester",SUM((AX6/30),AY6/900)))</f>
        <v>862.5333333333333</v>
      </c>
      <c r="BA6" s="159">
        <v>5340587</v>
      </c>
      <c r="BB6" s="32">
        <v>1268</v>
      </c>
      <c r="BC6" s="1">
        <v>25727</v>
      </c>
      <c r="BD6" s="7"/>
      <c r="BE6" s="3">
        <f>IF($B$4="quarter",SUM((BC6/45),(BD6/900)),IF($B$4="semester",SUM((BC6/30),BD6/900)))</f>
        <v>857.56666666666672</v>
      </c>
      <c r="BF6" s="40">
        <v>5288741</v>
      </c>
    </row>
    <row r="7" spans="2:58">
      <c r="B7" s="427"/>
      <c r="C7" s="36" t="s">
        <v>8</v>
      </c>
      <c r="D7" s="157">
        <v>929</v>
      </c>
      <c r="E7" s="2">
        <v>20898</v>
      </c>
      <c r="F7" s="7"/>
      <c r="G7" s="3">
        <f>IF($B$4="quarter",SUM((E7/45),(F7/900)),IF($B$4="semester",SUM((E7/30),F7/900)))</f>
        <v>696.6</v>
      </c>
      <c r="H7" s="159">
        <v>4022531</v>
      </c>
      <c r="I7" s="157">
        <v>1016</v>
      </c>
      <c r="J7" s="2">
        <v>23716</v>
      </c>
      <c r="K7" s="7"/>
      <c r="L7" s="3">
        <f>IF($B$4="quarter",SUM((J7/45),(K7/900)),IF($B$4="semester",SUM((J7/30),K7/900)))</f>
        <v>790.5333333333333</v>
      </c>
      <c r="M7" s="159">
        <v>3521840</v>
      </c>
      <c r="N7" s="157">
        <v>1165</v>
      </c>
      <c r="O7" s="2">
        <v>25855</v>
      </c>
      <c r="P7" s="7"/>
      <c r="Q7" s="3">
        <f>IF($B$4="quarter",SUM((O7/45),(P7/900)),IF($B$4="semester",SUM((O7/30),P7/900)))</f>
        <v>861.83333333333337</v>
      </c>
      <c r="R7" s="159">
        <v>3950452</v>
      </c>
      <c r="S7" s="157">
        <v>1220</v>
      </c>
      <c r="T7" s="2">
        <v>26899</v>
      </c>
      <c r="U7" s="7"/>
      <c r="V7" s="3">
        <f>IF($B$4="quarter",SUM((T7/45),(U7/900)),IF($B$4="semester",SUM((T7/30),U7/900)))</f>
        <v>896.63333333333333</v>
      </c>
      <c r="W7" s="159">
        <v>4582032</v>
      </c>
      <c r="X7" s="157">
        <v>1151</v>
      </c>
      <c r="Y7" s="2">
        <v>26076</v>
      </c>
      <c r="Z7" s="7"/>
      <c r="AA7" s="3">
        <f>IF($B$4="quarter",SUM((Y7/45),(Z7/900)),IF($B$4="semester",SUM((Y7/30),Z7/900)))</f>
        <v>869.2</v>
      </c>
      <c r="AB7" s="159">
        <v>4694336</v>
      </c>
      <c r="AC7" s="157">
        <v>1078</v>
      </c>
      <c r="AD7" s="2">
        <v>24155</v>
      </c>
      <c r="AE7" s="7"/>
      <c r="AF7" s="3">
        <f>IF($B$4="quarter",SUM((AD7/45),(AE7/900)),IF($B$4="semester",SUM((AD7/30),AE7/900)))</f>
        <v>805.16666666666663</v>
      </c>
      <c r="AG7" s="159">
        <v>4442367</v>
      </c>
      <c r="AH7" s="157">
        <v>1009</v>
      </c>
      <c r="AI7" s="2">
        <v>22995</v>
      </c>
      <c r="AJ7" s="7"/>
      <c r="AK7" s="3">
        <f>IF($B$4="quarter",SUM((AI7/45),(AJ7/900)),IF($B$4="semester",SUM((AI7/30),AJ7/900)))</f>
        <v>766.5</v>
      </c>
      <c r="AL7" s="159">
        <v>4445883</v>
      </c>
      <c r="AM7" s="157">
        <v>947</v>
      </c>
      <c r="AN7" s="2">
        <v>21551</v>
      </c>
      <c r="AO7" s="7"/>
      <c r="AP7" s="3">
        <f>IF($B$4="quarter",SUM((AN7/45),(AO7/900)),IF($B$4="semester",SUM((AN7/30),AO7/900)))</f>
        <v>718.36666666666667</v>
      </c>
      <c r="AQ7" s="159">
        <v>4308769</v>
      </c>
      <c r="AR7" s="157">
        <v>914</v>
      </c>
      <c r="AS7" s="2">
        <v>21536</v>
      </c>
      <c r="AT7" s="7"/>
      <c r="AU7" s="3">
        <f>IF($B$4="quarter",SUM((AS7/45),(AT7/900)),IF($B$4="semester",SUM((AS7/30),AT7/900)))</f>
        <v>717.86666666666667</v>
      </c>
      <c r="AV7" s="159">
        <v>4357855</v>
      </c>
      <c r="AW7" s="157">
        <v>885</v>
      </c>
      <c r="AX7" s="2">
        <v>21629</v>
      </c>
      <c r="AY7" s="7"/>
      <c r="AZ7" s="3">
        <f>IF($B$4="quarter",SUM((AX7/45),(AY7/900)),IF($B$4="semester",SUM((AX7/30),AY7/900)))</f>
        <v>720.9666666666667</v>
      </c>
      <c r="BA7" s="159">
        <v>4464043</v>
      </c>
      <c r="BB7" s="32">
        <v>902</v>
      </c>
      <c r="BC7" s="1">
        <v>22340</v>
      </c>
      <c r="BD7" s="7"/>
      <c r="BE7" s="3">
        <f>IF($B$4="quarter",SUM((BC7/45),(BD7/900)),IF($B$4="semester",SUM((BC7/30),BD7/900)))</f>
        <v>744.66666666666663</v>
      </c>
      <c r="BF7" s="40">
        <v>4592471</v>
      </c>
    </row>
    <row r="8" spans="2:58">
      <c r="B8" s="428"/>
      <c r="C8" s="37" t="s">
        <v>9</v>
      </c>
      <c r="D8" s="34">
        <f>SUM(D6:D7)</f>
        <v>2909</v>
      </c>
      <c r="E8" s="3">
        <f t="shared" ref="E8:U8" si="0">SUM(E6:E7)</f>
        <v>59177.5</v>
      </c>
      <c r="F8" s="7">
        <f t="shared" si="0"/>
        <v>0</v>
      </c>
      <c r="G8" s="3">
        <f t="shared" si="0"/>
        <v>1972.5833333333335</v>
      </c>
      <c r="H8" s="105">
        <f>SUM(H6:H7)</f>
        <v>9362146</v>
      </c>
      <c r="I8" s="34">
        <f t="shared" si="0"/>
        <v>2909</v>
      </c>
      <c r="J8" s="3">
        <f t="shared" si="0"/>
        <v>59984</v>
      </c>
      <c r="K8" s="7">
        <f t="shared" si="0"/>
        <v>0</v>
      </c>
      <c r="L8" s="3">
        <f>SUM(L6:L7)</f>
        <v>1999.4666666666667</v>
      </c>
      <c r="M8" s="105">
        <f>SUM(M6:M7)</f>
        <v>9098659</v>
      </c>
      <c r="N8" s="34">
        <f t="shared" si="0"/>
        <v>2936</v>
      </c>
      <c r="O8" s="3">
        <f t="shared" si="0"/>
        <v>59728</v>
      </c>
      <c r="P8" s="7">
        <f t="shared" si="0"/>
        <v>0</v>
      </c>
      <c r="Q8" s="3">
        <f>SUM(Q6:Q7)</f>
        <v>1990.9333333333334</v>
      </c>
      <c r="R8" s="105">
        <f>SUM(R6:R7)</f>
        <v>9031008</v>
      </c>
      <c r="S8" s="34">
        <f t="shared" si="0"/>
        <v>2874</v>
      </c>
      <c r="T8" s="3">
        <f t="shared" si="0"/>
        <v>58165</v>
      </c>
      <c r="U8" s="7">
        <f t="shared" si="0"/>
        <v>0</v>
      </c>
      <c r="V8" s="3">
        <f t="shared" ref="V8:BF8" si="1">SUM(V6:V7)</f>
        <v>1938.8333333333335</v>
      </c>
      <c r="W8" s="105">
        <f t="shared" si="1"/>
        <v>9726705</v>
      </c>
      <c r="X8" s="34">
        <f t="shared" si="1"/>
        <v>2737</v>
      </c>
      <c r="Y8" s="3">
        <f t="shared" si="1"/>
        <v>56139</v>
      </c>
      <c r="Z8" s="7">
        <f t="shared" si="1"/>
        <v>0</v>
      </c>
      <c r="AA8" s="3">
        <f t="shared" si="1"/>
        <v>1871.3000000000002</v>
      </c>
      <c r="AB8" s="105">
        <f t="shared" si="1"/>
        <v>9783416</v>
      </c>
      <c r="AC8" s="34">
        <f t="shared" si="1"/>
        <v>2643</v>
      </c>
      <c r="AD8" s="3">
        <f t="shared" si="1"/>
        <v>53159</v>
      </c>
      <c r="AE8" s="7">
        <f t="shared" si="1"/>
        <v>0</v>
      </c>
      <c r="AF8" s="3">
        <f t="shared" si="1"/>
        <v>1771.9666666666667</v>
      </c>
      <c r="AG8" s="105">
        <f t="shared" si="1"/>
        <v>9915571</v>
      </c>
      <c r="AH8" s="34">
        <f t="shared" si="1"/>
        <v>2365</v>
      </c>
      <c r="AI8" s="3">
        <f t="shared" si="1"/>
        <v>49240</v>
      </c>
      <c r="AJ8" s="7">
        <f t="shared" si="1"/>
        <v>0</v>
      </c>
      <c r="AK8" s="3">
        <f t="shared" si="1"/>
        <v>1641.3333333333335</v>
      </c>
      <c r="AL8" s="105">
        <f t="shared" si="1"/>
        <v>9634803</v>
      </c>
      <c r="AM8" s="34">
        <f t="shared" si="1"/>
        <v>2347</v>
      </c>
      <c r="AN8" s="3">
        <f t="shared" si="1"/>
        <v>47857</v>
      </c>
      <c r="AO8" s="7">
        <f t="shared" si="1"/>
        <v>0</v>
      </c>
      <c r="AP8" s="3">
        <f t="shared" si="1"/>
        <v>1595.2333333333333</v>
      </c>
      <c r="AQ8" s="105">
        <f t="shared" si="1"/>
        <v>9566402</v>
      </c>
      <c r="AR8" s="34">
        <f t="shared" si="1"/>
        <v>2205</v>
      </c>
      <c r="AS8" s="3">
        <f t="shared" si="1"/>
        <v>47068</v>
      </c>
      <c r="AT8" s="7">
        <f t="shared" si="1"/>
        <v>0</v>
      </c>
      <c r="AU8" s="3">
        <f t="shared" si="1"/>
        <v>1568.9333333333334</v>
      </c>
      <c r="AV8" s="105">
        <f t="shared" si="1"/>
        <v>9611264</v>
      </c>
      <c r="AW8" s="34">
        <f t="shared" si="1"/>
        <v>2151</v>
      </c>
      <c r="AX8" s="3">
        <f t="shared" si="1"/>
        <v>47505</v>
      </c>
      <c r="AY8" s="7">
        <f t="shared" si="1"/>
        <v>0</v>
      </c>
      <c r="AZ8" s="3">
        <f t="shared" si="1"/>
        <v>1583.5</v>
      </c>
      <c r="BA8" s="105">
        <f t="shared" si="1"/>
        <v>9804630</v>
      </c>
      <c r="BB8" s="34">
        <f t="shared" si="1"/>
        <v>2170</v>
      </c>
      <c r="BC8" s="3">
        <f t="shared" si="1"/>
        <v>48067</v>
      </c>
      <c r="BD8" s="7">
        <f t="shared" si="1"/>
        <v>0</v>
      </c>
      <c r="BE8" s="3">
        <f t="shared" si="1"/>
        <v>1602.2333333333333</v>
      </c>
      <c r="BF8" s="105">
        <f t="shared" si="1"/>
        <v>9881212</v>
      </c>
    </row>
    <row r="9" spans="2:58">
      <c r="B9" s="11"/>
      <c r="C9" s="12"/>
      <c r="D9" s="33"/>
      <c r="E9" s="6"/>
      <c r="F9" s="6"/>
      <c r="G9" s="6"/>
      <c r="H9" s="41"/>
      <c r="I9" s="33"/>
      <c r="J9" s="6"/>
      <c r="K9" s="6"/>
      <c r="L9" s="6"/>
      <c r="M9" s="41"/>
      <c r="N9" s="33"/>
      <c r="O9" s="6"/>
      <c r="P9" s="6"/>
      <c r="Q9" s="6"/>
      <c r="R9" s="41"/>
      <c r="S9" s="33"/>
      <c r="T9" s="6"/>
      <c r="U9" s="6"/>
      <c r="V9" s="6"/>
      <c r="W9" s="41"/>
      <c r="X9" s="33"/>
      <c r="Y9" s="6"/>
      <c r="Z9" s="6"/>
      <c r="AA9" s="6"/>
      <c r="AB9" s="41"/>
      <c r="AC9" s="33"/>
      <c r="AD9" s="6"/>
      <c r="AE9" s="6"/>
      <c r="AF9" s="295"/>
      <c r="AG9" s="297"/>
      <c r="AH9" s="296"/>
      <c r="AI9" s="295"/>
      <c r="AJ9" s="295"/>
      <c r="AK9" s="295"/>
      <c r="AL9" s="297"/>
      <c r="AM9" s="296"/>
      <c r="AN9" s="295"/>
      <c r="AO9" s="295"/>
      <c r="AP9" s="295"/>
      <c r="AQ9" s="297"/>
      <c r="AR9" s="33"/>
      <c r="AS9" s="6"/>
      <c r="AT9" s="6"/>
      <c r="AU9" s="6"/>
      <c r="AV9" s="41"/>
      <c r="AW9" s="33"/>
      <c r="AX9" s="6"/>
      <c r="AY9" s="6"/>
      <c r="AZ9" s="6"/>
      <c r="BA9" s="41"/>
      <c r="BB9" s="33"/>
      <c r="BC9" s="6"/>
      <c r="BD9" s="6"/>
      <c r="BE9" s="6"/>
      <c r="BF9" s="41"/>
    </row>
    <row r="10" spans="2:58">
      <c r="B10" s="426" t="s">
        <v>10</v>
      </c>
      <c r="C10" s="38" t="s">
        <v>7</v>
      </c>
      <c r="D10" s="157">
        <v>519</v>
      </c>
      <c r="E10" s="2">
        <v>4804</v>
      </c>
      <c r="F10" s="7"/>
      <c r="G10" s="3">
        <f>IF($B$4="quarter",SUM((E10/36),(F10/900)),IF($B$4="semester",SUM((E10/24),F10/900)))</f>
        <v>200.16666666666666</v>
      </c>
      <c r="H10" s="159">
        <v>1367585</v>
      </c>
      <c r="I10" s="157">
        <v>476</v>
      </c>
      <c r="J10" s="2">
        <v>4749</v>
      </c>
      <c r="K10" s="7"/>
      <c r="L10" s="3">
        <f>IF($B$4="quarter",SUM((J10/36),(K10/900)),IF($B$4="semester",SUM((J10/24),K10/900)))</f>
        <v>197.875</v>
      </c>
      <c r="M10" s="159">
        <v>1524498</v>
      </c>
      <c r="N10" s="157">
        <v>460</v>
      </c>
      <c r="O10" s="2">
        <v>4146</v>
      </c>
      <c r="P10" s="7"/>
      <c r="Q10" s="3">
        <f>IF($B$4="quarter",SUM((O10/36),(P10/900)),IF($B$4="semester",SUM((O10/24),P10/900)))</f>
        <v>172.75</v>
      </c>
      <c r="R10" s="159">
        <v>1375902</v>
      </c>
      <c r="S10" s="157">
        <v>503</v>
      </c>
      <c r="T10" s="2">
        <v>4614</v>
      </c>
      <c r="U10" s="7"/>
      <c r="V10" s="3">
        <f>IF($B$4="quarter",SUM((T10/36),(U10/900)),IF($B$4="semester",SUM((T10/24),U10/900)))</f>
        <v>192.25</v>
      </c>
      <c r="W10" s="159">
        <v>1556262</v>
      </c>
      <c r="X10" s="157">
        <v>451</v>
      </c>
      <c r="Y10" s="2">
        <v>4460</v>
      </c>
      <c r="Z10" s="7"/>
      <c r="AA10" s="3">
        <f>IF($B$4="quarter",SUM((Y10/36),(Z10/900)),IF($B$4="semester",SUM((Y10/24),Z10/900)))</f>
        <v>185.83333333333334</v>
      </c>
      <c r="AB10" s="159">
        <v>1160822</v>
      </c>
      <c r="AC10" s="157">
        <v>429</v>
      </c>
      <c r="AD10" s="2">
        <v>4228</v>
      </c>
      <c r="AE10" s="7"/>
      <c r="AF10" s="3">
        <f>IF($B$4="quarter",SUM((AD10/36),(AE10/900)),IF($B$4="semester",SUM((AD10/24),AE10/900)))</f>
        <v>176.16666666666666</v>
      </c>
      <c r="AG10" s="159">
        <v>1281215</v>
      </c>
      <c r="AH10" s="157">
        <v>410</v>
      </c>
      <c r="AI10" s="2">
        <v>3814</v>
      </c>
      <c r="AJ10" s="7"/>
      <c r="AK10" s="3">
        <f>IF($B$4="quarter",SUM((AI10/36),(AJ10/900)),IF($B$4="semester",SUM((AI10/24),AJ10/900)))</f>
        <v>158.91666666666666</v>
      </c>
      <c r="AL10" s="159">
        <v>1201571</v>
      </c>
      <c r="AM10" s="157">
        <v>412</v>
      </c>
      <c r="AN10" s="2">
        <v>4117</v>
      </c>
      <c r="AO10" s="7"/>
      <c r="AP10" s="3">
        <f>IF($B$4="quarter",SUM((AN10/36),(AO10/900)),IF($B$4="semester",SUM((AN10/24),AO10/900)))</f>
        <v>171.54166666666666</v>
      </c>
      <c r="AQ10" s="159">
        <v>1263847</v>
      </c>
      <c r="AR10" s="157">
        <v>380</v>
      </c>
      <c r="AS10" s="2">
        <v>4027</v>
      </c>
      <c r="AT10" s="7"/>
      <c r="AU10" s="3">
        <f>IF($B$4="quarter",SUM((AS10/36),(AT10/900)),IF($B$4="semester",SUM((AS10/24),AT10/900)))</f>
        <v>167.79166666666666</v>
      </c>
      <c r="AV10" s="159">
        <v>1207046</v>
      </c>
      <c r="AW10" s="157">
        <v>378</v>
      </c>
      <c r="AX10" s="2">
        <v>4126</v>
      </c>
      <c r="AY10" s="7"/>
      <c r="AZ10" s="3">
        <f>IF($B$4="quarter",SUM((AX10/36),(AY10/900)),IF($B$4="semester",SUM((AX10/24),AY10/900)))</f>
        <v>171.91666666666666</v>
      </c>
      <c r="BA10" s="159">
        <v>1214168</v>
      </c>
      <c r="BB10" s="32">
        <v>360</v>
      </c>
      <c r="BC10" s="1">
        <v>3996</v>
      </c>
      <c r="BD10" s="7"/>
      <c r="BE10" s="3">
        <f>IF($B$4="quarter",SUM((BC10/36),(BD10/900)),IF($B$4="semester",SUM((BC10/24),BD10/900)))</f>
        <v>166.5</v>
      </c>
      <c r="BF10" s="40">
        <v>1141644</v>
      </c>
    </row>
    <row r="11" spans="2:58">
      <c r="B11" s="427"/>
      <c r="C11" s="38" t="s">
        <v>8</v>
      </c>
      <c r="D11" s="157">
        <v>454</v>
      </c>
      <c r="E11" s="2">
        <v>4981</v>
      </c>
      <c r="F11" s="7"/>
      <c r="G11" s="3">
        <f>IF($B$4="quarter",SUM((E11/36),(F11/900)),IF($B$4="semester",SUM((E11/24),F11/900)))</f>
        <v>207.54166666666666</v>
      </c>
      <c r="H11" s="159">
        <v>746967</v>
      </c>
      <c r="I11" s="157">
        <v>465</v>
      </c>
      <c r="J11" s="2">
        <v>4878</v>
      </c>
      <c r="K11" s="7"/>
      <c r="L11" s="3">
        <f>IF($B$4="quarter",SUM((J11/36),(K11/900)),IF($B$4="semester",SUM((J11/24),K11/900)))</f>
        <v>203.25</v>
      </c>
      <c r="M11" s="159">
        <v>614689</v>
      </c>
      <c r="N11" s="157">
        <v>460</v>
      </c>
      <c r="O11" s="2">
        <v>4741</v>
      </c>
      <c r="P11" s="7"/>
      <c r="Q11" s="3">
        <f>IF($B$4="quarter",SUM((O11/36),(P11/900)),IF($B$4="semester",SUM((O11/24),P11/900)))</f>
        <v>197.54166666666666</v>
      </c>
      <c r="R11" s="159">
        <v>727611</v>
      </c>
      <c r="S11" s="157">
        <v>498</v>
      </c>
      <c r="T11" s="2">
        <v>5201</v>
      </c>
      <c r="U11" s="7"/>
      <c r="V11" s="3">
        <f>IF($B$4="quarter",SUM((T11/36),(U11/900)),IF($B$4="semester",SUM((T11/24),U11/900)))</f>
        <v>216.70833333333334</v>
      </c>
      <c r="W11" s="159">
        <v>966503</v>
      </c>
      <c r="X11" s="157">
        <v>479</v>
      </c>
      <c r="Y11" s="2">
        <v>5253</v>
      </c>
      <c r="Z11" s="7"/>
      <c r="AA11" s="3">
        <f>IF($B$4="quarter",SUM((Y11/36),(Z11/900)),IF($B$4="semester",SUM((Y11/24),Z11/900)))</f>
        <v>218.875</v>
      </c>
      <c r="AB11" s="159">
        <v>1317590</v>
      </c>
      <c r="AC11" s="157">
        <v>425</v>
      </c>
      <c r="AD11" s="2">
        <v>4356</v>
      </c>
      <c r="AE11" s="7"/>
      <c r="AF11" s="3">
        <f>IF($B$4="quarter",SUM((AD11/36),(AE11/900)),IF($B$4="semester",SUM((AD11/24),AE11/900)))</f>
        <v>181.5</v>
      </c>
      <c r="AG11" s="159">
        <v>1114796</v>
      </c>
      <c r="AH11" s="157">
        <v>377</v>
      </c>
      <c r="AI11" s="2">
        <v>4171</v>
      </c>
      <c r="AJ11" s="7"/>
      <c r="AK11" s="3">
        <f>IF($B$4="quarter",SUM((AI11/36),(AJ11/900)),IF($B$4="semester",SUM((AI11/24),AJ11/900)))</f>
        <v>173.79166666666666</v>
      </c>
      <c r="AL11" s="159">
        <v>1042617</v>
      </c>
      <c r="AM11" s="157">
        <v>343</v>
      </c>
      <c r="AN11" s="2">
        <v>4117</v>
      </c>
      <c r="AO11" s="7"/>
      <c r="AP11" s="3">
        <f>IF($B$4="quarter",SUM((AN11/36),(AO11/900)),IF($B$4="semester",SUM((AN11/24),AO11/900)))</f>
        <v>171.54166666666666</v>
      </c>
      <c r="AQ11" s="159">
        <v>1111088</v>
      </c>
      <c r="AR11" s="157">
        <v>314</v>
      </c>
      <c r="AS11" s="2">
        <v>3800</v>
      </c>
      <c r="AT11" s="7"/>
      <c r="AU11" s="3">
        <f>IF($B$4="quarter",SUM((AS11/36),(AT11/900)),IF($B$4="semester",SUM((AS11/24),AT11/900)))</f>
        <v>158.33333333333334</v>
      </c>
      <c r="AV11" s="159">
        <v>1081962</v>
      </c>
      <c r="AW11" s="157">
        <v>300</v>
      </c>
      <c r="AX11" s="2">
        <v>3612</v>
      </c>
      <c r="AY11" s="7"/>
      <c r="AZ11" s="3">
        <f>IF($B$4="quarter",SUM((AX11/36),(AY11/900)),IF($B$4="semester",SUM((AX11/24),AY11/900)))</f>
        <v>150.5</v>
      </c>
      <c r="BA11" s="159">
        <v>1062912</v>
      </c>
      <c r="BB11" s="32">
        <v>283</v>
      </c>
      <c r="BC11" s="1">
        <v>3668</v>
      </c>
      <c r="BD11" s="7"/>
      <c r="BE11" s="3">
        <f>IF($B$4="quarter",SUM((BC11/36),(BD11/900)),IF($B$4="semester",SUM((BC11/24),BD11/900)))</f>
        <v>152.83333333333334</v>
      </c>
      <c r="BF11" s="40">
        <v>1047936</v>
      </c>
    </row>
    <row r="12" spans="2:58">
      <c r="B12" s="428"/>
      <c r="C12" s="39" t="s">
        <v>9</v>
      </c>
      <c r="D12" s="34">
        <f t="shared" ref="D12:AI12" si="2">SUM(D10:D11)</f>
        <v>973</v>
      </c>
      <c r="E12" s="3">
        <f t="shared" si="2"/>
        <v>9785</v>
      </c>
      <c r="F12" s="7">
        <f t="shared" si="2"/>
        <v>0</v>
      </c>
      <c r="G12" s="3">
        <f t="shared" si="2"/>
        <v>407.70833333333331</v>
      </c>
      <c r="H12" s="105">
        <f t="shared" si="2"/>
        <v>2114552</v>
      </c>
      <c r="I12" s="34">
        <f t="shared" si="2"/>
        <v>941</v>
      </c>
      <c r="J12" s="3">
        <f t="shared" si="2"/>
        <v>9627</v>
      </c>
      <c r="K12" s="7">
        <f t="shared" si="2"/>
        <v>0</v>
      </c>
      <c r="L12" s="3">
        <f t="shared" si="2"/>
        <v>401.125</v>
      </c>
      <c r="M12" s="105">
        <f t="shared" si="2"/>
        <v>2139187</v>
      </c>
      <c r="N12" s="34">
        <f t="shared" si="2"/>
        <v>920</v>
      </c>
      <c r="O12" s="3">
        <f t="shared" si="2"/>
        <v>8887</v>
      </c>
      <c r="P12" s="7">
        <f t="shared" si="2"/>
        <v>0</v>
      </c>
      <c r="Q12" s="3">
        <f t="shared" si="2"/>
        <v>370.29166666666663</v>
      </c>
      <c r="R12" s="105">
        <f t="shared" si="2"/>
        <v>2103513</v>
      </c>
      <c r="S12" s="34">
        <f t="shared" si="2"/>
        <v>1001</v>
      </c>
      <c r="T12" s="3">
        <f t="shared" si="2"/>
        <v>9815</v>
      </c>
      <c r="U12" s="7">
        <f t="shared" si="2"/>
        <v>0</v>
      </c>
      <c r="V12" s="3">
        <f t="shared" si="2"/>
        <v>408.95833333333337</v>
      </c>
      <c r="W12" s="105">
        <f t="shared" si="2"/>
        <v>2522765</v>
      </c>
      <c r="X12" s="34">
        <f t="shared" si="2"/>
        <v>930</v>
      </c>
      <c r="Y12" s="3">
        <f t="shared" si="2"/>
        <v>9713</v>
      </c>
      <c r="Z12" s="7">
        <f t="shared" si="2"/>
        <v>0</v>
      </c>
      <c r="AA12" s="3">
        <f t="shared" si="2"/>
        <v>404.70833333333337</v>
      </c>
      <c r="AB12" s="105">
        <f t="shared" si="2"/>
        <v>2478412</v>
      </c>
      <c r="AC12" s="34">
        <f t="shared" si="2"/>
        <v>854</v>
      </c>
      <c r="AD12" s="3">
        <f t="shared" si="2"/>
        <v>8584</v>
      </c>
      <c r="AE12" s="7">
        <f t="shared" si="2"/>
        <v>0</v>
      </c>
      <c r="AF12" s="3">
        <f t="shared" si="2"/>
        <v>357.66666666666663</v>
      </c>
      <c r="AG12" s="105">
        <f t="shared" si="2"/>
        <v>2396011</v>
      </c>
      <c r="AH12" s="34">
        <f t="shared" si="2"/>
        <v>787</v>
      </c>
      <c r="AI12" s="3">
        <f t="shared" si="2"/>
        <v>7985</v>
      </c>
      <c r="AJ12" s="7">
        <f t="shared" ref="AJ12:BF12" si="3">SUM(AJ10:AJ11)</f>
        <v>0</v>
      </c>
      <c r="AK12" s="3">
        <f t="shared" si="3"/>
        <v>332.70833333333331</v>
      </c>
      <c r="AL12" s="105">
        <f t="shared" si="3"/>
        <v>2244188</v>
      </c>
      <c r="AM12" s="34">
        <f t="shared" si="3"/>
        <v>755</v>
      </c>
      <c r="AN12" s="3">
        <f t="shared" si="3"/>
        <v>8234</v>
      </c>
      <c r="AO12" s="7">
        <f t="shared" si="3"/>
        <v>0</v>
      </c>
      <c r="AP12" s="3">
        <f t="shared" si="3"/>
        <v>343.08333333333331</v>
      </c>
      <c r="AQ12" s="105">
        <f t="shared" si="3"/>
        <v>2374935</v>
      </c>
      <c r="AR12" s="34">
        <f t="shared" si="3"/>
        <v>694</v>
      </c>
      <c r="AS12" s="3">
        <f t="shared" si="3"/>
        <v>7827</v>
      </c>
      <c r="AT12" s="7">
        <f t="shared" si="3"/>
        <v>0</v>
      </c>
      <c r="AU12" s="3">
        <f t="shared" si="3"/>
        <v>326.125</v>
      </c>
      <c r="AV12" s="105">
        <f t="shared" si="3"/>
        <v>2289008</v>
      </c>
      <c r="AW12" s="34">
        <f t="shared" si="3"/>
        <v>678</v>
      </c>
      <c r="AX12" s="3">
        <f t="shared" si="3"/>
        <v>7738</v>
      </c>
      <c r="AY12" s="7">
        <f t="shared" si="3"/>
        <v>0</v>
      </c>
      <c r="AZ12" s="3">
        <f t="shared" si="3"/>
        <v>322.41666666666663</v>
      </c>
      <c r="BA12" s="105">
        <f t="shared" si="3"/>
        <v>2277080</v>
      </c>
      <c r="BB12" s="34">
        <f t="shared" si="3"/>
        <v>643</v>
      </c>
      <c r="BC12" s="3">
        <f t="shared" si="3"/>
        <v>7664</v>
      </c>
      <c r="BD12" s="7">
        <f t="shared" si="3"/>
        <v>0</v>
      </c>
      <c r="BE12" s="3">
        <f t="shared" si="3"/>
        <v>319.33333333333337</v>
      </c>
      <c r="BF12" s="105">
        <f t="shared" si="3"/>
        <v>2189580</v>
      </c>
    </row>
    <row r="13" spans="2:58">
      <c r="B13" s="11"/>
      <c r="C13" s="12"/>
      <c r="D13" s="33"/>
      <c r="E13" s="6"/>
      <c r="F13" s="6"/>
      <c r="G13" s="6"/>
      <c r="H13" s="41"/>
      <c r="I13" s="33"/>
      <c r="J13" s="6"/>
      <c r="K13" s="6"/>
      <c r="L13" s="6"/>
      <c r="M13" s="41"/>
      <c r="N13" s="33"/>
      <c r="O13" s="6"/>
      <c r="P13" s="6"/>
      <c r="Q13" s="6"/>
      <c r="R13" s="41"/>
      <c r="S13" s="33"/>
      <c r="T13" s="6"/>
      <c r="U13" s="6"/>
      <c r="V13" s="6"/>
      <c r="W13" s="41"/>
      <c r="X13" s="33"/>
      <c r="Y13" s="6"/>
      <c r="Z13" s="6"/>
      <c r="AA13" s="6"/>
      <c r="AB13" s="41"/>
      <c r="AC13" s="33"/>
      <c r="AD13" s="6"/>
      <c r="AE13" s="6"/>
      <c r="AF13" s="295"/>
      <c r="AG13" s="297"/>
      <c r="AH13" s="296"/>
      <c r="AI13" s="295"/>
      <c r="AJ13" s="295"/>
      <c r="AK13" s="295"/>
      <c r="AL13" s="297"/>
      <c r="AM13" s="296"/>
      <c r="AN13" s="295"/>
      <c r="AO13" s="295"/>
      <c r="AP13" s="295"/>
      <c r="AQ13" s="297"/>
      <c r="AR13" s="33"/>
      <c r="AS13" s="6"/>
      <c r="AT13" s="6"/>
      <c r="AU13" s="6"/>
      <c r="AV13" s="41"/>
      <c r="AW13" s="33"/>
      <c r="AX13" s="6"/>
      <c r="AY13" s="6"/>
      <c r="AZ13" s="6"/>
      <c r="BA13" s="41"/>
      <c r="BB13" s="33"/>
      <c r="BC13" s="6"/>
      <c r="BD13" s="6"/>
      <c r="BE13" s="6"/>
      <c r="BF13" s="41"/>
    </row>
    <row r="14" spans="2:58">
      <c r="B14" s="426" t="s">
        <v>11</v>
      </c>
      <c r="C14" s="38" t="s">
        <v>7</v>
      </c>
      <c r="D14" s="157">
        <v>0</v>
      </c>
      <c r="E14" s="2">
        <v>0</v>
      </c>
      <c r="F14" s="7"/>
      <c r="G14" s="3">
        <f>IF($B$4="quarter",SUM((E14/36),(F14/900)),IF($B$4="semester",SUM((E14/24),F14/900)))</f>
        <v>0</v>
      </c>
      <c r="H14" s="159">
        <v>0</v>
      </c>
      <c r="I14" s="157">
        <v>0</v>
      </c>
      <c r="J14" s="2">
        <v>0</v>
      </c>
      <c r="K14" s="7"/>
      <c r="L14" s="3">
        <f>IF($B$4="quarter",SUM((J14/36),(K14/900)),IF($B$4="semester",SUM((J14/24),K14/900)))</f>
        <v>0</v>
      </c>
      <c r="M14" s="159">
        <v>0</v>
      </c>
      <c r="N14" s="157">
        <v>0</v>
      </c>
      <c r="O14" s="2">
        <v>0</v>
      </c>
      <c r="P14" s="7"/>
      <c r="Q14" s="3">
        <f>IF($B$4="quarter",SUM((O14/36),(P14/900)),IF($B$4="semester",SUM((O14/24),P14/900)))</f>
        <v>0</v>
      </c>
      <c r="R14" s="159">
        <v>0</v>
      </c>
      <c r="S14" s="157">
        <v>0</v>
      </c>
      <c r="T14" s="2">
        <v>0</v>
      </c>
      <c r="U14" s="7"/>
      <c r="V14" s="3">
        <f>IF($B$4="quarter",SUM((T14/36),(U14/900)),IF($B$4="semester",SUM((T14/24),U14/900)))</f>
        <v>0</v>
      </c>
      <c r="W14" s="159">
        <v>0</v>
      </c>
      <c r="X14" s="157">
        <v>0</v>
      </c>
      <c r="Y14" s="2">
        <v>0</v>
      </c>
      <c r="Z14" s="7"/>
      <c r="AA14" s="3">
        <f>IF($B$4="quarter",SUM((Y14/36),(Z14/900)),IF($B$4="semester",SUM((Y14/24),Z14/900)))</f>
        <v>0</v>
      </c>
      <c r="AB14" s="159">
        <v>0</v>
      </c>
      <c r="AC14" s="157">
        <v>0</v>
      </c>
      <c r="AD14" s="2">
        <v>0</v>
      </c>
      <c r="AE14" s="7"/>
      <c r="AF14" s="3">
        <f>IF($B$4="quarter",SUM((AD14/36),(AE14/900)),IF($B$4="semester",SUM((AD14/24),AE14/900)))</f>
        <v>0</v>
      </c>
      <c r="AG14" s="159">
        <v>0</v>
      </c>
      <c r="AH14" s="157">
        <v>0</v>
      </c>
      <c r="AI14" s="2">
        <v>0</v>
      </c>
      <c r="AJ14" s="7"/>
      <c r="AK14" s="3">
        <f>IF($B$4="quarter",SUM((AI14/36),(AJ14/900)),IF($B$4="semester",SUM((AI14/24),AJ14/900)))</f>
        <v>0</v>
      </c>
      <c r="AL14" s="159">
        <v>0</v>
      </c>
      <c r="AM14" s="157">
        <v>0</v>
      </c>
      <c r="AN14" s="2">
        <v>0</v>
      </c>
      <c r="AO14" s="7"/>
      <c r="AP14" s="3">
        <f>IF($B$4="quarter",SUM((AN14/36),(AO14/900)),IF($B$4="semester",SUM((AN14/24),AO14/900)))</f>
        <v>0</v>
      </c>
      <c r="AQ14" s="159">
        <v>0</v>
      </c>
      <c r="AR14" s="157"/>
      <c r="AS14" s="2"/>
      <c r="AT14" s="7"/>
      <c r="AU14" s="3">
        <f>IF($B$4="quarter",SUM((AS14/36),(AT14/900)),IF($B$4="semester",SUM((AS14/24),AT14/900)))</f>
        <v>0</v>
      </c>
      <c r="AV14" s="159"/>
      <c r="AW14" s="157">
        <v>0</v>
      </c>
      <c r="AX14" s="2">
        <v>0</v>
      </c>
      <c r="AY14" s="7"/>
      <c r="AZ14" s="3">
        <f>IF($B$4="quarter",SUM((AX14/36),(AY14/900)),IF($B$4="semester",SUM((AX14/24),AY14/900)))</f>
        <v>0</v>
      </c>
      <c r="BA14" s="159">
        <v>0</v>
      </c>
      <c r="BB14" s="32">
        <v>0</v>
      </c>
      <c r="BC14" s="1">
        <v>0</v>
      </c>
      <c r="BD14" s="7"/>
      <c r="BE14" s="3">
        <f>IF($B$4="quarter",SUM((BC14/36),(BD14/900)),IF($B$4="semester",SUM((BC14/24),BD14/900)))</f>
        <v>0</v>
      </c>
      <c r="BF14" s="40">
        <v>0</v>
      </c>
    </row>
    <row r="15" spans="2:58">
      <c r="B15" s="427"/>
      <c r="C15" s="38" t="s">
        <v>8</v>
      </c>
      <c r="D15" s="157">
        <v>0</v>
      </c>
      <c r="E15" s="2">
        <v>0</v>
      </c>
      <c r="F15" s="7"/>
      <c r="G15" s="3">
        <f>IF($B$4="quarter",SUM((E15/36),(F15/900)),IF($B$4="semester",SUM((E15/24),F15/900)))</f>
        <v>0</v>
      </c>
      <c r="H15" s="159">
        <v>0</v>
      </c>
      <c r="I15" s="157">
        <v>0</v>
      </c>
      <c r="J15" s="2">
        <v>0</v>
      </c>
      <c r="K15" s="7"/>
      <c r="L15" s="3">
        <f>IF($B$4="quarter",SUM((J15/36),(K15/900)),IF($B$4="semester",SUM((J15/24),K15/900)))</f>
        <v>0</v>
      </c>
      <c r="M15" s="159">
        <v>0</v>
      </c>
      <c r="N15" s="157">
        <v>0</v>
      </c>
      <c r="O15" s="2">
        <v>0</v>
      </c>
      <c r="P15" s="7"/>
      <c r="Q15" s="3">
        <f>IF($B$4="quarter",SUM((O15/36),(P15/900)),IF($B$4="semester",SUM((O15/24),P15/900)))</f>
        <v>0</v>
      </c>
      <c r="R15" s="159">
        <v>0</v>
      </c>
      <c r="S15" s="157">
        <v>0</v>
      </c>
      <c r="T15" s="2">
        <v>0</v>
      </c>
      <c r="U15" s="7"/>
      <c r="V15" s="3">
        <f>IF($B$4="quarter",SUM((T15/36),(U15/900)),IF($B$4="semester",SUM((T15/24),U15/900)))</f>
        <v>0</v>
      </c>
      <c r="W15" s="159">
        <v>0</v>
      </c>
      <c r="X15" s="157">
        <v>0</v>
      </c>
      <c r="Y15" s="2">
        <v>0</v>
      </c>
      <c r="Z15" s="7"/>
      <c r="AA15" s="3">
        <f>IF($B$4="quarter",SUM((Y15/36),(Z15/900)),IF($B$4="semester",SUM((Y15/24),Z15/900)))</f>
        <v>0</v>
      </c>
      <c r="AB15" s="159">
        <v>0</v>
      </c>
      <c r="AC15" s="157">
        <v>0</v>
      </c>
      <c r="AD15" s="2">
        <v>0</v>
      </c>
      <c r="AE15" s="7"/>
      <c r="AF15" s="3">
        <f>IF($B$4="quarter",SUM((AD15/36),(AE15/900)),IF($B$4="semester",SUM((AD15/24),AE15/900)))</f>
        <v>0</v>
      </c>
      <c r="AG15" s="159">
        <v>0</v>
      </c>
      <c r="AH15" s="157">
        <v>0</v>
      </c>
      <c r="AI15" s="2">
        <v>0</v>
      </c>
      <c r="AJ15" s="7"/>
      <c r="AK15" s="3">
        <f>IF($B$4="quarter",SUM((AI15/36),(AJ15/900)),IF($B$4="semester",SUM((AI15/24),AJ15/900)))</f>
        <v>0</v>
      </c>
      <c r="AL15" s="159">
        <v>0</v>
      </c>
      <c r="AM15" s="157">
        <v>0</v>
      </c>
      <c r="AN15" s="2">
        <v>0</v>
      </c>
      <c r="AO15" s="7"/>
      <c r="AP15" s="3">
        <f>IF($B$4="quarter",SUM((AN15/36),(AO15/900)),IF($B$4="semester",SUM((AN15/24),AO15/900)))</f>
        <v>0</v>
      </c>
      <c r="AQ15" s="159">
        <v>0</v>
      </c>
      <c r="AR15" s="157"/>
      <c r="AS15" s="2"/>
      <c r="AT15" s="7"/>
      <c r="AU15" s="3">
        <f>IF($B$4="quarter",SUM((AS15/36),(AT15/900)),IF($B$4="semester",SUM((AS15/24),AT15/900)))</f>
        <v>0</v>
      </c>
      <c r="AV15" s="159"/>
      <c r="AW15" s="157">
        <v>0</v>
      </c>
      <c r="AX15" s="2">
        <v>0</v>
      </c>
      <c r="AY15" s="7"/>
      <c r="AZ15" s="3">
        <f>IF($B$4="quarter",SUM((AX15/36),(AY15/900)),IF($B$4="semester",SUM((AX15/24),AY15/900)))</f>
        <v>0</v>
      </c>
      <c r="BA15" s="159">
        <v>0</v>
      </c>
      <c r="BB15" s="32">
        <v>0</v>
      </c>
      <c r="BC15" s="1">
        <v>0</v>
      </c>
      <c r="BD15" s="7"/>
      <c r="BE15" s="3">
        <f>IF($B$4="quarter",SUM((BC15/36),(BD15/900)),IF($B$4="semester",SUM((BC15/24),BD15/900)))</f>
        <v>0</v>
      </c>
      <c r="BF15" s="40">
        <v>0</v>
      </c>
    </row>
    <row r="16" spans="2:58">
      <c r="B16" s="428"/>
      <c r="C16" s="39" t="s">
        <v>9</v>
      </c>
      <c r="D16" s="34">
        <f t="shared" ref="D16:AI16" si="4">SUM(D14:D15)</f>
        <v>0</v>
      </c>
      <c r="E16" s="3">
        <f t="shared" si="4"/>
        <v>0</v>
      </c>
      <c r="F16" s="7">
        <f t="shared" si="4"/>
        <v>0</v>
      </c>
      <c r="G16" s="3">
        <f t="shared" si="4"/>
        <v>0</v>
      </c>
      <c r="H16" s="105">
        <f t="shared" si="4"/>
        <v>0</v>
      </c>
      <c r="I16" s="34">
        <f t="shared" si="4"/>
        <v>0</v>
      </c>
      <c r="J16" s="3">
        <f t="shared" si="4"/>
        <v>0</v>
      </c>
      <c r="K16" s="7">
        <f t="shared" si="4"/>
        <v>0</v>
      </c>
      <c r="L16" s="3">
        <f t="shared" si="4"/>
        <v>0</v>
      </c>
      <c r="M16" s="105">
        <f t="shared" si="4"/>
        <v>0</v>
      </c>
      <c r="N16" s="34">
        <f t="shared" si="4"/>
        <v>0</v>
      </c>
      <c r="O16" s="3">
        <f t="shared" si="4"/>
        <v>0</v>
      </c>
      <c r="P16" s="7">
        <f t="shared" si="4"/>
        <v>0</v>
      </c>
      <c r="Q16" s="3">
        <f t="shared" si="4"/>
        <v>0</v>
      </c>
      <c r="R16" s="105">
        <f t="shared" si="4"/>
        <v>0</v>
      </c>
      <c r="S16" s="34">
        <f t="shared" si="4"/>
        <v>0</v>
      </c>
      <c r="T16" s="3">
        <f t="shared" si="4"/>
        <v>0</v>
      </c>
      <c r="U16" s="7">
        <f t="shared" si="4"/>
        <v>0</v>
      </c>
      <c r="V16" s="3">
        <f t="shared" si="4"/>
        <v>0</v>
      </c>
      <c r="W16" s="105">
        <f t="shared" si="4"/>
        <v>0</v>
      </c>
      <c r="X16" s="34">
        <f t="shared" si="4"/>
        <v>0</v>
      </c>
      <c r="Y16" s="3">
        <f t="shared" si="4"/>
        <v>0</v>
      </c>
      <c r="Z16" s="7">
        <f t="shared" si="4"/>
        <v>0</v>
      </c>
      <c r="AA16" s="3">
        <f t="shared" si="4"/>
        <v>0</v>
      </c>
      <c r="AB16" s="105">
        <f t="shared" si="4"/>
        <v>0</v>
      </c>
      <c r="AC16" s="34">
        <f t="shared" si="4"/>
        <v>0</v>
      </c>
      <c r="AD16" s="3">
        <f t="shared" si="4"/>
        <v>0</v>
      </c>
      <c r="AE16" s="7">
        <f t="shared" si="4"/>
        <v>0</v>
      </c>
      <c r="AF16" s="3">
        <f t="shared" si="4"/>
        <v>0</v>
      </c>
      <c r="AG16" s="105">
        <f t="shared" si="4"/>
        <v>0</v>
      </c>
      <c r="AH16" s="34">
        <f t="shared" si="4"/>
        <v>0</v>
      </c>
      <c r="AI16" s="3">
        <f t="shared" si="4"/>
        <v>0</v>
      </c>
      <c r="AJ16" s="7">
        <f t="shared" ref="AJ16:BF16" si="5">SUM(AJ14:AJ15)</f>
        <v>0</v>
      </c>
      <c r="AK16" s="3">
        <f t="shared" si="5"/>
        <v>0</v>
      </c>
      <c r="AL16" s="105">
        <f t="shared" si="5"/>
        <v>0</v>
      </c>
      <c r="AM16" s="34">
        <f t="shared" si="5"/>
        <v>0</v>
      </c>
      <c r="AN16" s="3">
        <f t="shared" si="5"/>
        <v>0</v>
      </c>
      <c r="AO16" s="7">
        <f t="shared" si="5"/>
        <v>0</v>
      </c>
      <c r="AP16" s="3">
        <f t="shared" si="5"/>
        <v>0</v>
      </c>
      <c r="AQ16" s="105">
        <f t="shared" si="5"/>
        <v>0</v>
      </c>
      <c r="AR16" s="34">
        <f t="shared" si="5"/>
        <v>0</v>
      </c>
      <c r="AS16" s="3">
        <f t="shared" si="5"/>
        <v>0</v>
      </c>
      <c r="AT16" s="7">
        <f t="shared" si="5"/>
        <v>0</v>
      </c>
      <c r="AU16" s="3">
        <f t="shared" si="5"/>
        <v>0</v>
      </c>
      <c r="AV16" s="105">
        <f t="shared" si="5"/>
        <v>0</v>
      </c>
      <c r="AW16" s="34">
        <f t="shared" si="5"/>
        <v>0</v>
      </c>
      <c r="AX16" s="3">
        <f t="shared" si="5"/>
        <v>0</v>
      </c>
      <c r="AY16" s="7">
        <f t="shared" si="5"/>
        <v>0</v>
      </c>
      <c r="AZ16" s="3">
        <f t="shared" si="5"/>
        <v>0</v>
      </c>
      <c r="BA16" s="105">
        <f t="shared" si="5"/>
        <v>0</v>
      </c>
      <c r="BB16" s="34">
        <f t="shared" si="5"/>
        <v>0</v>
      </c>
      <c r="BC16" s="3">
        <f t="shared" si="5"/>
        <v>0</v>
      </c>
      <c r="BD16" s="7">
        <f t="shared" si="5"/>
        <v>0</v>
      </c>
      <c r="BE16" s="3">
        <f t="shared" si="5"/>
        <v>0</v>
      </c>
      <c r="BF16" s="105">
        <f t="shared" si="5"/>
        <v>0</v>
      </c>
    </row>
    <row r="17" spans="2:58">
      <c r="B17" s="11"/>
      <c r="C17" s="12"/>
      <c r="D17" s="33"/>
      <c r="E17" s="6"/>
      <c r="F17" s="6"/>
      <c r="G17" s="6"/>
      <c r="H17" s="41"/>
      <c r="I17" s="33"/>
      <c r="J17" s="6"/>
      <c r="K17" s="6"/>
      <c r="L17" s="6"/>
      <c r="M17" s="41"/>
      <c r="N17" s="33"/>
      <c r="O17" s="6"/>
      <c r="P17" s="6"/>
      <c r="Q17" s="6"/>
      <c r="R17" s="41"/>
      <c r="S17" s="33"/>
      <c r="T17" s="6"/>
      <c r="U17" s="6"/>
      <c r="V17" s="6"/>
      <c r="W17" s="41"/>
      <c r="X17" s="33"/>
      <c r="Y17" s="6"/>
      <c r="Z17" s="6"/>
      <c r="AA17" s="6"/>
      <c r="AB17" s="41"/>
      <c r="AC17" s="33"/>
      <c r="AD17" s="6"/>
      <c r="AE17" s="6"/>
      <c r="AF17" s="228"/>
      <c r="AG17" s="41"/>
      <c r="AH17" s="229"/>
      <c r="AI17" s="228"/>
      <c r="AJ17" s="228"/>
      <c r="AK17" s="228"/>
      <c r="AL17" s="41"/>
      <c r="AM17" s="229"/>
      <c r="AN17" s="228"/>
      <c r="AO17" s="228"/>
      <c r="AP17" s="228"/>
      <c r="AQ17" s="41"/>
      <c r="AR17" s="33"/>
      <c r="AS17" s="6"/>
      <c r="AT17" s="6"/>
      <c r="AU17" s="6"/>
      <c r="AV17" s="41"/>
      <c r="AW17" s="33"/>
      <c r="AX17" s="6"/>
      <c r="AY17" s="6"/>
      <c r="AZ17" s="6"/>
      <c r="BA17" s="41"/>
      <c r="BB17" s="33"/>
      <c r="BC17" s="6"/>
      <c r="BD17" s="6"/>
      <c r="BE17" s="6"/>
      <c r="BF17" s="41"/>
    </row>
    <row r="18" spans="2:58">
      <c r="B18" s="426" t="s">
        <v>12</v>
      </c>
      <c r="C18" s="38" t="s">
        <v>7</v>
      </c>
      <c r="D18" s="34">
        <f>D14+D10+D6</f>
        <v>2499</v>
      </c>
      <c r="E18" s="3">
        <f t="shared" ref="E18:U18" si="6">E14+E10+E6</f>
        <v>43083.5</v>
      </c>
      <c r="F18" s="7">
        <f t="shared" si="6"/>
        <v>0</v>
      </c>
      <c r="G18" s="3">
        <f t="shared" si="6"/>
        <v>1476.15</v>
      </c>
      <c r="H18" s="159">
        <f>H6+H10+H14</f>
        <v>6707200</v>
      </c>
      <c r="I18" s="34">
        <f t="shared" si="6"/>
        <v>2369</v>
      </c>
      <c r="J18" s="3">
        <f t="shared" si="6"/>
        <v>41017</v>
      </c>
      <c r="K18" s="7">
        <f t="shared" si="6"/>
        <v>0</v>
      </c>
      <c r="L18" s="3">
        <f>L14+L10+L6</f>
        <v>1406.8083333333334</v>
      </c>
      <c r="M18" s="159">
        <f>M6+M10+M14</f>
        <v>7101317</v>
      </c>
      <c r="N18" s="34">
        <f t="shared" si="6"/>
        <v>2231</v>
      </c>
      <c r="O18" s="3">
        <f t="shared" si="6"/>
        <v>38019</v>
      </c>
      <c r="P18" s="294">
        <f t="shared" si="6"/>
        <v>0</v>
      </c>
      <c r="Q18" s="3">
        <f>Q14+Q10+Q6</f>
        <v>1301.8499999999999</v>
      </c>
      <c r="R18" s="231">
        <f>R6+R10+R14</f>
        <v>6456458</v>
      </c>
      <c r="S18" s="34">
        <f t="shared" si="6"/>
        <v>2157</v>
      </c>
      <c r="T18" s="3">
        <f t="shared" si="6"/>
        <v>35880</v>
      </c>
      <c r="U18" s="7">
        <f t="shared" si="6"/>
        <v>0</v>
      </c>
      <c r="V18" s="3">
        <f>V14+V10+V6</f>
        <v>1234.45</v>
      </c>
      <c r="W18" s="231">
        <f>W6+W10+W14</f>
        <v>6700935</v>
      </c>
      <c r="X18" s="34">
        <f t="shared" ref="X18:AA19" si="7">X14+X10+X6</f>
        <v>2037</v>
      </c>
      <c r="Y18" s="3">
        <f t="shared" si="7"/>
        <v>34523</v>
      </c>
      <c r="Z18" s="7">
        <f t="shared" si="7"/>
        <v>0</v>
      </c>
      <c r="AA18" s="3">
        <f t="shared" si="7"/>
        <v>1187.9333333333334</v>
      </c>
      <c r="AB18" s="231">
        <f>AB6+AB10+AB14</f>
        <v>6249902</v>
      </c>
      <c r="AC18" s="34">
        <f t="shared" ref="AC18:AF19" si="8">AC14+AC10+AC6</f>
        <v>1994</v>
      </c>
      <c r="AD18" s="3">
        <f t="shared" si="8"/>
        <v>33232</v>
      </c>
      <c r="AE18" s="7">
        <f t="shared" si="8"/>
        <v>0</v>
      </c>
      <c r="AF18" s="3">
        <f t="shared" si="8"/>
        <v>1142.9666666666667</v>
      </c>
      <c r="AG18" s="231">
        <f>AG6+AG10+AG14</f>
        <v>6754419</v>
      </c>
      <c r="AH18" s="34">
        <f t="shared" ref="AH18:AP18" si="9">AH14+AH10+AH6</f>
        <v>1766</v>
      </c>
      <c r="AI18" s="3">
        <f t="shared" si="9"/>
        <v>30059</v>
      </c>
      <c r="AJ18" s="7">
        <f t="shared" si="9"/>
        <v>0</v>
      </c>
      <c r="AK18" s="3">
        <f t="shared" si="9"/>
        <v>1033.75</v>
      </c>
      <c r="AL18" s="231">
        <f>AL6+AL10+AL14</f>
        <v>6390491</v>
      </c>
      <c r="AM18" s="34">
        <f t="shared" si="9"/>
        <v>1812</v>
      </c>
      <c r="AN18" s="3">
        <f t="shared" si="9"/>
        <v>30423</v>
      </c>
      <c r="AO18" s="7">
        <f t="shared" si="9"/>
        <v>0</v>
      </c>
      <c r="AP18" s="3">
        <f t="shared" si="9"/>
        <v>1048.4083333333333</v>
      </c>
      <c r="AQ18" s="231">
        <f>AQ6+AQ10+AQ14</f>
        <v>6521480</v>
      </c>
      <c r="AR18" s="34">
        <f t="shared" ref="AR18:BE18" si="10">AR14+AR10+AR6</f>
        <v>1671</v>
      </c>
      <c r="AS18" s="3">
        <f t="shared" si="10"/>
        <v>29559</v>
      </c>
      <c r="AT18" s="7">
        <f t="shared" si="10"/>
        <v>0</v>
      </c>
      <c r="AU18" s="3">
        <f t="shared" si="10"/>
        <v>1018.8583333333333</v>
      </c>
      <c r="AV18" s="231">
        <f>AV6+AV10+AV14</f>
        <v>6460455</v>
      </c>
      <c r="AW18" s="34">
        <f t="shared" si="10"/>
        <v>1644</v>
      </c>
      <c r="AX18" s="3">
        <f t="shared" si="10"/>
        <v>30002</v>
      </c>
      <c r="AY18" s="7">
        <f t="shared" si="10"/>
        <v>0</v>
      </c>
      <c r="AZ18" s="3">
        <f t="shared" si="10"/>
        <v>1034.45</v>
      </c>
      <c r="BA18" s="231">
        <f>BA6+BA10+BA14</f>
        <v>6554755</v>
      </c>
      <c r="BB18" s="34">
        <f t="shared" si="10"/>
        <v>1628</v>
      </c>
      <c r="BC18" s="3">
        <f t="shared" si="10"/>
        <v>29723</v>
      </c>
      <c r="BD18" s="7">
        <f t="shared" si="10"/>
        <v>0</v>
      </c>
      <c r="BE18" s="3">
        <f t="shared" si="10"/>
        <v>1024.0666666666666</v>
      </c>
      <c r="BF18" s="231">
        <f>BF6+BF10+BF14</f>
        <v>6430385</v>
      </c>
    </row>
    <row r="19" spans="2:58">
      <c r="B19" s="427"/>
      <c r="C19" s="38" t="s">
        <v>8</v>
      </c>
      <c r="D19" s="34">
        <f>D15+D11+D7</f>
        <v>1383</v>
      </c>
      <c r="E19" s="3">
        <f t="shared" ref="E19:U19" si="11">E15+E11+E7</f>
        <v>25879</v>
      </c>
      <c r="F19" s="7">
        <f t="shared" si="11"/>
        <v>0</v>
      </c>
      <c r="G19" s="3">
        <f t="shared" si="11"/>
        <v>904.14166666666665</v>
      </c>
      <c r="H19" s="159">
        <f>H7+H11+H15</f>
        <v>4769498</v>
      </c>
      <c r="I19" s="34">
        <f t="shared" si="11"/>
        <v>1481</v>
      </c>
      <c r="J19" s="3">
        <f t="shared" si="11"/>
        <v>28594</v>
      </c>
      <c r="K19" s="7">
        <f t="shared" si="11"/>
        <v>0</v>
      </c>
      <c r="L19" s="3">
        <f>L15+L11+L7</f>
        <v>993.7833333333333</v>
      </c>
      <c r="M19" s="159">
        <f>M7+M11+M15</f>
        <v>4136529</v>
      </c>
      <c r="N19" s="34">
        <f t="shared" si="11"/>
        <v>1625</v>
      </c>
      <c r="O19" s="3">
        <f t="shared" si="11"/>
        <v>30596</v>
      </c>
      <c r="P19" s="294">
        <f t="shared" si="11"/>
        <v>0</v>
      </c>
      <c r="Q19" s="3">
        <f>Q15+Q11+Q7</f>
        <v>1059.375</v>
      </c>
      <c r="R19" s="231">
        <f>R7+R11+R15</f>
        <v>4678063</v>
      </c>
      <c r="S19" s="34">
        <f t="shared" si="11"/>
        <v>1718</v>
      </c>
      <c r="T19" s="3">
        <f t="shared" si="11"/>
        <v>32100</v>
      </c>
      <c r="U19" s="7">
        <f t="shared" si="11"/>
        <v>0</v>
      </c>
      <c r="V19" s="3">
        <f>V15+V11+V7</f>
        <v>1113.3416666666667</v>
      </c>
      <c r="W19" s="231">
        <f>W7+W11+W15</f>
        <v>5548535</v>
      </c>
      <c r="X19" s="34">
        <f t="shared" si="7"/>
        <v>1630</v>
      </c>
      <c r="Y19" s="3">
        <f t="shared" si="7"/>
        <v>31329</v>
      </c>
      <c r="Z19" s="7">
        <f t="shared" si="7"/>
        <v>0</v>
      </c>
      <c r="AA19" s="3">
        <f t="shared" si="7"/>
        <v>1088.075</v>
      </c>
      <c r="AB19" s="231">
        <f>AB7+AB11+AB15</f>
        <v>6011926</v>
      </c>
      <c r="AC19" s="34">
        <f t="shared" si="8"/>
        <v>1503</v>
      </c>
      <c r="AD19" s="3">
        <f t="shared" si="8"/>
        <v>28511</v>
      </c>
      <c r="AE19" s="7">
        <f t="shared" si="8"/>
        <v>0</v>
      </c>
      <c r="AF19" s="3">
        <f t="shared" si="8"/>
        <v>986.66666666666663</v>
      </c>
      <c r="AG19" s="231">
        <f>AG7+AG11+AG15</f>
        <v>5557163</v>
      </c>
      <c r="AH19" s="34">
        <f t="shared" ref="AH19:AP19" si="12">AH15+AH11+AH7</f>
        <v>1386</v>
      </c>
      <c r="AI19" s="3">
        <f t="shared" si="12"/>
        <v>27166</v>
      </c>
      <c r="AJ19" s="7">
        <f t="shared" si="12"/>
        <v>0</v>
      </c>
      <c r="AK19" s="3">
        <f t="shared" si="12"/>
        <v>940.29166666666663</v>
      </c>
      <c r="AL19" s="231">
        <f>AL7+AL11+AL15</f>
        <v>5488500</v>
      </c>
      <c r="AM19" s="34">
        <f t="shared" si="12"/>
        <v>1290</v>
      </c>
      <c r="AN19" s="3">
        <f t="shared" si="12"/>
        <v>25668</v>
      </c>
      <c r="AO19" s="7">
        <f t="shared" si="12"/>
        <v>0</v>
      </c>
      <c r="AP19" s="3">
        <f t="shared" si="12"/>
        <v>889.9083333333333</v>
      </c>
      <c r="AQ19" s="231">
        <f>AQ7+AQ11+AQ15</f>
        <v>5419857</v>
      </c>
      <c r="AR19" s="34">
        <f t="shared" ref="AR19:BE19" si="13">AR15+AR11+AR7</f>
        <v>1228</v>
      </c>
      <c r="AS19" s="3">
        <f t="shared" si="13"/>
        <v>25336</v>
      </c>
      <c r="AT19" s="7">
        <f t="shared" si="13"/>
        <v>0</v>
      </c>
      <c r="AU19" s="3">
        <f t="shared" si="13"/>
        <v>876.2</v>
      </c>
      <c r="AV19" s="231">
        <f>AV7+AV11+AV15</f>
        <v>5439817</v>
      </c>
      <c r="AW19" s="34">
        <f t="shared" si="13"/>
        <v>1185</v>
      </c>
      <c r="AX19" s="3">
        <f t="shared" si="13"/>
        <v>25241</v>
      </c>
      <c r="AY19" s="7">
        <f t="shared" si="13"/>
        <v>0</v>
      </c>
      <c r="AZ19" s="3">
        <f t="shared" si="13"/>
        <v>871.4666666666667</v>
      </c>
      <c r="BA19" s="231">
        <f>BA7+BA11+BA15</f>
        <v>5526955</v>
      </c>
      <c r="BB19" s="34">
        <f t="shared" si="13"/>
        <v>1185</v>
      </c>
      <c r="BC19" s="3">
        <f t="shared" si="13"/>
        <v>26008</v>
      </c>
      <c r="BD19" s="7">
        <f t="shared" si="13"/>
        <v>0</v>
      </c>
      <c r="BE19" s="3">
        <f t="shared" si="13"/>
        <v>897.5</v>
      </c>
      <c r="BF19" s="231">
        <f>BF7+BF11+BF15</f>
        <v>5640407</v>
      </c>
    </row>
    <row r="20" spans="2:58">
      <c r="B20" s="428"/>
      <c r="C20" s="39" t="s">
        <v>9</v>
      </c>
      <c r="D20" s="34">
        <f>SUM(D18:D19)</f>
        <v>3882</v>
      </c>
      <c r="E20" s="3">
        <f t="shared" ref="E20:U20" si="14">SUM(E18:E19)</f>
        <v>68962.5</v>
      </c>
      <c r="F20" s="7">
        <f t="shared" si="14"/>
        <v>0</v>
      </c>
      <c r="G20" s="3">
        <f t="shared" si="14"/>
        <v>2380.291666666667</v>
      </c>
      <c r="H20" s="105">
        <f>SUM(H18:H19)</f>
        <v>11476698</v>
      </c>
      <c r="I20" s="34">
        <f t="shared" si="14"/>
        <v>3850</v>
      </c>
      <c r="J20" s="3">
        <f t="shared" si="14"/>
        <v>69611</v>
      </c>
      <c r="K20" s="7">
        <f t="shared" si="14"/>
        <v>0</v>
      </c>
      <c r="L20" s="3">
        <f>SUM(L18:L19)</f>
        <v>2400.5916666666667</v>
      </c>
      <c r="M20" s="105">
        <f>SUM(M18:M19)</f>
        <v>11237846</v>
      </c>
      <c r="N20" s="34">
        <f t="shared" si="14"/>
        <v>3856</v>
      </c>
      <c r="O20" s="3">
        <f t="shared" si="14"/>
        <v>68615</v>
      </c>
      <c r="P20" s="294">
        <f t="shared" si="14"/>
        <v>0</v>
      </c>
      <c r="Q20" s="3">
        <f>SUM(Q18:Q19)</f>
        <v>2361.2249999999999</v>
      </c>
      <c r="R20" s="105">
        <f>SUM(R18:R19)</f>
        <v>11134521</v>
      </c>
      <c r="S20" s="34">
        <f t="shared" si="14"/>
        <v>3875</v>
      </c>
      <c r="T20" s="3">
        <f t="shared" si="14"/>
        <v>67980</v>
      </c>
      <c r="U20" s="7">
        <f t="shared" si="14"/>
        <v>0</v>
      </c>
      <c r="V20" s="3">
        <f t="shared" ref="V20:BF20" si="15">SUM(V18:V19)</f>
        <v>2347.791666666667</v>
      </c>
      <c r="W20" s="105">
        <f t="shared" si="15"/>
        <v>12249470</v>
      </c>
      <c r="X20" s="34">
        <f t="shared" si="15"/>
        <v>3667</v>
      </c>
      <c r="Y20" s="3">
        <f t="shared" si="15"/>
        <v>65852</v>
      </c>
      <c r="Z20" s="7">
        <f t="shared" si="15"/>
        <v>0</v>
      </c>
      <c r="AA20" s="3">
        <f t="shared" si="15"/>
        <v>2276.0083333333332</v>
      </c>
      <c r="AB20" s="105">
        <f t="shared" si="15"/>
        <v>12261828</v>
      </c>
      <c r="AC20" s="34">
        <f t="shared" si="15"/>
        <v>3497</v>
      </c>
      <c r="AD20" s="3">
        <f t="shared" si="15"/>
        <v>61743</v>
      </c>
      <c r="AE20" s="7">
        <f t="shared" si="15"/>
        <v>0</v>
      </c>
      <c r="AF20" s="3">
        <f t="shared" si="15"/>
        <v>2129.6333333333332</v>
      </c>
      <c r="AG20" s="105">
        <f t="shared" si="15"/>
        <v>12311582</v>
      </c>
      <c r="AH20" s="34">
        <f t="shared" si="15"/>
        <v>3152</v>
      </c>
      <c r="AI20" s="3">
        <f t="shared" si="15"/>
        <v>57225</v>
      </c>
      <c r="AJ20" s="7">
        <f t="shared" si="15"/>
        <v>0</v>
      </c>
      <c r="AK20" s="3">
        <f t="shared" si="15"/>
        <v>1974.0416666666665</v>
      </c>
      <c r="AL20" s="105">
        <f t="shared" si="15"/>
        <v>11878991</v>
      </c>
      <c r="AM20" s="34">
        <f t="shared" si="15"/>
        <v>3102</v>
      </c>
      <c r="AN20" s="3">
        <f t="shared" si="15"/>
        <v>56091</v>
      </c>
      <c r="AO20" s="7">
        <f t="shared" si="15"/>
        <v>0</v>
      </c>
      <c r="AP20" s="3">
        <f t="shared" si="15"/>
        <v>1938.3166666666666</v>
      </c>
      <c r="AQ20" s="105">
        <f t="shared" si="15"/>
        <v>11941337</v>
      </c>
      <c r="AR20" s="34">
        <f t="shared" si="15"/>
        <v>2899</v>
      </c>
      <c r="AS20" s="3">
        <f t="shared" si="15"/>
        <v>54895</v>
      </c>
      <c r="AT20" s="7">
        <f t="shared" si="15"/>
        <v>0</v>
      </c>
      <c r="AU20" s="3">
        <f t="shared" si="15"/>
        <v>1895.0583333333334</v>
      </c>
      <c r="AV20" s="105">
        <f t="shared" si="15"/>
        <v>11900272</v>
      </c>
      <c r="AW20" s="34">
        <f t="shared" si="15"/>
        <v>2829</v>
      </c>
      <c r="AX20" s="3">
        <f t="shared" si="15"/>
        <v>55243</v>
      </c>
      <c r="AY20" s="7">
        <f t="shared" si="15"/>
        <v>0</v>
      </c>
      <c r="AZ20" s="3">
        <f t="shared" si="15"/>
        <v>1905.9166666666667</v>
      </c>
      <c r="BA20" s="105">
        <f t="shared" si="15"/>
        <v>12081710</v>
      </c>
      <c r="BB20" s="34">
        <f t="shared" si="15"/>
        <v>2813</v>
      </c>
      <c r="BC20" s="3">
        <f t="shared" si="15"/>
        <v>55731</v>
      </c>
      <c r="BD20" s="7">
        <f t="shared" si="15"/>
        <v>0</v>
      </c>
      <c r="BE20" s="3">
        <f t="shared" si="15"/>
        <v>1921.5666666666666</v>
      </c>
      <c r="BF20" s="105">
        <f t="shared" si="15"/>
        <v>12070792</v>
      </c>
    </row>
    <row r="21" spans="2:58" ht="24.75" customHeight="1">
      <c r="B21" s="15" t="s">
        <v>16</v>
      </c>
      <c r="D21" s="33"/>
      <c r="E21" s="6"/>
      <c r="F21" s="6"/>
      <c r="G21" s="6"/>
      <c r="H21" s="47"/>
      <c r="I21" s="5"/>
      <c r="J21" s="6"/>
      <c r="K21" s="6"/>
      <c r="L21" s="6"/>
      <c r="M21" s="42"/>
      <c r="N21" s="33"/>
      <c r="O21" s="6"/>
      <c r="P21" s="6"/>
      <c r="Q21" s="6"/>
      <c r="R21" s="42"/>
      <c r="S21" s="33"/>
      <c r="T21" s="6"/>
      <c r="U21" s="6"/>
      <c r="V21" s="6"/>
      <c r="W21" s="42"/>
      <c r="X21" s="33"/>
      <c r="Y21" s="6"/>
      <c r="Z21" s="6"/>
      <c r="AA21" s="6"/>
      <c r="AB21" s="42"/>
      <c r="AC21" s="33"/>
      <c r="AD21" s="6"/>
      <c r="AE21" s="6"/>
      <c r="AF21" s="6"/>
      <c r="AG21" s="42"/>
      <c r="AH21" s="33"/>
      <c r="AI21" s="6"/>
      <c r="AJ21" s="6"/>
      <c r="AK21" s="6"/>
      <c r="AL21" s="42"/>
      <c r="AM21" s="33"/>
      <c r="AN21" s="6"/>
      <c r="AO21" s="6"/>
      <c r="AP21" s="6"/>
      <c r="AQ21" s="42"/>
      <c r="AR21" s="33"/>
      <c r="AS21" s="6"/>
      <c r="AT21" s="6"/>
      <c r="AU21" s="6"/>
      <c r="AV21" s="42"/>
      <c r="AW21" s="33"/>
      <c r="AX21" s="6"/>
      <c r="AY21" s="6"/>
      <c r="AZ21" s="6"/>
      <c r="BA21" s="42"/>
      <c r="BB21" s="33"/>
      <c r="BC21" s="6"/>
      <c r="BD21" s="6"/>
      <c r="BE21" s="6"/>
      <c r="BF21" s="42"/>
    </row>
    <row r="22" spans="2:58">
      <c r="B22" s="50" t="s">
        <v>185</v>
      </c>
      <c r="D22" s="33"/>
      <c r="E22" s="6"/>
      <c r="F22" s="6"/>
      <c r="G22" s="6"/>
      <c r="H22" s="158">
        <v>0</v>
      </c>
      <c r="I22" s="5"/>
      <c r="J22" s="6"/>
      <c r="K22" s="6"/>
      <c r="L22" s="6"/>
      <c r="M22" s="160">
        <v>0</v>
      </c>
      <c r="N22" s="33"/>
      <c r="O22" s="6"/>
      <c r="P22" s="6"/>
      <c r="Q22" s="6"/>
      <c r="R22" s="160">
        <v>0</v>
      </c>
      <c r="S22" s="33"/>
      <c r="T22" s="6"/>
      <c r="U22" s="6"/>
      <c r="V22" s="6"/>
      <c r="W22" s="160">
        <v>0</v>
      </c>
      <c r="X22" s="33"/>
      <c r="Y22" s="6"/>
      <c r="Z22" s="6"/>
      <c r="AA22" s="6"/>
      <c r="AB22" s="160">
        <v>0</v>
      </c>
      <c r="AC22" s="33"/>
      <c r="AD22" s="6"/>
      <c r="AE22" s="6"/>
      <c r="AF22" s="6"/>
      <c r="AG22" s="160">
        <v>0</v>
      </c>
      <c r="AH22" s="33"/>
      <c r="AI22" s="6"/>
      <c r="AJ22" s="6"/>
      <c r="AK22" s="6"/>
      <c r="AL22" s="160">
        <v>0</v>
      </c>
      <c r="AM22" s="33"/>
      <c r="AN22" s="6"/>
      <c r="AO22" s="6"/>
      <c r="AP22" s="6"/>
      <c r="AQ22" s="160"/>
      <c r="AR22" s="33"/>
      <c r="AS22" s="6"/>
      <c r="AT22" s="6"/>
      <c r="AU22" s="6"/>
      <c r="AV22" s="160"/>
      <c r="AW22" s="33"/>
      <c r="AX22" s="6"/>
      <c r="AY22" s="6"/>
      <c r="AZ22" s="6"/>
      <c r="BA22" s="160"/>
      <c r="BB22" s="33"/>
      <c r="BC22" s="6"/>
      <c r="BD22" s="6"/>
      <c r="BE22" s="6"/>
      <c r="BF22" s="43"/>
    </row>
    <row r="23" spans="2:58">
      <c r="B23" s="50" t="s">
        <v>186</v>
      </c>
      <c r="D23" s="33"/>
      <c r="E23" s="6"/>
      <c r="F23" s="6"/>
      <c r="G23" s="6"/>
      <c r="H23" s="158">
        <v>2562059</v>
      </c>
      <c r="I23" s="5"/>
      <c r="J23" s="6"/>
      <c r="K23" s="6"/>
      <c r="L23" s="6"/>
      <c r="M23" s="160">
        <v>2492000</v>
      </c>
      <c r="N23" s="33"/>
      <c r="O23" s="6"/>
      <c r="P23" s="6"/>
      <c r="Q23" s="6"/>
      <c r="R23" s="160">
        <v>2536380</v>
      </c>
      <c r="S23" s="33"/>
      <c r="T23" s="5"/>
      <c r="U23" s="5"/>
      <c r="V23" s="5"/>
      <c r="W23" s="160">
        <v>2784840</v>
      </c>
      <c r="X23" s="33"/>
      <c r="Y23" s="5"/>
      <c r="Z23" s="5"/>
      <c r="AA23" s="5"/>
      <c r="AB23" s="160">
        <v>2606750</v>
      </c>
      <c r="AC23" s="33"/>
      <c r="AD23" s="5"/>
      <c r="AE23" s="5"/>
      <c r="AF23" s="5"/>
      <c r="AG23" s="160">
        <v>2702645</v>
      </c>
      <c r="AH23" s="33"/>
      <c r="AI23" s="5"/>
      <c r="AJ23" s="5"/>
      <c r="AK23" s="5"/>
      <c r="AL23" s="160">
        <v>2640919</v>
      </c>
      <c r="AM23" s="33"/>
      <c r="AN23" s="5"/>
      <c r="AO23" s="5"/>
      <c r="AP23" s="5"/>
      <c r="AQ23" s="160">
        <v>2931043</v>
      </c>
      <c r="AR23" s="33"/>
      <c r="AS23" s="5"/>
      <c r="AT23" s="5"/>
      <c r="AU23" s="5"/>
      <c r="AV23" s="160">
        <v>2566274</v>
      </c>
      <c r="AW23" s="33"/>
      <c r="AX23" s="5"/>
      <c r="AY23" s="5"/>
      <c r="AZ23" s="5"/>
      <c r="BA23" s="160">
        <v>2583429</v>
      </c>
      <c r="BB23" s="33"/>
      <c r="BC23" s="5"/>
      <c r="BD23" s="5"/>
      <c r="BE23" s="5"/>
      <c r="BF23" s="43">
        <v>2688340</v>
      </c>
    </row>
    <row r="24" spans="2:58">
      <c r="B24" s="50" t="s">
        <v>17</v>
      </c>
      <c r="D24" s="33"/>
      <c r="E24" s="6"/>
      <c r="F24" s="6"/>
      <c r="G24" s="6"/>
      <c r="H24" s="44">
        <f>H20-H22-H23</f>
        <v>8914639</v>
      </c>
      <c r="I24" s="5"/>
      <c r="J24" s="6"/>
      <c r="K24" s="6"/>
      <c r="L24" s="6"/>
      <c r="M24" s="44">
        <f>M20-M22-M23</f>
        <v>8745846</v>
      </c>
      <c r="N24" s="33"/>
      <c r="O24" s="6"/>
      <c r="P24" s="6"/>
      <c r="Q24" s="6"/>
      <c r="R24" s="44">
        <f>R20-R22-R23</f>
        <v>8598141</v>
      </c>
      <c r="S24" s="33"/>
      <c r="T24" s="6"/>
      <c r="U24" s="6"/>
      <c r="V24" s="6"/>
      <c r="W24" s="44">
        <f>W20-W22-W23</f>
        <v>9464630</v>
      </c>
      <c r="X24" s="33"/>
      <c r="Y24" s="6"/>
      <c r="Z24" s="6"/>
      <c r="AA24" s="6"/>
      <c r="AB24" s="44">
        <f>AB20-AB22-AB23</f>
        <v>9655078</v>
      </c>
      <c r="AC24" s="33"/>
      <c r="AD24" s="6"/>
      <c r="AE24" s="6"/>
      <c r="AF24" s="6"/>
      <c r="AG24" s="44">
        <f>AG20-AG22-AG23</f>
        <v>9608937</v>
      </c>
      <c r="AH24" s="33"/>
      <c r="AI24" s="6"/>
      <c r="AJ24" s="6"/>
      <c r="AK24" s="6"/>
      <c r="AL24" s="44">
        <f>AL20-AL22-AL23</f>
        <v>9238072</v>
      </c>
      <c r="AM24" s="33"/>
      <c r="AN24" s="6"/>
      <c r="AO24" s="6"/>
      <c r="AP24" s="6"/>
      <c r="AQ24" s="44">
        <f>AQ20-AQ22-AQ23</f>
        <v>9010294</v>
      </c>
      <c r="AR24" s="33"/>
      <c r="AS24" s="6"/>
      <c r="AT24" s="6"/>
      <c r="AU24" s="6"/>
      <c r="AV24" s="44">
        <f>AV20-AV22-AV23</f>
        <v>9333998</v>
      </c>
      <c r="AW24" s="33"/>
      <c r="AX24" s="6"/>
      <c r="AY24" s="6"/>
      <c r="AZ24" s="6"/>
      <c r="BA24" s="44">
        <f>BA20-BA22-BA23</f>
        <v>9498281</v>
      </c>
      <c r="BB24" s="33"/>
      <c r="BC24" s="6"/>
      <c r="BD24" s="6"/>
      <c r="BE24" s="6"/>
      <c r="BF24" s="44">
        <f>BF20-BF22-BF23</f>
        <v>9382452</v>
      </c>
    </row>
    <row r="25" spans="2:58">
      <c r="B25" s="50"/>
      <c r="D25" s="33"/>
      <c r="E25" s="6"/>
      <c r="F25" s="6"/>
      <c r="G25" s="6"/>
      <c r="H25" s="47"/>
      <c r="I25" s="5"/>
      <c r="J25" s="6"/>
      <c r="K25" s="6"/>
      <c r="L25" s="6"/>
      <c r="M25" s="42"/>
      <c r="N25" s="33"/>
      <c r="O25" s="6"/>
      <c r="P25" s="6"/>
      <c r="Q25" s="6"/>
      <c r="R25" s="42"/>
      <c r="S25" s="33"/>
      <c r="T25" s="6"/>
      <c r="U25" s="6"/>
      <c r="V25" s="6"/>
      <c r="W25" s="42"/>
      <c r="X25" s="33"/>
      <c r="Y25" s="6"/>
      <c r="Z25" s="6"/>
      <c r="AA25" s="6"/>
      <c r="AB25" s="42"/>
      <c r="AC25" s="33"/>
      <c r="AD25" s="6"/>
      <c r="AE25" s="6"/>
      <c r="AF25" s="6"/>
      <c r="AG25" s="42"/>
      <c r="AH25" s="33"/>
      <c r="AI25" s="6"/>
      <c r="AJ25" s="6"/>
      <c r="AK25" s="6"/>
      <c r="AL25" s="42"/>
      <c r="AM25" s="33"/>
      <c r="AN25" s="6"/>
      <c r="AO25" s="6"/>
      <c r="AP25" s="6"/>
      <c r="AQ25" s="42"/>
      <c r="AR25" s="33"/>
      <c r="AS25" s="6"/>
      <c r="AT25" s="6"/>
      <c r="AU25" s="6"/>
      <c r="AV25" s="42"/>
      <c r="AW25" s="33"/>
      <c r="AX25" s="6"/>
      <c r="AY25" s="6"/>
      <c r="AZ25" s="6"/>
      <c r="BA25" s="42"/>
      <c r="BB25" s="33"/>
      <c r="BC25" s="6"/>
      <c r="BD25" s="6"/>
      <c r="BE25" s="6"/>
      <c r="BF25" s="42"/>
    </row>
    <row r="26" spans="2:58" ht="11.25" customHeight="1">
      <c r="B26" s="52"/>
      <c r="C26" s="52"/>
      <c r="D26" s="51"/>
      <c r="E26" s="52"/>
      <c r="F26" s="52"/>
      <c r="G26" s="52"/>
      <c r="H26" s="55"/>
      <c r="I26" s="54"/>
      <c r="J26" s="52"/>
      <c r="K26" s="52"/>
      <c r="L26" s="52"/>
      <c r="M26" s="53"/>
      <c r="N26" s="51"/>
      <c r="O26" s="52"/>
      <c r="P26" s="52"/>
      <c r="Q26" s="52"/>
      <c r="R26" s="53"/>
      <c r="S26" s="51"/>
      <c r="T26" s="52"/>
      <c r="U26" s="52"/>
      <c r="V26" s="52"/>
      <c r="W26" s="53"/>
      <c r="X26" s="51"/>
      <c r="Y26" s="52"/>
      <c r="Z26" s="52"/>
      <c r="AA26" s="52"/>
      <c r="AB26" s="53"/>
      <c r="AC26" s="51"/>
      <c r="AD26" s="52"/>
      <c r="AE26" s="52"/>
      <c r="AF26" s="52"/>
      <c r="AG26" s="53"/>
      <c r="AH26" s="51"/>
      <c r="AI26" s="52"/>
      <c r="AJ26" s="52"/>
      <c r="AK26" s="52"/>
      <c r="AL26" s="53"/>
      <c r="AM26" s="51"/>
      <c r="AN26" s="52"/>
      <c r="AO26" s="52"/>
      <c r="AP26" s="52"/>
      <c r="AQ26" s="53"/>
      <c r="AR26" s="51"/>
      <c r="AS26" s="52"/>
      <c r="AT26" s="52"/>
      <c r="AU26" s="52"/>
      <c r="AV26" s="53"/>
      <c r="AW26" s="51"/>
      <c r="AX26" s="52"/>
      <c r="AY26" s="52"/>
      <c r="AZ26" s="52"/>
      <c r="BA26" s="53"/>
      <c r="BB26" s="51"/>
      <c r="BC26" s="52"/>
      <c r="BD26" s="52"/>
      <c r="BE26" s="52"/>
      <c r="BF26" s="53"/>
    </row>
    <row r="27" spans="2:58" ht="51" customHeight="1">
      <c r="B27" s="431" t="s">
        <v>123</v>
      </c>
      <c r="C27" s="431"/>
      <c r="D27" s="35"/>
      <c r="I27" s="56"/>
      <c r="M27" s="45"/>
      <c r="N27" s="35"/>
      <c r="R27" s="45"/>
      <c r="S27" s="35"/>
      <c r="W27" s="45"/>
      <c r="X27" s="35"/>
      <c r="AB27" s="45"/>
      <c r="AC27" s="35"/>
      <c r="AG27" s="45"/>
      <c r="AH27" s="35"/>
      <c r="AL27" s="45"/>
      <c r="AM27" s="35"/>
      <c r="AQ27" s="45"/>
      <c r="AR27" s="35"/>
      <c r="AV27" s="45"/>
      <c r="AW27" s="35"/>
      <c r="BA27" s="45"/>
      <c r="BB27" s="35"/>
      <c r="BF27" s="45"/>
    </row>
    <row r="28" spans="2:58">
      <c r="B28" s="429" t="s">
        <v>13</v>
      </c>
      <c r="C28" s="38" t="s">
        <v>7</v>
      </c>
      <c r="D28" s="157">
        <v>0</v>
      </c>
      <c r="E28" s="2">
        <v>0</v>
      </c>
      <c r="F28" s="7"/>
      <c r="G28" s="3">
        <f>IF($B$4="quarter",SUM((E28/45),(F28/900)),IF($B$4="semester",SUM((E28/30),F28/900)))</f>
        <v>0</v>
      </c>
      <c r="H28" s="49"/>
      <c r="I28" s="161">
        <v>0</v>
      </c>
      <c r="J28" s="2">
        <v>0</v>
      </c>
      <c r="K28" s="7"/>
      <c r="L28" s="3">
        <f>IF($B$4="quarter",SUM((J28/45),(K28/900)),IF($B$4="semester",SUM((J28/30),K28/900)))</f>
        <v>0</v>
      </c>
      <c r="M28" s="46"/>
      <c r="N28" s="157">
        <v>0</v>
      </c>
      <c r="O28" s="2">
        <v>0</v>
      </c>
      <c r="P28" s="7"/>
      <c r="Q28" s="3">
        <f>IF($B$4="quarter",SUM((O28/45),(P28/900)),IF($B$4="semester",SUM((O28/30),P28/900)))</f>
        <v>0</v>
      </c>
      <c r="R28" s="46"/>
      <c r="S28" s="157">
        <v>0</v>
      </c>
      <c r="T28" s="2">
        <v>0</v>
      </c>
      <c r="U28" s="7"/>
      <c r="V28" s="3">
        <f>IF($B$4="quarter",SUM((T28/45),(U28/900)),IF($B$4="semester",SUM((T28/30),U28/900)))</f>
        <v>0</v>
      </c>
      <c r="W28" s="46"/>
      <c r="X28" s="157">
        <v>0</v>
      </c>
      <c r="Y28" s="2">
        <v>0</v>
      </c>
      <c r="Z28" s="7"/>
      <c r="AA28" s="3">
        <f>IF($B$4="quarter",SUM((Y28/45),(Z28/900)),IF($B$4="semester",SUM((Y28/30),Z28/900)))</f>
        <v>0</v>
      </c>
      <c r="AB28" s="46"/>
      <c r="AC28" s="157">
        <v>0</v>
      </c>
      <c r="AD28" s="2">
        <v>0</v>
      </c>
      <c r="AE28" s="7"/>
      <c r="AF28" s="3">
        <f>IF($B$4="quarter",SUM((AD28/45),(AE28/900)),IF($B$4="semester",SUM((AD28/30),AE28/900)))</f>
        <v>0</v>
      </c>
      <c r="AG28" s="46"/>
      <c r="AH28" s="157">
        <v>0</v>
      </c>
      <c r="AI28" s="2">
        <v>0</v>
      </c>
      <c r="AJ28" s="7"/>
      <c r="AK28" s="3">
        <f>IF($B$4="quarter",SUM((AI28/45),(AJ28/900)),IF($B$4="semester",SUM((AI28/30),AJ28/900)))</f>
        <v>0</v>
      </c>
      <c r="AL28" s="46"/>
      <c r="AM28" s="157">
        <v>0</v>
      </c>
      <c r="AN28" s="2">
        <v>0</v>
      </c>
      <c r="AO28" s="7"/>
      <c r="AP28" s="3">
        <f>IF($B$4="quarter",SUM((AN28/45),(AO28/900)),IF($B$4="semester",SUM((AN28/30),AO28/900)))</f>
        <v>0</v>
      </c>
      <c r="AQ28" s="46"/>
      <c r="AR28" s="157"/>
      <c r="AS28" s="2"/>
      <c r="AT28" s="7"/>
      <c r="AU28" s="3">
        <f>IF($B$4="quarter",SUM((AS28/45),(AT28/900)),IF($B$4="semester",SUM((AS28/30),AT28/900)))</f>
        <v>0</v>
      </c>
      <c r="AV28" s="46"/>
      <c r="AW28" s="157">
        <v>0</v>
      </c>
      <c r="AX28" s="2">
        <v>0</v>
      </c>
      <c r="AY28" s="7"/>
      <c r="AZ28" s="3">
        <f>IF($B$4="quarter",SUM((AX28/45),(AY28/900)),IF($B$4="semester",SUM((AX28/30),AY28/900)))</f>
        <v>0</v>
      </c>
      <c r="BA28" s="46"/>
      <c r="BB28" s="32">
        <v>0</v>
      </c>
      <c r="BC28" s="1">
        <v>0</v>
      </c>
      <c r="BD28" s="7"/>
      <c r="BE28" s="3">
        <f>IF($B$4="quarter",SUM((BC28/45),(BD28/900)),IF($B$4="semester",SUM((BC28/30),BD28/900)))</f>
        <v>0</v>
      </c>
      <c r="BF28" s="46"/>
    </row>
    <row r="29" spans="2:58">
      <c r="B29" s="430"/>
      <c r="C29" s="38" t="s">
        <v>8</v>
      </c>
      <c r="D29" s="157">
        <v>0</v>
      </c>
      <c r="E29" s="2">
        <v>0</v>
      </c>
      <c r="F29" s="7"/>
      <c r="G29" s="3">
        <f>IF($B$4="quarter",SUM((E29/45),(F29/900)),IF($B$4="semester",SUM((E29/30),F29/900)))</f>
        <v>0</v>
      </c>
      <c r="H29" s="49"/>
      <c r="I29" s="161">
        <v>0</v>
      </c>
      <c r="J29" s="2">
        <v>0</v>
      </c>
      <c r="K29" s="7"/>
      <c r="L29" s="3">
        <f>IF($B$4="quarter",SUM((J29/45),(K29/900)),IF($B$4="semester",SUM((J29/30),K29/900)))</f>
        <v>0</v>
      </c>
      <c r="M29" s="46"/>
      <c r="N29" s="157">
        <v>0</v>
      </c>
      <c r="O29" s="2">
        <v>0</v>
      </c>
      <c r="P29" s="7"/>
      <c r="Q29" s="3">
        <f>IF($B$4="quarter",SUM((O29/45),(P29/900)),IF($B$4="semester",SUM((O29/30),P29/900)))</f>
        <v>0</v>
      </c>
      <c r="R29" s="46"/>
      <c r="S29" s="157">
        <v>0</v>
      </c>
      <c r="T29" s="2">
        <v>0</v>
      </c>
      <c r="U29" s="7"/>
      <c r="V29" s="3">
        <f>IF($B$4="quarter",SUM((T29/45),(U29/900)),IF($B$4="semester",SUM((T29/30),U29/900)))</f>
        <v>0</v>
      </c>
      <c r="W29" s="46"/>
      <c r="X29" s="157">
        <v>0</v>
      </c>
      <c r="Y29" s="2">
        <v>0</v>
      </c>
      <c r="Z29" s="7"/>
      <c r="AA29" s="3">
        <f>IF($B$4="quarter",SUM((Y29/45),(Z29/900)),IF($B$4="semester",SUM((Y29/30),Z29/900)))</f>
        <v>0</v>
      </c>
      <c r="AB29" s="46"/>
      <c r="AC29" s="157">
        <v>0</v>
      </c>
      <c r="AD29" s="2">
        <v>0</v>
      </c>
      <c r="AE29" s="7"/>
      <c r="AF29" s="3">
        <f>IF($B$4="quarter",SUM((AD29/45),(AE29/900)),IF($B$4="semester",SUM((AD29/30),AE29/900)))</f>
        <v>0</v>
      </c>
      <c r="AG29" s="46"/>
      <c r="AH29" s="157">
        <v>0</v>
      </c>
      <c r="AI29" s="2">
        <v>0</v>
      </c>
      <c r="AJ29" s="7"/>
      <c r="AK29" s="3">
        <f>IF($B$4="quarter",SUM((AI29/45),(AJ29/900)),IF($B$4="semester",SUM((AI29/30),AJ29/900)))</f>
        <v>0</v>
      </c>
      <c r="AL29" s="46"/>
      <c r="AM29" s="157">
        <v>0</v>
      </c>
      <c r="AN29" s="2">
        <v>0</v>
      </c>
      <c r="AO29" s="7"/>
      <c r="AP29" s="3">
        <f>IF($B$4="quarter",SUM((AN29/45),(AO29/900)),IF($B$4="semester",SUM((AN29/30),AO29/900)))</f>
        <v>0</v>
      </c>
      <c r="AQ29" s="46"/>
      <c r="AR29" s="157"/>
      <c r="AS29" s="2"/>
      <c r="AT29" s="7"/>
      <c r="AU29" s="3">
        <f>IF($B$4="quarter",SUM((AS29/45),(AT29/900)),IF($B$4="semester",SUM((AS29/30),AT29/900)))</f>
        <v>0</v>
      </c>
      <c r="AV29" s="46"/>
      <c r="AW29" s="157">
        <v>0</v>
      </c>
      <c r="AX29" s="2">
        <v>0</v>
      </c>
      <c r="AY29" s="7"/>
      <c r="AZ29" s="3">
        <f>IF($B$4="quarter",SUM((AX29/45),(AY29/900)),IF($B$4="semester",SUM((AX29/30),AY29/900)))</f>
        <v>0</v>
      </c>
      <c r="BA29" s="46"/>
      <c r="BB29" s="32">
        <v>0</v>
      </c>
      <c r="BC29" s="1">
        <v>0</v>
      </c>
      <c r="BD29" s="7"/>
      <c r="BE29" s="3">
        <f>IF($B$4="quarter",SUM((BC29/45),(BD29/900)),IF($B$4="semester",SUM((BC29/30),BD29/900)))</f>
        <v>0</v>
      </c>
      <c r="BF29" s="46"/>
    </row>
    <row r="30" spans="2:58">
      <c r="B30" s="430"/>
      <c r="C30" s="39" t="s">
        <v>9</v>
      </c>
      <c r="D30" s="34">
        <f>SUM(D28:D29)</f>
        <v>0</v>
      </c>
      <c r="E30" s="3">
        <f>SUM(E28:E29)</f>
        <v>0</v>
      </c>
      <c r="F30" s="7">
        <f>SUM(F28:F29)</f>
        <v>0</v>
      </c>
      <c r="G30" s="3">
        <f>SUM(G28:G29)</f>
        <v>0</v>
      </c>
      <c r="H30" s="49"/>
      <c r="I30" s="4">
        <f>SUM(I28:I29)</f>
        <v>0</v>
      </c>
      <c r="J30" s="3">
        <f>SUM(J28:J29)</f>
        <v>0</v>
      </c>
      <c r="K30" s="7"/>
      <c r="L30" s="3">
        <f>SUM(L28:L29)</f>
        <v>0</v>
      </c>
      <c r="M30" s="46"/>
      <c r="N30" s="34">
        <f>SUM(N28:N29)</f>
        <v>0</v>
      </c>
      <c r="O30" s="3">
        <f>SUM(O28:O29)</f>
        <v>0</v>
      </c>
      <c r="P30" s="7"/>
      <c r="Q30" s="3">
        <f>SUM(Q28:Q29)</f>
        <v>0</v>
      </c>
      <c r="R30" s="46"/>
      <c r="S30" s="34">
        <f>SUM(S28:S29)</f>
        <v>0</v>
      </c>
      <c r="T30" s="3">
        <f>SUM(T28:T29)</f>
        <v>0</v>
      </c>
      <c r="U30" s="7"/>
      <c r="V30" s="3">
        <f>SUM(V28:V29)</f>
        <v>0</v>
      </c>
      <c r="W30" s="46"/>
      <c r="X30" s="34">
        <f>SUM(X28:X29)</f>
        <v>0</v>
      </c>
      <c r="Y30" s="3">
        <f>SUM(Y28:Y29)</f>
        <v>0</v>
      </c>
      <c r="Z30" s="7"/>
      <c r="AA30" s="3">
        <f>SUM(AA28:AA29)</f>
        <v>0</v>
      </c>
      <c r="AB30" s="46"/>
      <c r="AC30" s="34">
        <f>SUM(AC28:AC29)</f>
        <v>0</v>
      </c>
      <c r="AD30" s="3">
        <f>SUM(AD28:AD29)</f>
        <v>0</v>
      </c>
      <c r="AE30" s="7"/>
      <c r="AF30" s="3">
        <f>SUM(AF28:AF29)</f>
        <v>0</v>
      </c>
      <c r="AG30" s="46"/>
      <c r="AH30" s="34">
        <f>SUM(AH28:AH29)</f>
        <v>0</v>
      </c>
      <c r="AI30" s="3">
        <f>SUM(AI28:AI29)</f>
        <v>0</v>
      </c>
      <c r="AJ30" s="7"/>
      <c r="AK30" s="3">
        <f>SUM(AK28:AK29)</f>
        <v>0</v>
      </c>
      <c r="AL30" s="46"/>
      <c r="AM30" s="34">
        <f>SUM(AM28:AM29)</f>
        <v>0</v>
      </c>
      <c r="AN30" s="3">
        <f>SUM(AN28:AN29)</f>
        <v>0</v>
      </c>
      <c r="AO30" s="7"/>
      <c r="AP30" s="3">
        <f>SUM(AP28:AP29)</f>
        <v>0</v>
      </c>
      <c r="AQ30" s="46"/>
      <c r="AR30" s="34">
        <f>SUM(AR28:AR29)</f>
        <v>0</v>
      </c>
      <c r="AS30" s="3">
        <f>SUM(AS28:AS29)</f>
        <v>0</v>
      </c>
      <c r="AT30" s="7"/>
      <c r="AU30" s="3">
        <f>SUM(AU28:AU29)</f>
        <v>0</v>
      </c>
      <c r="AV30" s="46"/>
      <c r="AW30" s="34">
        <f>SUM(AW28:AW29)</f>
        <v>0</v>
      </c>
      <c r="AX30" s="3">
        <f>SUM(AX28:AX29)</f>
        <v>0</v>
      </c>
      <c r="AY30" s="7"/>
      <c r="AZ30" s="3">
        <f>SUM(AZ28:AZ29)</f>
        <v>0</v>
      </c>
      <c r="BA30" s="46"/>
      <c r="BB30" s="34">
        <f>SUM(BB28:BB29)</f>
        <v>0</v>
      </c>
      <c r="BC30" s="3">
        <f>SUM(BC28:BC29)</f>
        <v>0</v>
      </c>
      <c r="BD30" s="7"/>
      <c r="BE30" s="3">
        <f>SUM(BE28:BE29)</f>
        <v>0</v>
      </c>
      <c r="BF30" s="46"/>
    </row>
    <row r="31" spans="2:58">
      <c r="B31" s="58"/>
      <c r="D31" s="61"/>
      <c r="E31" s="58"/>
      <c r="F31" s="58"/>
      <c r="G31" s="58"/>
      <c r="H31" s="59"/>
      <c r="I31" s="57"/>
      <c r="J31" s="58"/>
      <c r="K31" s="58"/>
      <c r="L31" s="58"/>
      <c r="M31" s="62"/>
      <c r="N31" s="61"/>
      <c r="O31" s="60"/>
      <c r="P31" s="58"/>
      <c r="Q31" s="58"/>
      <c r="R31" s="62"/>
      <c r="S31" s="61"/>
      <c r="T31" s="60"/>
      <c r="U31" s="58"/>
      <c r="V31" s="58"/>
      <c r="W31" s="62"/>
      <c r="X31" s="61"/>
      <c r="Y31" s="60"/>
      <c r="Z31" s="58"/>
      <c r="AA31" s="58"/>
      <c r="AB31" s="62"/>
      <c r="AC31" s="61"/>
      <c r="AD31" s="60"/>
      <c r="AE31" s="58"/>
      <c r="AF31" s="58"/>
      <c r="AG31" s="62"/>
      <c r="AH31" s="61"/>
      <c r="AI31" s="60"/>
      <c r="AJ31" s="58"/>
      <c r="AK31" s="58"/>
      <c r="AL31" s="62"/>
      <c r="AM31" s="61"/>
      <c r="AN31" s="60"/>
      <c r="AO31" s="58"/>
      <c r="AP31" s="58"/>
      <c r="AQ31" s="62"/>
      <c r="AR31" s="61"/>
      <c r="AS31" s="60"/>
      <c r="AT31" s="58"/>
      <c r="AU31" s="58"/>
      <c r="AV31" s="62"/>
      <c r="AW31" s="61"/>
      <c r="AX31" s="60"/>
      <c r="AY31" s="58"/>
      <c r="AZ31" s="58"/>
      <c r="BA31" s="62"/>
      <c r="BB31" s="61"/>
      <c r="BC31" s="60"/>
      <c r="BD31" s="58"/>
      <c r="BE31" s="58"/>
      <c r="BF31" s="62"/>
    </row>
    <row r="32" spans="2:58">
      <c r="B32" s="425" t="s">
        <v>14</v>
      </c>
      <c r="C32" s="38" t="s">
        <v>7</v>
      </c>
      <c r="D32" s="157">
        <v>0</v>
      </c>
      <c r="E32" s="2">
        <v>0</v>
      </c>
      <c r="F32" s="7"/>
      <c r="G32" s="3">
        <f>IF($B$4="quarter",SUM((E32/45),(F32/900)),IF($B$4="semester",SUM((E32/30),F32/900)))</f>
        <v>0</v>
      </c>
      <c r="H32" s="49"/>
      <c r="I32" s="161">
        <v>0</v>
      </c>
      <c r="J32" s="2">
        <v>0</v>
      </c>
      <c r="K32" s="7"/>
      <c r="L32" s="3">
        <f>IF($B$4="quarter",SUM((J32/45),(K32/900)),IF($B$4="semester",SUM((J32/30),K32/900)))</f>
        <v>0</v>
      </c>
      <c r="M32" s="46"/>
      <c r="N32" s="157">
        <v>139</v>
      </c>
      <c r="O32" s="2">
        <v>602</v>
      </c>
      <c r="P32" s="7"/>
      <c r="Q32" s="3">
        <f>IF($B$4="quarter",SUM((O32/45),(P32/900)),IF($B$4="semester",SUM((O32/30),P32/900)))</f>
        <v>20.066666666666666</v>
      </c>
      <c r="R32" s="46"/>
      <c r="S32" s="157">
        <v>148</v>
      </c>
      <c r="T32" s="2">
        <v>722</v>
      </c>
      <c r="U32" s="7"/>
      <c r="V32" s="3">
        <f>IF($B$4="quarter",SUM((T32/45),(U32/900)),IF($B$4="semester",SUM((T32/30),U32/900)))</f>
        <v>24.066666666666666</v>
      </c>
      <c r="W32" s="46"/>
      <c r="X32" s="157">
        <v>153</v>
      </c>
      <c r="Y32" s="2">
        <v>703</v>
      </c>
      <c r="Z32" s="7"/>
      <c r="AA32" s="3">
        <f>IF($B$4="quarter",SUM((Y32/45),(Z32/900)),IF($B$4="semester",SUM((Y32/30),Z32/900)))</f>
        <v>23.433333333333334</v>
      </c>
      <c r="AB32" s="46"/>
      <c r="AC32" s="157">
        <v>126</v>
      </c>
      <c r="AD32" s="2">
        <v>582</v>
      </c>
      <c r="AE32" s="7"/>
      <c r="AF32" s="3">
        <f>IF($B$4="quarter",SUM((AD32/45),(AE32/900)),IF($B$4="semester",SUM((AD32/30),AE32/900)))</f>
        <v>19.399999999999999</v>
      </c>
      <c r="AG32" s="46"/>
      <c r="AH32" s="157">
        <v>126</v>
      </c>
      <c r="AI32" s="2">
        <v>480</v>
      </c>
      <c r="AJ32" s="7"/>
      <c r="AK32" s="3">
        <f>IF($B$4="quarter",SUM((AI32/45),(AJ32/900)),IF($B$4="semester",SUM((AI32/30),AJ32/900)))</f>
        <v>16</v>
      </c>
      <c r="AL32" s="46"/>
      <c r="AM32" s="157">
        <v>131</v>
      </c>
      <c r="AN32" s="2">
        <v>576</v>
      </c>
      <c r="AO32" s="7"/>
      <c r="AP32" s="3">
        <f>IF($B$4="quarter",SUM((AN32/45),(AO32/900)),IF($B$4="semester",SUM((AN32/30),AO32/900)))</f>
        <v>19.2</v>
      </c>
      <c r="AQ32" s="46"/>
      <c r="AR32" s="157">
        <v>129</v>
      </c>
      <c r="AS32" s="2">
        <v>646</v>
      </c>
      <c r="AT32" s="7"/>
      <c r="AU32" s="3">
        <f>IF($B$4="quarter",SUM((AS32/45),(AT32/900)),IF($B$4="semester",SUM((AS32/30),AT32/900)))</f>
        <v>21.533333333333335</v>
      </c>
      <c r="AV32" s="46"/>
      <c r="AW32" s="157">
        <v>95</v>
      </c>
      <c r="AX32" s="2">
        <v>481</v>
      </c>
      <c r="AY32" s="7"/>
      <c r="AZ32" s="3">
        <f>IF($B$4="quarter",SUM((AX32/45),(AY32/900)),IF($B$4="semester",SUM((AX32/30),AY32/900)))</f>
        <v>16.033333333333335</v>
      </c>
      <c r="BA32" s="46"/>
      <c r="BB32" s="32">
        <v>127</v>
      </c>
      <c r="BC32" s="1">
        <v>619</v>
      </c>
      <c r="BD32" s="7"/>
      <c r="BE32" s="3">
        <f>IF($B$4="quarter",SUM((BC32/45),(BD32/900)),IF($B$4="semester",SUM((BC32/30),BD32/900)))</f>
        <v>20.633333333333333</v>
      </c>
      <c r="BF32" s="46"/>
    </row>
    <row r="33" spans="2:58">
      <c r="B33" s="425"/>
      <c r="C33" s="38" t="s">
        <v>8</v>
      </c>
      <c r="D33" s="157">
        <v>0</v>
      </c>
      <c r="E33" s="2">
        <v>0</v>
      </c>
      <c r="F33" s="7"/>
      <c r="G33" s="3">
        <f>IF($B$4="quarter",SUM((E33/45),(F33/900)),IF($B$4="semester",SUM((E33/30),F33/900)))</f>
        <v>0</v>
      </c>
      <c r="H33" s="49"/>
      <c r="I33" s="161">
        <v>0</v>
      </c>
      <c r="J33" s="2">
        <v>0</v>
      </c>
      <c r="K33" s="7"/>
      <c r="L33" s="3">
        <f>IF($B$4="quarter",SUM((J33/45),(K33/900)),IF($B$4="semester",SUM((J33/30),K33/900)))</f>
        <v>0</v>
      </c>
      <c r="M33" s="46"/>
      <c r="N33" s="157">
        <v>0</v>
      </c>
      <c r="O33" s="2">
        <v>0</v>
      </c>
      <c r="P33" s="7"/>
      <c r="Q33" s="3">
        <f>IF($B$4="quarter",SUM((O33/45),(P33/900)),IF($B$4="semester",SUM((O33/30),P33/900)))</f>
        <v>0</v>
      </c>
      <c r="R33" s="46"/>
      <c r="S33" s="157">
        <v>0</v>
      </c>
      <c r="T33" s="2">
        <v>0</v>
      </c>
      <c r="U33" s="7"/>
      <c r="V33" s="3">
        <f>IF($B$4="quarter",SUM((T33/45),(U33/900)),IF($B$4="semester",SUM((T33/30),U33/900)))</f>
        <v>0</v>
      </c>
      <c r="W33" s="46"/>
      <c r="X33" s="157">
        <v>0</v>
      </c>
      <c r="Y33" s="2">
        <v>0</v>
      </c>
      <c r="Z33" s="7"/>
      <c r="AA33" s="3">
        <f>IF($B$4="quarter",SUM((Y33/45),(Z33/900)),IF($B$4="semester",SUM((Y33/30),Z33/900)))</f>
        <v>0</v>
      </c>
      <c r="AB33" s="46"/>
      <c r="AC33" s="157">
        <v>0</v>
      </c>
      <c r="AD33" s="2">
        <v>0</v>
      </c>
      <c r="AE33" s="7"/>
      <c r="AF33" s="3">
        <f>IF($B$4="quarter",SUM((AD33/45),(AE33/900)),IF($B$4="semester",SUM((AD33/30),AE33/900)))</f>
        <v>0</v>
      </c>
      <c r="AG33" s="46"/>
      <c r="AH33" s="157">
        <v>0</v>
      </c>
      <c r="AI33" s="2">
        <v>0</v>
      </c>
      <c r="AJ33" s="7"/>
      <c r="AK33" s="3">
        <f>IF($B$4="quarter",SUM((AI33/45),(AJ33/900)),IF($B$4="semester",SUM((AI33/30),AJ33/900)))</f>
        <v>0</v>
      </c>
      <c r="AL33" s="46"/>
      <c r="AM33" s="157">
        <v>0</v>
      </c>
      <c r="AN33" s="2">
        <v>0</v>
      </c>
      <c r="AO33" s="7"/>
      <c r="AP33" s="3">
        <f>IF($B$4="quarter",SUM((AN33/45),(AO33/900)),IF($B$4="semester",SUM((AN33/30),AO33/900)))</f>
        <v>0</v>
      </c>
      <c r="AQ33" s="46"/>
      <c r="AR33" s="157"/>
      <c r="AS33" s="2"/>
      <c r="AT33" s="7"/>
      <c r="AU33" s="3">
        <f>IF($B$4="quarter",SUM((AS33/45),(AT33/900)),IF($B$4="semester",SUM((AS33/30),AT33/900)))</f>
        <v>0</v>
      </c>
      <c r="AV33" s="46"/>
      <c r="AW33" s="157">
        <v>0</v>
      </c>
      <c r="AX33" s="2">
        <v>0</v>
      </c>
      <c r="AY33" s="7"/>
      <c r="AZ33" s="3">
        <f>IF($B$4="quarter",SUM((AX33/45),(AY33/900)),IF($B$4="semester",SUM((AX33/30),AY33/900)))</f>
        <v>0</v>
      </c>
      <c r="BA33" s="46"/>
      <c r="BB33" s="32">
        <v>0</v>
      </c>
      <c r="BC33" s="1">
        <v>0</v>
      </c>
      <c r="BD33" s="7"/>
      <c r="BE33" s="3">
        <f>IF($B$4="quarter",SUM((BC33/45),(BD33/900)),IF($B$4="semester",SUM((BC33/30),BD33/900)))</f>
        <v>0</v>
      </c>
      <c r="BF33" s="46"/>
    </row>
    <row r="34" spans="2:58">
      <c r="B34" s="425"/>
      <c r="C34" s="39" t="s">
        <v>9</v>
      </c>
      <c r="D34" s="34">
        <f>SUM(D32:D33)</f>
        <v>0</v>
      </c>
      <c r="E34" s="3">
        <f>SUM(E32:E33)</f>
        <v>0</v>
      </c>
      <c r="F34" s="7">
        <f>SUM(F32:F33)</f>
        <v>0</v>
      </c>
      <c r="G34" s="3">
        <f>SUM(G32:G33)</f>
        <v>0</v>
      </c>
      <c r="H34" s="49"/>
      <c r="I34" s="4">
        <f>SUM(I32:I33)</f>
        <v>0</v>
      </c>
      <c r="J34" s="3">
        <f>SUM(J32:J33)</f>
        <v>0</v>
      </c>
      <c r="K34" s="7"/>
      <c r="L34" s="3">
        <f>SUM(L32:L33)</f>
        <v>0</v>
      </c>
      <c r="M34" s="46"/>
      <c r="N34" s="34">
        <f>SUM(N32:N33)</f>
        <v>139</v>
      </c>
      <c r="O34" s="3">
        <f>SUM(O32:O33)</f>
        <v>602</v>
      </c>
      <c r="P34" s="7"/>
      <c r="Q34" s="3">
        <f>SUM(Q32:Q33)</f>
        <v>20.066666666666666</v>
      </c>
      <c r="R34" s="46"/>
      <c r="S34" s="34">
        <f>SUM(S32:S33)</f>
        <v>148</v>
      </c>
      <c r="T34" s="3">
        <f>SUM(T32:T33)</f>
        <v>722</v>
      </c>
      <c r="U34" s="7"/>
      <c r="V34" s="3">
        <f>SUM(V32:V33)</f>
        <v>24.066666666666666</v>
      </c>
      <c r="W34" s="46"/>
      <c r="X34" s="34">
        <f>SUM(X32:X33)</f>
        <v>153</v>
      </c>
      <c r="Y34" s="3">
        <f>SUM(Y32:Y33)</f>
        <v>703</v>
      </c>
      <c r="Z34" s="7"/>
      <c r="AA34" s="3">
        <f>SUM(AA32:AA33)</f>
        <v>23.433333333333334</v>
      </c>
      <c r="AB34" s="46"/>
      <c r="AC34" s="34">
        <f>SUM(AC32:AC33)</f>
        <v>126</v>
      </c>
      <c r="AD34" s="3">
        <f>SUM(AD32:AD33)</f>
        <v>582</v>
      </c>
      <c r="AE34" s="7"/>
      <c r="AF34" s="3">
        <f>SUM(AF32:AF33)</f>
        <v>19.399999999999999</v>
      </c>
      <c r="AG34" s="46"/>
      <c r="AH34" s="34">
        <f>SUM(AH32:AH33)</f>
        <v>126</v>
      </c>
      <c r="AI34" s="3">
        <f>SUM(AI32:AI33)</f>
        <v>480</v>
      </c>
      <c r="AJ34" s="7"/>
      <c r="AK34" s="3">
        <f>SUM(AK32:AK33)</f>
        <v>16</v>
      </c>
      <c r="AL34" s="46"/>
      <c r="AM34" s="34">
        <f>SUM(AM32:AM33)</f>
        <v>131</v>
      </c>
      <c r="AN34" s="3">
        <f>SUM(AN32:AN33)</f>
        <v>576</v>
      </c>
      <c r="AO34" s="7"/>
      <c r="AP34" s="3">
        <f>SUM(AP32:AP33)</f>
        <v>19.2</v>
      </c>
      <c r="AQ34" s="46"/>
      <c r="AR34" s="34">
        <f>SUM(AR32:AR33)</f>
        <v>129</v>
      </c>
      <c r="AS34" s="3">
        <f>SUM(AS32:AS33)</f>
        <v>646</v>
      </c>
      <c r="AT34" s="7"/>
      <c r="AU34" s="3">
        <f>SUM(AU32:AU33)</f>
        <v>21.533333333333335</v>
      </c>
      <c r="AV34" s="46"/>
      <c r="AW34" s="34">
        <f>SUM(AW32:AW33)</f>
        <v>95</v>
      </c>
      <c r="AX34" s="3">
        <f>SUM(AX32:AX33)</f>
        <v>481</v>
      </c>
      <c r="AY34" s="7"/>
      <c r="AZ34" s="3">
        <f>SUM(AZ32:AZ33)</f>
        <v>16.033333333333335</v>
      </c>
      <c r="BA34" s="46"/>
      <c r="BB34" s="34">
        <f>SUM(BB32:BB33)</f>
        <v>127</v>
      </c>
      <c r="BC34" s="3">
        <f>SUM(BC32:BC33)</f>
        <v>619</v>
      </c>
      <c r="BD34" s="7"/>
      <c r="BE34" s="3">
        <f>SUM(BE32:BE33)</f>
        <v>20.633333333333333</v>
      </c>
      <c r="BF34" s="46"/>
    </row>
    <row r="35" spans="2:58">
      <c r="B35" s="13"/>
      <c r="C35" s="9"/>
      <c r="D35" s="5"/>
      <c r="E35" s="6"/>
      <c r="F35" s="6"/>
      <c r="G35" s="6"/>
      <c r="H35" s="47"/>
      <c r="I35" s="5"/>
      <c r="J35" s="6"/>
      <c r="K35" s="6"/>
      <c r="L35" s="6"/>
      <c r="M35" s="47"/>
      <c r="N35" s="5"/>
      <c r="O35" s="6"/>
      <c r="P35" s="6"/>
      <c r="Q35" s="6"/>
      <c r="R35" s="47"/>
      <c r="S35" s="5"/>
      <c r="T35" s="6"/>
      <c r="U35" s="6"/>
      <c r="V35" s="6"/>
      <c r="W35" s="47"/>
      <c r="X35" s="5"/>
      <c r="Y35" s="6"/>
      <c r="Z35" s="6"/>
      <c r="AA35" s="6"/>
      <c r="AB35" s="47"/>
      <c r="AC35" s="5"/>
      <c r="AD35" s="6"/>
      <c r="AE35" s="6"/>
      <c r="AF35" s="6"/>
      <c r="AG35" s="47"/>
      <c r="AH35" s="5"/>
      <c r="AI35" s="6"/>
      <c r="AJ35" s="6"/>
      <c r="AK35" s="6"/>
      <c r="AL35" s="47"/>
      <c r="AM35" s="5"/>
      <c r="AN35" s="6"/>
      <c r="AO35" s="6"/>
      <c r="AP35" s="6"/>
      <c r="AQ35" s="47"/>
      <c r="AR35" s="5"/>
      <c r="AS35" s="6"/>
      <c r="AT35" s="6"/>
      <c r="AU35" s="6"/>
      <c r="AV35" s="47"/>
      <c r="AW35" s="5"/>
      <c r="AX35" s="6"/>
      <c r="AY35" s="6"/>
      <c r="AZ35" s="6"/>
      <c r="BA35" s="47"/>
      <c r="BB35" s="5"/>
      <c r="BC35" s="6"/>
      <c r="BD35" s="6"/>
      <c r="BE35" s="6"/>
      <c r="BF35" s="47"/>
    </row>
    <row r="37" spans="2:58" s="82" customFormat="1">
      <c r="D37" s="82" t="str">
        <f>D2&amp;" COMMENTS"</f>
        <v>2012-13 COMMENTS</v>
      </c>
      <c r="H37" s="83"/>
      <c r="I37" s="82" t="str">
        <f>I2&amp;" COMMENTS"</f>
        <v>2013-14 COMMENTS</v>
      </c>
      <c r="M37" s="83"/>
      <c r="N37" s="82" t="str">
        <f>N2&amp;" COMMENTS"</f>
        <v>2014-15 COMMENTS</v>
      </c>
      <c r="R37" s="83"/>
      <c r="S37" s="82" t="str">
        <f>S2&amp;" COMMENTS"</f>
        <v>2015-16 COMMENTS</v>
      </c>
      <c r="W37" s="83"/>
      <c r="X37" s="82" t="str">
        <f>X2&amp;" COMMENTS"</f>
        <v>2016-17 COMMENTS</v>
      </c>
      <c r="AB37" s="83"/>
      <c r="AC37" s="82" t="str">
        <f>AC2&amp;" COMMENTS"</f>
        <v>2017-18 COMMENTS</v>
      </c>
      <c r="AG37" s="83"/>
      <c r="AH37" s="82" t="str">
        <f>AH2&amp;" COMMENTS"</f>
        <v>2018-19 COMMENTS</v>
      </c>
      <c r="AL37" s="83"/>
      <c r="AM37" s="82" t="str">
        <f>AM2&amp;" COMMENTS"</f>
        <v>2019-20 COMMENTS</v>
      </c>
      <c r="AQ37" s="83"/>
      <c r="AR37" s="82" t="str">
        <f>AR2&amp;" COMMENTS"</f>
        <v>2020-21 COMMENTS</v>
      </c>
      <c r="AV37" s="83"/>
      <c r="AW37" s="82" t="str">
        <f>AW2&amp;" COMMENTS"</f>
        <v>2021-22 COMMENTS</v>
      </c>
      <c r="BA37" s="83"/>
      <c r="BB37" s="82" t="str">
        <f>BB2&amp;" COMMENTS"</f>
        <v>2022-23 COMMENTS</v>
      </c>
      <c r="BF37" s="83"/>
    </row>
    <row r="38" spans="2:58" s="30" customFormat="1" ht="243.75" customHeight="1">
      <c r="D38" s="410"/>
      <c r="E38" s="411"/>
      <c r="F38" s="411"/>
      <c r="G38" s="411"/>
      <c r="H38" s="412"/>
      <c r="I38" s="410"/>
      <c r="J38" s="411"/>
      <c r="K38" s="411"/>
      <c r="L38" s="411"/>
      <c r="M38" s="412"/>
      <c r="N38" s="410"/>
      <c r="O38" s="411"/>
      <c r="P38" s="411"/>
      <c r="Q38" s="411"/>
      <c r="R38" s="412"/>
      <c r="S38" s="450"/>
      <c r="T38" s="451"/>
      <c r="U38" s="451"/>
      <c r="V38" s="451"/>
      <c r="W38" s="452"/>
      <c r="X38" s="450"/>
      <c r="Y38" s="451"/>
      <c r="Z38" s="451"/>
      <c r="AA38" s="451"/>
      <c r="AB38" s="452"/>
      <c r="AC38" s="450"/>
      <c r="AD38" s="451"/>
      <c r="AE38" s="451"/>
      <c r="AF38" s="451"/>
      <c r="AG38" s="452"/>
      <c r="AH38" s="450"/>
      <c r="AI38" s="451"/>
      <c r="AJ38" s="451"/>
      <c r="AK38" s="451"/>
      <c r="AL38" s="452"/>
      <c r="AM38" s="450"/>
      <c r="AN38" s="451"/>
      <c r="AO38" s="451"/>
      <c r="AP38" s="451"/>
      <c r="AQ38" s="452"/>
      <c r="AR38" s="450"/>
      <c r="AS38" s="451"/>
      <c r="AT38" s="451"/>
      <c r="AU38" s="451"/>
      <c r="AV38" s="452"/>
      <c r="AW38" s="450"/>
      <c r="AX38" s="451"/>
      <c r="AY38" s="451"/>
      <c r="AZ38" s="451"/>
      <c r="BA38" s="452"/>
      <c r="BB38" s="453"/>
      <c r="BC38" s="454"/>
      <c r="BD38" s="454"/>
      <c r="BE38" s="454"/>
      <c r="BF38" s="455"/>
    </row>
  </sheetData>
  <sheetProtection formatColumns="0"/>
  <mergeCells count="84">
    <mergeCell ref="BB2:BF2"/>
    <mergeCell ref="BB3:BB5"/>
    <mergeCell ref="BC3:BC5"/>
    <mergeCell ref="BD3:BD5"/>
    <mergeCell ref="BE3:BE5"/>
    <mergeCell ref="BF3:BF5"/>
    <mergeCell ref="AW2:BA2"/>
    <mergeCell ref="AW3:AW5"/>
    <mergeCell ref="AX3:AX5"/>
    <mergeCell ref="AY3:AY5"/>
    <mergeCell ref="AZ3:AZ5"/>
    <mergeCell ref="BA3:BA5"/>
    <mergeCell ref="AR3:AR5"/>
    <mergeCell ref="AS3:AS5"/>
    <mergeCell ref="AT3:AT5"/>
    <mergeCell ref="AU3:AU5"/>
    <mergeCell ref="AV3:AV5"/>
    <mergeCell ref="AR38:AV38"/>
    <mergeCell ref="AW38:BA38"/>
    <mergeCell ref="BB38:BF38"/>
    <mergeCell ref="AH2:AL2"/>
    <mergeCell ref="AH3:AH5"/>
    <mergeCell ref="AI3:AI5"/>
    <mergeCell ref="AJ3:AJ5"/>
    <mergeCell ref="AK3:AK5"/>
    <mergeCell ref="AL3:AL5"/>
    <mergeCell ref="AM2:AQ2"/>
    <mergeCell ref="AM3:AM5"/>
    <mergeCell ref="AN3:AN5"/>
    <mergeCell ref="AO3:AO5"/>
    <mergeCell ref="AP3:AP5"/>
    <mergeCell ref="AQ3:AQ5"/>
    <mergeCell ref="AR2:AV2"/>
    <mergeCell ref="S38:W38"/>
    <mergeCell ref="X38:AB38"/>
    <mergeCell ref="AC38:AG38"/>
    <mergeCell ref="AH38:AL38"/>
    <mergeCell ref="AM38:AQ38"/>
    <mergeCell ref="AD3:AD5"/>
    <mergeCell ref="AE3:AE5"/>
    <mergeCell ref="AF3:AF5"/>
    <mergeCell ref="AG3:AG5"/>
    <mergeCell ref="S2:W2"/>
    <mergeCell ref="S3:S5"/>
    <mergeCell ref="T3:T5"/>
    <mergeCell ref="V3:V5"/>
    <mergeCell ref="X2:AB2"/>
    <mergeCell ref="X3:X5"/>
    <mergeCell ref="Y3:Y5"/>
    <mergeCell ref="AA3:AA5"/>
    <mergeCell ref="AB3:AB5"/>
    <mergeCell ref="Z3:Z5"/>
    <mergeCell ref="AC2:AG2"/>
    <mergeCell ref="AC3:AC5"/>
    <mergeCell ref="N2:R2"/>
    <mergeCell ref="I2:M2"/>
    <mergeCell ref="D2:H2"/>
    <mergeCell ref="B6:B8"/>
    <mergeCell ref="B10:B12"/>
    <mergeCell ref="D3:D5"/>
    <mergeCell ref="E3:E5"/>
    <mergeCell ref="G3:G5"/>
    <mergeCell ref="I3:I5"/>
    <mergeCell ref="H3:H5"/>
    <mergeCell ref="R3:R5"/>
    <mergeCell ref="M3:M5"/>
    <mergeCell ref="W3:W5"/>
    <mergeCell ref="B32:B34"/>
    <mergeCell ref="F3:F5"/>
    <mergeCell ref="K3:K5"/>
    <mergeCell ref="P3:P5"/>
    <mergeCell ref="U3:U5"/>
    <mergeCell ref="B14:B16"/>
    <mergeCell ref="B18:B20"/>
    <mergeCell ref="B28:B30"/>
    <mergeCell ref="B27:C27"/>
    <mergeCell ref="Q3:Q5"/>
    <mergeCell ref="D38:H38"/>
    <mergeCell ref="J3:J5"/>
    <mergeCell ref="L3:L5"/>
    <mergeCell ref="N3:N5"/>
    <mergeCell ref="O3:O5"/>
    <mergeCell ref="I38:M38"/>
    <mergeCell ref="N38:R38"/>
  </mergeCells>
  <dataValidations count="2">
    <dataValidation type="decimal" operator="greaterThanOrEqual" allowBlank="1" showInputMessage="1" showErrorMessage="1" errorTitle="data type error" error="value must be number greater than or equal to 0" sqref="X6:Y7 X10:Y11" xr:uid="{00000000-0002-0000-0000-000000000000}">
      <formula1>0</formula1>
    </dataValidation>
    <dataValidation type="list" allowBlank="1" showInputMessage="1" showErrorMessage="1" sqref="B4" xr:uid="{00000000-0002-0000-0000-000001000000}">
      <formula1>"Semester,Quarter"</formula1>
    </dataValidation>
  </dataValidations>
  <pageMargins left="0.3" right="0.3" top="0.96" bottom="0.5" header="0.3" footer="0.3"/>
  <pageSetup scale="67" orientation="landscape" r:id="rId1"/>
  <headerFooter>
    <oddHeader>&amp;C&amp;"-,Bold"&amp;22Chadron State College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N53"/>
  <sheetViews>
    <sheetView showGridLines="0" zoomScale="90" zoomScaleNormal="90" workbookViewId="0">
      <pane xSplit="2" ySplit="4" topLeftCell="C5" activePane="bottomRight" state="frozen"/>
      <selection pane="topRight" activeCell="C1" sqref="C1"/>
      <selection pane="bottomLeft" activeCell="A5" sqref="A5"/>
      <selection pane="bottomRight" activeCell="AAA35" sqref="AAA35"/>
    </sheetView>
  </sheetViews>
  <sheetFormatPr defaultColWidth="21.28515625" defaultRowHeight="15"/>
  <cols>
    <col min="1" max="1" width="1.5703125" style="14" customWidth="1"/>
    <col min="2" max="2" width="57.5703125" style="14" bestFit="1" customWidth="1"/>
    <col min="3" max="3" width="20.28515625" style="14" bestFit="1" customWidth="1"/>
    <col min="4" max="4" width="15.85546875" style="23" customWidth="1"/>
    <col min="5" max="5" width="14.28515625" style="14" hidden="1" customWidth="1"/>
    <col min="6" max="6" width="10.28515625" style="14" hidden="1" customWidth="1"/>
    <col min="7" max="7" width="14.28515625" style="14" hidden="1" customWidth="1"/>
    <col min="8" max="8" width="10.28515625" style="14" hidden="1" customWidth="1"/>
    <col min="9" max="9" width="14.28515625" style="14" hidden="1" customWidth="1"/>
    <col min="10" max="10" width="10.28515625" style="14" hidden="1" customWidth="1"/>
    <col min="11" max="11" width="14.28515625" style="14" hidden="1" customWidth="1"/>
    <col min="12" max="12" width="10.28515625" style="14" hidden="1" customWidth="1"/>
    <col min="13" max="13" width="14.28515625" style="14" hidden="1" customWidth="1"/>
    <col min="14" max="14" width="10.28515625" style="14" hidden="1" customWidth="1"/>
    <col min="15" max="15" width="14.42578125" style="14" hidden="1" customWidth="1"/>
    <col min="16" max="16" width="10.28515625" style="14" hidden="1" customWidth="1"/>
    <col min="17" max="17" width="14.140625" style="14" hidden="1" customWidth="1"/>
    <col min="18" max="18" width="10.28515625" style="14" hidden="1" customWidth="1"/>
    <col min="19" max="19" width="14.140625" style="14" customWidth="1"/>
    <col min="20" max="20" width="10.28515625" style="14" customWidth="1"/>
    <col min="21" max="21" width="14.140625" style="14" customWidth="1"/>
    <col min="22" max="22" width="10.28515625" style="14" customWidth="1"/>
    <col min="23" max="23" width="14.140625" style="14" customWidth="1"/>
    <col min="24" max="24" width="10.28515625" style="14" customWidth="1"/>
    <col min="25" max="25" width="14.140625" style="14" customWidth="1"/>
    <col min="26" max="26" width="10.28515625" style="14" customWidth="1"/>
    <col min="27" max="27" width="1.7109375" style="14" customWidth="1"/>
    <col min="28" max="34" width="16" style="14" hidden="1" customWidth="1"/>
    <col min="35" max="37" width="16" style="14" customWidth="1"/>
    <col min="38" max="703" width="21.28515625" style="14"/>
    <col min="704" max="704" width="10.5703125" style="14" customWidth="1"/>
    <col min="705" max="16384" width="21.28515625" style="14"/>
  </cols>
  <sheetData>
    <row r="1" spans="2:39" s="188" customFormat="1" ht="15.75" customHeight="1" thickBot="1">
      <c r="C1" s="189"/>
      <c r="D1" s="190"/>
      <c r="E1" s="466" t="s">
        <v>19</v>
      </c>
      <c r="F1" s="467"/>
      <c r="G1" s="467"/>
      <c r="H1" s="467"/>
      <c r="I1" s="467"/>
      <c r="J1" s="467"/>
      <c r="K1" s="467"/>
      <c r="L1" s="467"/>
      <c r="M1" s="467"/>
      <c r="N1" s="467"/>
      <c r="O1" s="467"/>
      <c r="P1" s="467"/>
      <c r="Q1" s="467"/>
      <c r="R1" s="467"/>
      <c r="S1" s="467"/>
      <c r="T1" s="467"/>
      <c r="U1" s="467"/>
      <c r="V1" s="467"/>
      <c r="W1" s="467"/>
      <c r="X1" s="467"/>
      <c r="Y1" s="341"/>
      <c r="Z1" s="340"/>
      <c r="AA1" s="72"/>
      <c r="AB1" s="466" t="s">
        <v>20</v>
      </c>
      <c r="AC1" s="467"/>
      <c r="AD1" s="467"/>
      <c r="AE1" s="467"/>
      <c r="AF1" s="467"/>
      <c r="AG1" s="467"/>
      <c r="AH1" s="467"/>
      <c r="AI1" s="467"/>
      <c r="AJ1" s="467"/>
      <c r="AK1" s="468"/>
      <c r="AL1" s="191"/>
    </row>
    <row r="2" spans="2:39" s="188" customFormat="1" ht="15.75" thickBot="1">
      <c r="D2" s="192"/>
      <c r="E2" s="462" t="s">
        <v>179</v>
      </c>
      <c r="F2" s="463"/>
      <c r="G2" s="464" t="s">
        <v>180</v>
      </c>
      <c r="H2" s="465"/>
      <c r="I2" s="473" t="s">
        <v>181</v>
      </c>
      <c r="J2" s="474"/>
      <c r="K2" s="456" t="s">
        <v>182</v>
      </c>
      <c r="L2" s="457"/>
      <c r="M2" s="458" t="s">
        <v>183</v>
      </c>
      <c r="N2" s="459"/>
      <c r="O2" s="460" t="s">
        <v>184</v>
      </c>
      <c r="P2" s="461"/>
      <c r="Q2" s="462" t="s">
        <v>195</v>
      </c>
      <c r="R2" s="463"/>
      <c r="S2" s="464" t="s">
        <v>196</v>
      </c>
      <c r="T2" s="465"/>
      <c r="U2" s="473" t="s">
        <v>197</v>
      </c>
      <c r="V2" s="474"/>
      <c r="W2" s="456" t="s">
        <v>198</v>
      </c>
      <c r="X2" s="457"/>
      <c r="Y2" s="479" t="s">
        <v>231</v>
      </c>
      <c r="Z2" s="480"/>
      <c r="AA2" s="192"/>
      <c r="AB2" s="193"/>
      <c r="AC2" s="194"/>
      <c r="AD2" s="195"/>
      <c r="AE2" s="196"/>
      <c r="AF2" s="196"/>
      <c r="AG2" s="196"/>
      <c r="AH2" s="196"/>
      <c r="AI2" s="196"/>
      <c r="AJ2" s="196"/>
      <c r="AK2" s="197"/>
      <c r="AL2" s="198"/>
      <c r="AM2" s="199"/>
    </row>
    <row r="3" spans="2:39" s="200" customFormat="1" ht="15.75" thickBot="1">
      <c r="B3" s="201" t="s">
        <v>21</v>
      </c>
      <c r="C3" s="202" t="s">
        <v>22</v>
      </c>
      <c r="D3" s="203" t="s">
        <v>23</v>
      </c>
      <c r="E3" s="204" t="s">
        <v>24</v>
      </c>
      <c r="F3" s="202" t="s">
        <v>25</v>
      </c>
      <c r="G3" s="202" t="s">
        <v>24</v>
      </c>
      <c r="H3" s="202" t="s">
        <v>25</v>
      </c>
      <c r="I3" s="202" t="s">
        <v>24</v>
      </c>
      <c r="J3" s="202" t="s">
        <v>25</v>
      </c>
      <c r="K3" s="202" t="s">
        <v>24</v>
      </c>
      <c r="L3" s="202" t="s">
        <v>25</v>
      </c>
      <c r="M3" s="202" t="s">
        <v>24</v>
      </c>
      <c r="N3" s="202" t="s">
        <v>25</v>
      </c>
      <c r="O3" s="202" t="s">
        <v>24</v>
      </c>
      <c r="P3" s="202" t="s">
        <v>25</v>
      </c>
      <c r="Q3" s="202" t="s">
        <v>24</v>
      </c>
      <c r="R3" s="202" t="s">
        <v>25</v>
      </c>
      <c r="S3" s="202" t="s">
        <v>24</v>
      </c>
      <c r="T3" s="202" t="s">
        <v>25</v>
      </c>
      <c r="U3" s="202" t="s">
        <v>24</v>
      </c>
      <c r="V3" s="202" t="s">
        <v>25</v>
      </c>
      <c r="W3" s="202" t="s">
        <v>24</v>
      </c>
      <c r="X3" s="205" t="s">
        <v>25</v>
      </c>
      <c r="Y3" s="202" t="s">
        <v>24</v>
      </c>
      <c r="Z3" s="205" t="s">
        <v>25</v>
      </c>
      <c r="AA3" s="206"/>
      <c r="AB3" s="207" t="s">
        <v>179</v>
      </c>
      <c r="AC3" s="208" t="s">
        <v>180</v>
      </c>
      <c r="AD3" s="209" t="s">
        <v>181</v>
      </c>
      <c r="AE3" s="210" t="s">
        <v>182</v>
      </c>
      <c r="AF3" s="211" t="s">
        <v>183</v>
      </c>
      <c r="AG3" s="212" t="s">
        <v>184</v>
      </c>
      <c r="AH3" s="207" t="s">
        <v>195</v>
      </c>
      <c r="AI3" s="208" t="s">
        <v>196</v>
      </c>
      <c r="AJ3" s="209" t="s">
        <v>197</v>
      </c>
      <c r="AK3" s="210" t="s">
        <v>198</v>
      </c>
      <c r="AL3" s="213"/>
      <c r="AM3" s="213"/>
    </row>
    <row r="4" spans="2:39" customFormat="1" ht="19.5" customHeight="1">
      <c r="B4" s="65" t="s">
        <v>26</v>
      </c>
      <c r="C4" s="15"/>
      <c r="D4" s="24"/>
      <c r="E4" s="66"/>
      <c r="F4" s="67"/>
      <c r="G4" s="68"/>
      <c r="H4" s="69"/>
      <c r="I4" s="66"/>
      <c r="J4" s="67"/>
      <c r="K4" s="68"/>
      <c r="L4" s="69"/>
      <c r="M4" s="68"/>
      <c r="N4" s="69"/>
      <c r="O4" s="68"/>
      <c r="P4" s="69"/>
      <c r="Q4" s="68"/>
      <c r="R4" s="69"/>
      <c r="S4" s="68"/>
      <c r="T4" s="69"/>
      <c r="U4" s="68"/>
      <c r="V4" s="69"/>
      <c r="W4" s="68"/>
      <c r="X4" s="69"/>
      <c r="Y4" s="68"/>
      <c r="Z4" s="69"/>
      <c r="AA4" s="15"/>
      <c r="AB4" s="66"/>
      <c r="AC4" s="68"/>
      <c r="AD4" s="73"/>
      <c r="AE4" s="70"/>
      <c r="AF4" s="70"/>
      <c r="AG4" s="70"/>
      <c r="AH4" s="70"/>
      <c r="AI4" s="70"/>
      <c r="AJ4" s="70"/>
      <c r="AK4" s="70"/>
    </row>
    <row r="5" spans="2:39" customFormat="1">
      <c r="B5" s="214" t="s">
        <v>27</v>
      </c>
      <c r="C5" s="117" t="s">
        <v>32</v>
      </c>
      <c r="D5" s="118">
        <v>7.2</v>
      </c>
      <c r="E5" s="299"/>
      <c r="F5" s="117"/>
      <c r="G5" s="299">
        <v>30</v>
      </c>
      <c r="H5" s="117" t="s">
        <v>29</v>
      </c>
      <c r="I5" s="299">
        <v>52.5</v>
      </c>
      <c r="J5" s="117" t="s">
        <v>29</v>
      </c>
      <c r="K5" s="299">
        <v>75</v>
      </c>
      <c r="L5" s="117" t="s">
        <v>29</v>
      </c>
      <c r="M5" s="299">
        <v>75</v>
      </c>
      <c r="N5" s="117" t="s">
        <v>29</v>
      </c>
      <c r="O5" s="299">
        <v>75</v>
      </c>
      <c r="P5" s="117" t="s">
        <v>29</v>
      </c>
      <c r="Q5" s="299">
        <v>75</v>
      </c>
      <c r="R5" s="117" t="s">
        <v>29</v>
      </c>
      <c r="S5" s="299">
        <v>78.75</v>
      </c>
      <c r="T5" s="117" t="s">
        <v>29</v>
      </c>
      <c r="U5" s="299">
        <v>78.75</v>
      </c>
      <c r="V5" s="117" t="s">
        <v>29</v>
      </c>
      <c r="W5" s="299">
        <v>78.75</v>
      </c>
      <c r="X5" s="117" t="s">
        <v>29</v>
      </c>
      <c r="Y5" s="298">
        <v>78.75</v>
      </c>
      <c r="Z5" s="26" t="s">
        <v>29</v>
      </c>
      <c r="AA5" s="119"/>
      <c r="AB5" s="120"/>
      <c r="AC5" s="120">
        <v>136140</v>
      </c>
      <c r="AD5" s="120">
        <v>230320</v>
      </c>
      <c r="AE5" s="120">
        <v>326235</v>
      </c>
      <c r="AF5" s="120">
        <v>303528</v>
      </c>
      <c r="AG5" s="120">
        <v>281787.52000000002</v>
      </c>
      <c r="AH5" s="120">
        <v>276285.06</v>
      </c>
      <c r="AI5" s="120">
        <v>281381</v>
      </c>
      <c r="AJ5" s="120">
        <v>286581</v>
      </c>
      <c r="AK5" s="106">
        <v>286036</v>
      </c>
    </row>
    <row r="6" spans="2:39" customFormat="1">
      <c r="B6" s="214" t="s">
        <v>27</v>
      </c>
      <c r="C6" s="117" t="s">
        <v>30</v>
      </c>
      <c r="D6" s="118">
        <v>9.1</v>
      </c>
      <c r="E6" s="299">
        <v>240</v>
      </c>
      <c r="F6" s="117" t="s">
        <v>29</v>
      </c>
      <c r="G6" s="299">
        <v>240</v>
      </c>
      <c r="H6" s="117" t="s">
        <v>29</v>
      </c>
      <c r="I6" s="299">
        <v>240</v>
      </c>
      <c r="J6" s="117" t="s">
        <v>29</v>
      </c>
      <c r="K6" s="299">
        <v>240</v>
      </c>
      <c r="L6" s="117" t="s">
        <v>29</v>
      </c>
      <c r="M6" s="299">
        <v>240</v>
      </c>
      <c r="N6" s="117" t="s">
        <v>29</v>
      </c>
      <c r="O6" s="299">
        <v>240</v>
      </c>
      <c r="P6" s="117" t="s">
        <v>29</v>
      </c>
      <c r="Q6" s="299">
        <v>240</v>
      </c>
      <c r="R6" s="117" t="s">
        <v>29</v>
      </c>
      <c r="S6" s="299">
        <v>251.25</v>
      </c>
      <c r="T6" s="117" t="s">
        <v>29</v>
      </c>
      <c r="U6" s="299">
        <v>251.25</v>
      </c>
      <c r="V6" s="117" t="s">
        <v>29</v>
      </c>
      <c r="W6" s="299">
        <v>251.25</v>
      </c>
      <c r="X6" s="117" t="s">
        <v>29</v>
      </c>
      <c r="Y6" s="298">
        <v>251.25</v>
      </c>
      <c r="Z6" s="26" t="s">
        <v>29</v>
      </c>
      <c r="AA6" s="119"/>
      <c r="AB6" s="120">
        <v>1095580</v>
      </c>
      <c r="AC6" s="120">
        <v>1096816</v>
      </c>
      <c r="AD6" s="120">
        <v>1084903</v>
      </c>
      <c r="AE6" s="120">
        <v>1051340</v>
      </c>
      <c r="AF6" s="120">
        <v>969583</v>
      </c>
      <c r="AG6" s="120">
        <v>906014.09</v>
      </c>
      <c r="AH6" s="120">
        <v>881596.54</v>
      </c>
      <c r="AI6" s="120">
        <v>900866</v>
      </c>
      <c r="AJ6" s="120">
        <v>914256</v>
      </c>
      <c r="AK6" s="106">
        <v>915823</v>
      </c>
    </row>
    <row r="7" spans="2:39" customFormat="1">
      <c r="B7" s="214" t="s">
        <v>31</v>
      </c>
      <c r="C7" s="117" t="s">
        <v>32</v>
      </c>
      <c r="D7" s="118">
        <v>7.6</v>
      </c>
      <c r="E7" s="299">
        <v>150</v>
      </c>
      <c r="F7" s="117" t="s">
        <v>29</v>
      </c>
      <c r="G7" s="299">
        <v>150</v>
      </c>
      <c r="H7" s="117" t="s">
        <v>29</v>
      </c>
      <c r="I7" s="299">
        <v>150</v>
      </c>
      <c r="J7" s="117" t="s">
        <v>29</v>
      </c>
      <c r="K7" s="299">
        <v>157.5</v>
      </c>
      <c r="L7" s="117" t="s">
        <v>29</v>
      </c>
      <c r="M7" s="299">
        <v>165</v>
      </c>
      <c r="N7" s="117" t="s">
        <v>29</v>
      </c>
      <c r="O7" s="299">
        <v>172.5</v>
      </c>
      <c r="P7" s="117" t="s">
        <v>29</v>
      </c>
      <c r="Q7" s="299">
        <v>180</v>
      </c>
      <c r="R7" s="117" t="s">
        <v>29</v>
      </c>
      <c r="S7" s="299">
        <v>180</v>
      </c>
      <c r="T7" s="117" t="s">
        <v>29</v>
      </c>
      <c r="U7" s="299">
        <v>180</v>
      </c>
      <c r="V7" s="117" t="s">
        <v>29</v>
      </c>
      <c r="W7" s="299">
        <v>180</v>
      </c>
      <c r="X7" s="117" t="s">
        <v>29</v>
      </c>
      <c r="Y7" s="298">
        <v>180</v>
      </c>
      <c r="Z7" s="26" t="s">
        <v>29</v>
      </c>
      <c r="AA7" s="119"/>
      <c r="AB7" s="120">
        <v>695700</v>
      </c>
      <c r="AC7" s="120">
        <v>689417</v>
      </c>
      <c r="AD7" s="120">
        <v>683418</v>
      </c>
      <c r="AE7" s="120">
        <v>688229</v>
      </c>
      <c r="AF7" s="120">
        <v>674286</v>
      </c>
      <c r="AG7" s="120">
        <v>651746.49</v>
      </c>
      <c r="AH7" s="120">
        <v>665321.75</v>
      </c>
      <c r="AI7" s="120">
        <v>653344</v>
      </c>
      <c r="AJ7" s="120">
        <v>661494</v>
      </c>
      <c r="AK7" s="106">
        <v>663924</v>
      </c>
    </row>
    <row r="8" spans="2:39" customFormat="1">
      <c r="B8" s="214" t="s">
        <v>33</v>
      </c>
      <c r="C8" s="117" t="s">
        <v>32</v>
      </c>
      <c r="D8" s="118">
        <v>5.6</v>
      </c>
      <c r="E8" s="299">
        <v>71.400000000000006</v>
      </c>
      <c r="F8" s="117" t="s">
        <v>29</v>
      </c>
      <c r="G8" s="299">
        <v>95.4</v>
      </c>
      <c r="H8" s="117" t="s">
        <v>29</v>
      </c>
      <c r="I8" s="299">
        <v>107.4</v>
      </c>
      <c r="J8" s="117" t="s">
        <v>29</v>
      </c>
      <c r="K8" s="299">
        <v>162</v>
      </c>
      <c r="L8" s="117" t="s">
        <v>29</v>
      </c>
      <c r="M8" s="299">
        <v>162</v>
      </c>
      <c r="N8" s="117" t="s">
        <v>29</v>
      </c>
      <c r="O8" s="299">
        <v>162</v>
      </c>
      <c r="P8" s="117" t="s">
        <v>29</v>
      </c>
      <c r="Q8" s="299">
        <v>174</v>
      </c>
      <c r="R8" s="117" t="s">
        <v>29</v>
      </c>
      <c r="S8" s="299">
        <v>217.5</v>
      </c>
      <c r="T8" s="117" t="s">
        <v>29</v>
      </c>
      <c r="U8" s="299">
        <v>217.5</v>
      </c>
      <c r="V8" s="117" t="s">
        <v>29</v>
      </c>
      <c r="W8" s="299">
        <v>247.5</v>
      </c>
      <c r="X8" s="117" t="s">
        <v>29</v>
      </c>
      <c r="Y8" s="298"/>
      <c r="Z8" s="26"/>
      <c r="AA8" s="119"/>
      <c r="AB8" s="120">
        <v>357291</v>
      </c>
      <c r="AC8" s="120">
        <v>487888</v>
      </c>
      <c r="AD8" s="120">
        <v>545259</v>
      </c>
      <c r="AE8" s="120">
        <v>832447</v>
      </c>
      <c r="AF8" s="120">
        <v>737450</v>
      </c>
      <c r="AG8" s="120">
        <v>722212.23</v>
      </c>
      <c r="AH8" s="120">
        <v>763522.7</v>
      </c>
      <c r="AI8" s="120">
        <v>775861</v>
      </c>
      <c r="AJ8" s="120">
        <v>791216</v>
      </c>
      <c r="AK8" s="106">
        <v>953696</v>
      </c>
    </row>
    <row r="9" spans="2:39" customFormat="1">
      <c r="B9" s="214" t="s">
        <v>34</v>
      </c>
      <c r="C9" s="117" t="s">
        <v>32</v>
      </c>
      <c r="D9" s="118">
        <v>5.7</v>
      </c>
      <c r="E9" s="299">
        <v>51.6</v>
      </c>
      <c r="F9" s="117" t="s">
        <v>29</v>
      </c>
      <c r="G9" s="299">
        <v>51.6</v>
      </c>
      <c r="H9" s="117" t="s">
        <v>29</v>
      </c>
      <c r="I9" s="299">
        <v>51.6</v>
      </c>
      <c r="J9" s="117" t="s">
        <v>29</v>
      </c>
      <c r="K9" s="299">
        <v>53.4</v>
      </c>
      <c r="L9" s="117" t="s">
        <v>29</v>
      </c>
      <c r="M9" s="299">
        <v>53.4</v>
      </c>
      <c r="N9" s="117" t="s">
        <v>29</v>
      </c>
      <c r="O9" s="299">
        <v>53.4</v>
      </c>
      <c r="P9" s="117" t="s">
        <v>29</v>
      </c>
      <c r="Q9" s="299">
        <v>53.4</v>
      </c>
      <c r="R9" s="117" t="s">
        <v>29</v>
      </c>
      <c r="S9" s="299">
        <v>53.4</v>
      </c>
      <c r="T9" s="117" t="s">
        <v>29</v>
      </c>
      <c r="U9" s="299">
        <v>53.4</v>
      </c>
      <c r="V9" s="117" t="s">
        <v>29</v>
      </c>
      <c r="W9" s="299">
        <v>89.25</v>
      </c>
      <c r="X9" s="117" t="s">
        <v>29</v>
      </c>
      <c r="Y9" s="298">
        <v>96.75</v>
      </c>
      <c r="Z9" s="26" t="s">
        <v>29</v>
      </c>
      <c r="AA9" s="119"/>
      <c r="AB9" s="120">
        <v>136619</v>
      </c>
      <c r="AC9" s="120">
        <v>143379</v>
      </c>
      <c r="AD9" s="120">
        <v>137200</v>
      </c>
      <c r="AE9" s="120">
        <v>136376</v>
      </c>
      <c r="AF9" s="120">
        <v>126625</v>
      </c>
      <c r="AG9" s="120">
        <v>116363.05</v>
      </c>
      <c r="AH9" s="120">
        <v>113483.9</v>
      </c>
      <c r="AI9" s="120">
        <v>106368</v>
      </c>
      <c r="AJ9" s="120">
        <v>116301</v>
      </c>
      <c r="AK9" s="106">
        <v>183358</v>
      </c>
    </row>
    <row r="10" spans="2:39" customFormat="1">
      <c r="B10" s="214" t="s">
        <v>210</v>
      </c>
      <c r="C10" s="117" t="s">
        <v>32</v>
      </c>
      <c r="D10" s="118">
        <v>6.7</v>
      </c>
      <c r="E10" s="299">
        <v>15</v>
      </c>
      <c r="F10" s="117" t="s">
        <v>35</v>
      </c>
      <c r="G10" s="299">
        <v>15</v>
      </c>
      <c r="H10" s="117" t="s">
        <v>35</v>
      </c>
      <c r="I10" s="299">
        <v>15</v>
      </c>
      <c r="J10" s="117" t="s">
        <v>35</v>
      </c>
      <c r="K10" s="299">
        <v>15</v>
      </c>
      <c r="L10" s="117" t="s">
        <v>35</v>
      </c>
      <c r="M10" s="299">
        <v>15</v>
      </c>
      <c r="N10" s="117" t="s">
        <v>35</v>
      </c>
      <c r="O10" s="299">
        <v>15</v>
      </c>
      <c r="P10" s="117" t="s">
        <v>35</v>
      </c>
      <c r="Q10" s="299">
        <v>15</v>
      </c>
      <c r="R10" s="117" t="s">
        <v>35</v>
      </c>
      <c r="S10" s="299">
        <v>15</v>
      </c>
      <c r="T10" s="117" t="s">
        <v>35</v>
      </c>
      <c r="U10" s="299">
        <v>15</v>
      </c>
      <c r="V10" s="117" t="s">
        <v>35</v>
      </c>
      <c r="W10" s="299">
        <v>15</v>
      </c>
      <c r="X10" s="117" t="s">
        <v>35</v>
      </c>
      <c r="Y10" s="298"/>
      <c r="Z10" s="26"/>
      <c r="AA10" s="119"/>
      <c r="AB10" s="120">
        <v>22650</v>
      </c>
      <c r="AC10" s="120">
        <v>23070</v>
      </c>
      <c r="AD10" s="120">
        <v>22665</v>
      </c>
      <c r="AE10" s="120">
        <v>19005</v>
      </c>
      <c r="AF10" s="120">
        <v>17883</v>
      </c>
      <c r="AG10" s="120">
        <v>15750</v>
      </c>
      <c r="AH10" s="120">
        <v>16275</v>
      </c>
      <c r="AI10" s="120">
        <v>14160</v>
      </c>
      <c r="AJ10" s="120">
        <v>14580</v>
      </c>
      <c r="AK10" s="106"/>
    </row>
    <row r="11" spans="2:39" customFormat="1">
      <c r="B11" s="214" t="s">
        <v>36</v>
      </c>
      <c r="C11" s="117" t="s">
        <v>32</v>
      </c>
      <c r="D11" s="118">
        <v>5.2</v>
      </c>
      <c r="E11" s="299">
        <v>67.8</v>
      </c>
      <c r="F11" s="117" t="s">
        <v>29</v>
      </c>
      <c r="G11" s="299">
        <v>67.8</v>
      </c>
      <c r="H11" s="117" t="s">
        <v>29</v>
      </c>
      <c r="I11" s="299">
        <v>67.8</v>
      </c>
      <c r="J11" s="117" t="s">
        <v>29</v>
      </c>
      <c r="K11" s="299">
        <v>84</v>
      </c>
      <c r="L11" s="117" t="s">
        <v>29</v>
      </c>
      <c r="M11" s="299">
        <v>84</v>
      </c>
      <c r="N11" s="117" t="s">
        <v>29</v>
      </c>
      <c r="O11" s="299">
        <v>84</v>
      </c>
      <c r="P11" s="117" t="s">
        <v>29</v>
      </c>
      <c r="Q11" s="299">
        <v>84</v>
      </c>
      <c r="R11" s="117" t="s">
        <v>29</v>
      </c>
      <c r="S11" s="299">
        <v>84</v>
      </c>
      <c r="T11" s="117" t="s">
        <v>29</v>
      </c>
      <c r="U11" s="299">
        <v>84</v>
      </c>
      <c r="V11" s="117" t="s">
        <v>29</v>
      </c>
      <c r="W11" s="299">
        <v>84</v>
      </c>
      <c r="X11" s="117" t="s">
        <v>29</v>
      </c>
      <c r="Y11" s="298">
        <v>84</v>
      </c>
      <c r="Z11" s="26" t="s">
        <v>29</v>
      </c>
      <c r="AA11" s="119"/>
      <c r="AB11" s="120">
        <v>408570</v>
      </c>
      <c r="AC11" s="120">
        <v>404522</v>
      </c>
      <c r="AD11" s="120">
        <v>396597</v>
      </c>
      <c r="AE11" s="120">
        <v>427826</v>
      </c>
      <c r="AF11" s="120">
        <v>399774</v>
      </c>
      <c r="AG11" s="120">
        <v>369927.48</v>
      </c>
      <c r="AH11" s="120">
        <v>364823.64</v>
      </c>
      <c r="AI11" s="120">
        <v>358956</v>
      </c>
      <c r="AJ11" s="120">
        <v>365085</v>
      </c>
      <c r="AK11" s="106">
        <v>370692</v>
      </c>
    </row>
    <row r="12" spans="2:39" customFormat="1">
      <c r="B12" s="214" t="s">
        <v>37</v>
      </c>
      <c r="C12" s="117" t="s">
        <v>32</v>
      </c>
      <c r="D12" s="118">
        <v>6.8</v>
      </c>
      <c r="E12" s="299">
        <v>6.15</v>
      </c>
      <c r="F12" s="117" t="s">
        <v>29</v>
      </c>
      <c r="G12" s="299">
        <v>6.15</v>
      </c>
      <c r="H12" s="117" t="s">
        <v>29</v>
      </c>
      <c r="I12" s="299">
        <v>6.15</v>
      </c>
      <c r="J12" s="117" t="s">
        <v>29</v>
      </c>
      <c r="K12" s="299">
        <v>6.15</v>
      </c>
      <c r="L12" s="117" t="s">
        <v>29</v>
      </c>
      <c r="M12" s="299">
        <v>6.15</v>
      </c>
      <c r="N12" s="117" t="s">
        <v>29</v>
      </c>
      <c r="O12" s="299">
        <v>6.15</v>
      </c>
      <c r="P12" s="117" t="s">
        <v>29</v>
      </c>
      <c r="Q12" s="299">
        <v>6.15</v>
      </c>
      <c r="R12" s="117" t="s">
        <v>29</v>
      </c>
      <c r="S12" s="299">
        <v>6.15</v>
      </c>
      <c r="T12" s="117" t="s">
        <v>29</v>
      </c>
      <c r="U12" s="299">
        <v>6.15</v>
      </c>
      <c r="V12" s="117" t="s">
        <v>29</v>
      </c>
      <c r="W12" s="299"/>
      <c r="X12" s="117"/>
      <c r="Y12" s="298"/>
      <c r="Z12" s="26"/>
      <c r="AA12" s="119"/>
      <c r="AB12" s="120">
        <v>28175</v>
      </c>
      <c r="AC12" s="120">
        <v>28106</v>
      </c>
      <c r="AD12" s="120">
        <v>30895</v>
      </c>
      <c r="AE12" s="120">
        <v>38428.21</v>
      </c>
      <c r="AF12" s="120">
        <v>35774</v>
      </c>
      <c r="AG12" s="120">
        <v>33018.06</v>
      </c>
      <c r="AH12" s="120">
        <v>29920.74</v>
      </c>
      <c r="AI12" s="120">
        <v>32587</v>
      </c>
      <c r="AJ12" s="120">
        <v>22396</v>
      </c>
      <c r="AK12" s="106"/>
    </row>
    <row r="13" spans="2:39" customFormat="1">
      <c r="B13" s="214" t="s">
        <v>38</v>
      </c>
      <c r="C13" s="117" t="s">
        <v>32</v>
      </c>
      <c r="D13" s="118">
        <v>4.4000000000000004</v>
      </c>
      <c r="E13" s="299">
        <v>116.25</v>
      </c>
      <c r="F13" s="117" t="s">
        <v>29</v>
      </c>
      <c r="G13" s="299">
        <v>127.5</v>
      </c>
      <c r="H13" s="117" t="s">
        <v>29</v>
      </c>
      <c r="I13" s="299">
        <v>131.25</v>
      </c>
      <c r="J13" s="117" t="s">
        <v>29</v>
      </c>
      <c r="K13" s="299">
        <v>150</v>
      </c>
      <c r="L13" s="117" t="s">
        <v>29</v>
      </c>
      <c r="M13" s="299">
        <v>150</v>
      </c>
      <c r="N13" s="117" t="s">
        <v>29</v>
      </c>
      <c r="O13" s="299">
        <v>150</v>
      </c>
      <c r="P13" s="117" t="s">
        <v>29</v>
      </c>
      <c r="Q13" s="299">
        <v>165</v>
      </c>
      <c r="R13" s="117" t="s">
        <v>29</v>
      </c>
      <c r="S13" s="299">
        <v>165</v>
      </c>
      <c r="T13" s="117" t="s">
        <v>29</v>
      </c>
      <c r="U13" s="299">
        <v>165</v>
      </c>
      <c r="V13" s="117" t="s">
        <v>29</v>
      </c>
      <c r="W13" s="299">
        <v>179.25</v>
      </c>
      <c r="X13" s="117" t="s">
        <v>29</v>
      </c>
      <c r="Y13" s="298">
        <v>198</v>
      </c>
      <c r="Z13" s="26" t="s">
        <v>29</v>
      </c>
      <c r="AA13" s="119"/>
      <c r="AB13" s="120">
        <v>530655</v>
      </c>
      <c r="AC13" s="120">
        <v>582680</v>
      </c>
      <c r="AD13" s="120">
        <v>593436</v>
      </c>
      <c r="AE13" s="120">
        <v>652334</v>
      </c>
      <c r="AF13" s="120">
        <v>607226</v>
      </c>
      <c r="AG13" s="120">
        <v>563559</v>
      </c>
      <c r="AH13" s="120">
        <v>602630.28</v>
      </c>
      <c r="AI13" s="120">
        <v>595665</v>
      </c>
      <c r="AJ13" s="120">
        <v>600321</v>
      </c>
      <c r="AK13" s="106">
        <v>670664</v>
      </c>
    </row>
    <row r="14" spans="2:39" customFormat="1">
      <c r="B14" s="64" t="s">
        <v>257</v>
      </c>
      <c r="C14" s="26" t="s">
        <v>28</v>
      </c>
      <c r="D14" s="354"/>
      <c r="E14" s="299"/>
      <c r="F14" s="117"/>
      <c r="G14" s="299"/>
      <c r="H14" s="117"/>
      <c r="I14" s="299"/>
      <c r="J14" s="117"/>
      <c r="K14" s="299"/>
      <c r="L14" s="117"/>
      <c r="M14" s="299"/>
      <c r="N14" s="117"/>
      <c r="O14" s="299"/>
      <c r="P14" s="117"/>
      <c r="Q14" s="299"/>
      <c r="R14" s="117"/>
      <c r="S14" s="299"/>
      <c r="T14" s="117"/>
      <c r="U14" s="299"/>
      <c r="V14" s="117"/>
      <c r="W14" s="299"/>
      <c r="X14" s="117"/>
      <c r="Y14" s="298">
        <v>277.5</v>
      </c>
      <c r="Z14" s="26" t="s">
        <v>29</v>
      </c>
      <c r="AA14" s="119"/>
      <c r="AB14" s="120"/>
      <c r="AC14" s="120"/>
      <c r="AD14" s="120"/>
      <c r="AE14" s="120"/>
      <c r="AF14" s="120"/>
      <c r="AG14" s="120"/>
      <c r="AH14" s="120"/>
      <c r="AI14" s="120"/>
      <c r="AJ14" s="120"/>
      <c r="AK14" s="106"/>
    </row>
    <row r="15" spans="2:39" customFormat="1">
      <c r="B15" s="64"/>
      <c r="C15" s="26"/>
      <c r="D15" s="354"/>
      <c r="E15" s="299"/>
      <c r="F15" s="117"/>
      <c r="G15" s="299"/>
      <c r="H15" s="117"/>
      <c r="I15" s="299"/>
      <c r="J15" s="117"/>
      <c r="K15" s="299"/>
      <c r="L15" s="117"/>
      <c r="M15" s="299"/>
      <c r="N15" s="117"/>
      <c r="O15" s="299"/>
      <c r="P15" s="117"/>
      <c r="Q15" s="299"/>
      <c r="R15" s="117"/>
      <c r="S15" s="299"/>
      <c r="T15" s="117"/>
      <c r="U15" s="299"/>
      <c r="V15" s="117"/>
      <c r="W15" s="299"/>
      <c r="X15" s="117"/>
      <c r="Y15" s="298"/>
      <c r="Z15" s="26"/>
      <c r="AA15" s="119"/>
      <c r="AB15" s="120"/>
      <c r="AC15" s="120"/>
      <c r="AD15" s="120"/>
      <c r="AE15" s="120"/>
      <c r="AF15" s="120"/>
      <c r="AG15" s="120"/>
      <c r="AH15" s="120"/>
      <c r="AI15" s="120"/>
      <c r="AJ15" s="120"/>
      <c r="AK15" s="106"/>
    </row>
    <row r="16" spans="2:39" customFormat="1">
      <c r="B16" s="64"/>
      <c r="C16" s="26"/>
      <c r="D16" s="354"/>
      <c r="E16" s="299"/>
      <c r="F16" s="117"/>
      <c r="G16" s="299"/>
      <c r="H16" s="117"/>
      <c r="I16" s="299"/>
      <c r="J16" s="117"/>
      <c r="K16" s="299"/>
      <c r="L16" s="117"/>
      <c r="M16" s="299"/>
      <c r="N16" s="117"/>
      <c r="O16" s="299"/>
      <c r="P16" s="117"/>
      <c r="Q16" s="299"/>
      <c r="R16" s="117"/>
      <c r="S16" s="299"/>
      <c r="T16" s="117"/>
      <c r="U16" s="299"/>
      <c r="V16" s="117"/>
      <c r="W16" s="299"/>
      <c r="X16" s="117"/>
      <c r="Y16" s="298"/>
      <c r="Z16" s="26"/>
      <c r="AA16" s="119"/>
      <c r="AB16" s="120"/>
      <c r="AC16" s="120"/>
      <c r="AD16" s="120"/>
      <c r="AE16" s="120"/>
      <c r="AF16" s="120"/>
      <c r="AG16" s="120"/>
      <c r="AH16" s="120"/>
      <c r="AI16" s="120"/>
      <c r="AJ16" s="120"/>
      <c r="AK16" s="106"/>
    </row>
    <row r="17" spans="2:38" customFormat="1">
      <c r="B17" s="64"/>
      <c r="C17" s="26"/>
      <c r="D17" s="354"/>
      <c r="E17" s="299"/>
      <c r="F17" s="117"/>
      <c r="G17" s="299"/>
      <c r="H17" s="117"/>
      <c r="I17" s="299"/>
      <c r="J17" s="117"/>
      <c r="K17" s="299"/>
      <c r="L17" s="117"/>
      <c r="M17" s="299"/>
      <c r="N17" s="117"/>
      <c r="O17" s="299"/>
      <c r="P17" s="117"/>
      <c r="Q17" s="299"/>
      <c r="R17" s="117"/>
      <c r="S17" s="299"/>
      <c r="T17" s="117"/>
      <c r="U17" s="299"/>
      <c r="V17" s="117"/>
      <c r="W17" s="299"/>
      <c r="X17" s="117"/>
      <c r="Y17" s="298"/>
      <c r="Z17" s="26"/>
      <c r="AA17" s="119"/>
      <c r="AB17" s="120"/>
      <c r="AC17" s="120"/>
      <c r="AD17" s="120"/>
      <c r="AE17" s="120"/>
      <c r="AF17" s="120"/>
      <c r="AG17" s="120"/>
      <c r="AH17" s="120"/>
      <c r="AI17" s="120"/>
      <c r="AJ17" s="120"/>
      <c r="AK17" s="106"/>
    </row>
    <row r="18" spans="2:38" customFormat="1">
      <c r="B18" s="64"/>
      <c r="C18" s="26"/>
      <c r="D18" s="354"/>
      <c r="E18" s="299"/>
      <c r="F18" s="117"/>
      <c r="G18" s="299"/>
      <c r="H18" s="117"/>
      <c r="I18" s="299"/>
      <c r="J18" s="117"/>
      <c r="K18" s="299"/>
      <c r="L18" s="117"/>
      <c r="M18" s="299"/>
      <c r="N18" s="117"/>
      <c r="O18" s="299"/>
      <c r="P18" s="117"/>
      <c r="Q18" s="299"/>
      <c r="R18" s="117"/>
      <c r="S18" s="299"/>
      <c r="T18" s="117"/>
      <c r="U18" s="299"/>
      <c r="V18" s="117"/>
      <c r="W18" s="299"/>
      <c r="X18" s="117"/>
      <c r="Y18" s="298"/>
      <c r="Z18" s="26"/>
      <c r="AA18" s="119"/>
      <c r="AB18" s="120"/>
      <c r="AC18" s="120"/>
      <c r="AD18" s="120"/>
      <c r="AE18" s="120"/>
      <c r="AF18" s="120"/>
      <c r="AG18" s="120"/>
      <c r="AH18" s="120"/>
      <c r="AI18" s="120"/>
      <c r="AJ18" s="120"/>
      <c r="AK18" s="106"/>
    </row>
    <row r="19" spans="2:38" customFormat="1">
      <c r="B19" s="64"/>
      <c r="C19" s="26"/>
      <c r="D19" s="354"/>
      <c r="E19" s="299"/>
      <c r="F19" s="117"/>
      <c r="G19" s="299"/>
      <c r="H19" s="117"/>
      <c r="I19" s="299"/>
      <c r="J19" s="117"/>
      <c r="K19" s="299"/>
      <c r="L19" s="117"/>
      <c r="M19" s="299"/>
      <c r="N19" s="117"/>
      <c r="O19" s="299"/>
      <c r="P19" s="117"/>
      <c r="Q19" s="299"/>
      <c r="R19" s="117"/>
      <c r="S19" s="299"/>
      <c r="T19" s="117"/>
      <c r="U19" s="299"/>
      <c r="V19" s="117"/>
      <c r="W19" s="299"/>
      <c r="X19" s="117"/>
      <c r="Y19" s="298"/>
      <c r="Z19" s="26"/>
      <c r="AA19" s="119"/>
      <c r="AB19" s="120"/>
      <c r="AC19" s="120"/>
      <c r="AD19" s="120"/>
      <c r="AE19" s="120"/>
      <c r="AF19" s="120"/>
      <c r="AG19" s="120"/>
      <c r="AH19" s="120"/>
      <c r="AI19" s="120"/>
      <c r="AJ19" s="120"/>
      <c r="AK19" s="106"/>
    </row>
    <row r="20" spans="2:38" customFormat="1">
      <c r="B20" s="116" t="s">
        <v>169</v>
      </c>
      <c r="C20" s="117"/>
      <c r="D20" s="118"/>
      <c r="E20" s="299"/>
      <c r="F20" s="117"/>
      <c r="G20" s="299"/>
      <c r="H20" s="117"/>
      <c r="I20" s="299"/>
      <c r="J20" s="117"/>
      <c r="K20" s="299"/>
      <c r="L20" s="117"/>
      <c r="M20" s="299"/>
      <c r="N20" s="117"/>
      <c r="O20" s="299"/>
      <c r="P20" s="117"/>
      <c r="Q20" s="299"/>
      <c r="R20" s="117"/>
      <c r="S20" s="299"/>
      <c r="T20" s="117"/>
      <c r="U20" s="299"/>
      <c r="V20" s="117"/>
      <c r="W20" s="299"/>
      <c r="X20" s="117"/>
      <c r="Y20" s="299"/>
      <c r="Z20" s="117"/>
      <c r="AA20" s="119"/>
      <c r="AB20" s="120"/>
      <c r="AC20" s="120"/>
      <c r="AD20" s="120"/>
      <c r="AE20" s="120"/>
      <c r="AF20" s="120"/>
      <c r="AG20" s="120"/>
      <c r="AH20" s="120"/>
      <c r="AI20" s="120"/>
      <c r="AJ20" s="120"/>
      <c r="AK20" s="120"/>
    </row>
    <row r="21" spans="2:38" customFormat="1">
      <c r="B21" s="15"/>
      <c r="C21" s="15"/>
      <c r="D21" s="24"/>
      <c r="E21" s="300"/>
      <c r="F21" s="15"/>
      <c r="G21" s="300"/>
      <c r="H21" s="15"/>
      <c r="I21" s="300"/>
      <c r="J21" s="15"/>
      <c r="K21" s="300"/>
      <c r="L21" s="15"/>
      <c r="M21" s="300"/>
      <c r="N21" s="15"/>
      <c r="O21" s="300"/>
      <c r="P21" s="15"/>
      <c r="Q21" s="300"/>
      <c r="R21" s="15"/>
      <c r="S21" s="300"/>
      <c r="T21" s="15"/>
      <c r="U21" s="300"/>
      <c r="V21" s="15"/>
      <c r="W21" s="300"/>
      <c r="X21" s="15"/>
      <c r="Y21" s="300"/>
      <c r="Z21" s="15"/>
      <c r="AA21" s="15"/>
      <c r="AB21" s="107"/>
      <c r="AC21" s="107"/>
      <c r="AD21" s="107"/>
      <c r="AE21" s="107"/>
      <c r="AF21" s="107"/>
      <c r="AG21" s="107"/>
      <c r="AH21" s="107"/>
      <c r="AI21" s="107"/>
      <c r="AJ21" s="107"/>
      <c r="AK21" s="107"/>
    </row>
    <row r="22" spans="2:38" s="18" customFormat="1" ht="17.25" customHeight="1">
      <c r="B22" s="16" t="s">
        <v>213</v>
      </c>
      <c r="C22" s="17"/>
      <c r="D22" s="84"/>
      <c r="E22" s="301"/>
      <c r="F22" s="75"/>
      <c r="G22" s="301"/>
      <c r="H22" s="75"/>
      <c r="I22" s="301"/>
      <c r="J22" s="75"/>
      <c r="K22" s="301"/>
      <c r="L22" s="75"/>
      <c r="M22" s="301"/>
      <c r="N22" s="76"/>
      <c r="O22" s="307"/>
      <c r="Q22" s="308"/>
      <c r="S22" s="308"/>
      <c r="U22" s="308"/>
      <c r="W22" s="308"/>
      <c r="Y22" s="308"/>
      <c r="AB22" s="108">
        <f>SUM(AB$4:AB21)</f>
        <v>3275240</v>
      </c>
      <c r="AC22" s="108">
        <f>SUM(AC$4:AC21)</f>
        <v>3592018</v>
      </c>
      <c r="AD22" s="108">
        <f>SUM(AD$4:AD21)</f>
        <v>3724693</v>
      </c>
      <c r="AE22" s="108">
        <f>SUM(AE$4:AE21)</f>
        <v>4172220.21</v>
      </c>
      <c r="AF22" s="108">
        <f>SUM(AF$4:AF21)</f>
        <v>3872129</v>
      </c>
      <c r="AG22" s="108">
        <f>SUM(AG$4:AG21)</f>
        <v>3660377.92</v>
      </c>
      <c r="AH22" s="108">
        <f>SUM(AH$4:AH21)</f>
        <v>3713859.6100000003</v>
      </c>
      <c r="AI22" s="108">
        <f>SUM(AI$4:AI21)</f>
        <v>3719188</v>
      </c>
      <c r="AJ22" s="108">
        <f>SUM(AJ$4:AJ21)</f>
        <v>3772230</v>
      </c>
      <c r="AK22" s="108">
        <f>SUM(AK$4:AK21)</f>
        <v>4044193</v>
      </c>
    </row>
    <row r="23" spans="2:38" s="18" customFormat="1" ht="17.25" customHeight="1">
      <c r="B23" s="224"/>
      <c r="C23" s="17"/>
      <c r="D23" s="84"/>
      <c r="E23" s="301"/>
      <c r="F23" s="75"/>
      <c r="G23" s="301"/>
      <c r="H23" s="75"/>
      <c r="I23" s="301"/>
      <c r="J23" s="75"/>
      <c r="K23" s="301"/>
      <c r="L23" s="75"/>
      <c r="M23" s="301"/>
      <c r="N23" s="76"/>
      <c r="O23" s="307"/>
      <c r="Q23" s="308"/>
      <c r="S23" s="308"/>
      <c r="U23" s="308"/>
      <c r="W23" s="308"/>
      <c r="Y23" s="308"/>
      <c r="AA23"/>
      <c r="AB23" s="107"/>
      <c r="AC23" s="107"/>
      <c r="AD23" s="107"/>
      <c r="AE23" s="107"/>
      <c r="AF23" s="107"/>
      <c r="AG23" s="107"/>
      <c r="AH23" s="107"/>
      <c r="AI23" s="107"/>
      <c r="AJ23" s="107"/>
      <c r="AK23" s="107"/>
      <c r="AL23"/>
    </row>
    <row r="24" spans="2:38" s="18" customFormat="1">
      <c r="B24" s="225" t="s">
        <v>211</v>
      </c>
      <c r="C24" s="17"/>
      <c r="D24" s="226"/>
      <c r="E24" s="302"/>
      <c r="F24" s="227"/>
      <c r="G24" s="302"/>
      <c r="H24" s="227"/>
      <c r="I24" s="302"/>
      <c r="J24" s="227"/>
      <c r="K24" s="302"/>
      <c r="L24" s="227"/>
      <c r="M24" s="302"/>
      <c r="N24" s="76"/>
      <c r="O24" s="302"/>
      <c r="P24"/>
      <c r="Q24" s="302"/>
      <c r="R24"/>
      <c r="S24" s="302"/>
      <c r="T24"/>
      <c r="U24" s="302"/>
      <c r="V24"/>
      <c r="W24" s="302"/>
      <c r="Y24" s="302"/>
      <c r="AB24" s="120">
        <v>1919375</v>
      </c>
      <c r="AC24" s="120">
        <v>1980442</v>
      </c>
      <c r="AD24" s="120">
        <v>1958414</v>
      </c>
      <c r="AE24" s="120">
        <v>2177637</v>
      </c>
      <c r="AF24" s="120">
        <v>2078158</v>
      </c>
      <c r="AG24" s="120">
        <v>1916837</v>
      </c>
      <c r="AH24" s="120">
        <v>2008775</v>
      </c>
      <c r="AI24" s="120">
        <v>1999620</v>
      </c>
      <c r="AJ24" s="120">
        <v>2048666</v>
      </c>
      <c r="AK24" s="106">
        <v>2154342</v>
      </c>
    </row>
    <row r="25" spans="2:38" s="18" customFormat="1" ht="17.25" customHeight="1">
      <c r="B25" s="225" t="s">
        <v>212</v>
      </c>
      <c r="C25" s="17"/>
      <c r="D25" s="226"/>
      <c r="E25" s="302"/>
      <c r="F25" s="227"/>
      <c r="G25" s="302"/>
      <c r="H25" s="227"/>
      <c r="I25" s="302"/>
      <c r="J25" s="227"/>
      <c r="K25" s="302"/>
      <c r="L25" s="227"/>
      <c r="M25" s="302"/>
      <c r="N25" s="76"/>
      <c r="O25" s="302"/>
      <c r="P25"/>
      <c r="Q25" s="302"/>
      <c r="R25"/>
      <c r="S25" s="302"/>
      <c r="T25"/>
      <c r="U25" s="302"/>
      <c r="V25"/>
      <c r="W25" s="302"/>
      <c r="Y25" s="302"/>
      <c r="AB25" s="120">
        <v>1355865</v>
      </c>
      <c r="AC25" s="120">
        <v>1611576</v>
      </c>
      <c r="AD25" s="120">
        <v>1766279</v>
      </c>
      <c r="AE25" s="120">
        <v>1994583</v>
      </c>
      <c r="AF25" s="120">
        <v>1793971</v>
      </c>
      <c r="AG25" s="120">
        <v>1743541</v>
      </c>
      <c r="AH25" s="120">
        <v>1705085</v>
      </c>
      <c r="AI25" s="120">
        <v>1719568</v>
      </c>
      <c r="AJ25" s="120">
        <v>1723564</v>
      </c>
      <c r="AK25" s="106">
        <v>1889851</v>
      </c>
    </row>
    <row r="26" spans="2:38" s="18" customFormat="1" ht="17.25" customHeight="1">
      <c r="B26" s="225" t="s">
        <v>213</v>
      </c>
      <c r="C26" s="17"/>
      <c r="D26" s="226"/>
      <c r="E26" s="302"/>
      <c r="F26" s="227"/>
      <c r="G26" s="302"/>
      <c r="H26" s="227"/>
      <c r="I26" s="302"/>
      <c r="J26" s="227"/>
      <c r="K26" s="302"/>
      <c r="L26" s="227"/>
      <c r="M26" s="302"/>
      <c r="N26" s="76"/>
      <c r="O26" s="302"/>
      <c r="P26"/>
      <c r="Q26" s="302"/>
      <c r="R26"/>
      <c r="S26" s="302"/>
      <c r="T26"/>
      <c r="U26" s="302"/>
      <c r="V26"/>
      <c r="W26" s="302"/>
      <c r="Y26" s="302"/>
      <c r="AB26" s="108">
        <f>SUM(AB24:AB25)</f>
        <v>3275240</v>
      </c>
      <c r="AC26" s="108">
        <f t="shared" ref="AC26:AK26" si="0">SUM(AC24:AC25)</f>
        <v>3592018</v>
      </c>
      <c r="AD26" s="108">
        <f t="shared" si="0"/>
        <v>3724693</v>
      </c>
      <c r="AE26" s="108">
        <f t="shared" si="0"/>
        <v>4172220</v>
      </c>
      <c r="AF26" s="108">
        <f t="shared" si="0"/>
        <v>3872129</v>
      </c>
      <c r="AG26" s="108">
        <f t="shared" si="0"/>
        <v>3660378</v>
      </c>
      <c r="AH26" s="108">
        <f t="shared" si="0"/>
        <v>3713860</v>
      </c>
      <c r="AI26" s="108">
        <f t="shared" si="0"/>
        <v>3719188</v>
      </c>
      <c r="AJ26" s="108">
        <f t="shared" si="0"/>
        <v>3772230</v>
      </c>
      <c r="AK26" s="108">
        <f t="shared" si="0"/>
        <v>4044193</v>
      </c>
    </row>
    <row r="27" spans="2:38" ht="23.25" customHeight="1" thickBot="1">
      <c r="B27" s="19" t="s">
        <v>0</v>
      </c>
      <c r="C27" s="19"/>
      <c r="D27" s="25" t="s">
        <v>0</v>
      </c>
      <c r="E27" s="303" t="s">
        <v>0</v>
      </c>
      <c r="F27" s="20" t="s">
        <v>0</v>
      </c>
      <c r="G27" s="303" t="s">
        <v>0</v>
      </c>
      <c r="H27" s="20" t="s">
        <v>0</v>
      </c>
      <c r="I27" s="303" t="s">
        <v>0</v>
      </c>
      <c r="J27" s="20" t="s">
        <v>0</v>
      </c>
      <c r="K27" s="303" t="s">
        <v>0</v>
      </c>
      <c r="L27" s="20" t="s">
        <v>0</v>
      </c>
      <c r="M27" s="303"/>
      <c r="N27" s="20"/>
      <c r="O27" s="303"/>
      <c r="P27" s="20"/>
      <c r="Q27" s="303"/>
      <c r="R27" s="20"/>
      <c r="S27" s="303"/>
      <c r="T27" s="20"/>
      <c r="U27" s="303"/>
      <c r="V27" s="20"/>
      <c r="W27" s="303"/>
      <c r="X27" s="20"/>
      <c r="Y27" s="303"/>
      <c r="Z27" s="20"/>
      <c r="AA27" s="20"/>
      <c r="AB27" s="109" t="s">
        <v>0</v>
      </c>
      <c r="AC27" s="109" t="s">
        <v>0</v>
      </c>
      <c r="AD27" s="109" t="s">
        <v>0</v>
      </c>
      <c r="AE27" s="109" t="s">
        <v>0</v>
      </c>
      <c r="AF27" s="109" t="s">
        <v>0</v>
      </c>
      <c r="AG27" s="109" t="s">
        <v>0</v>
      </c>
      <c r="AH27" s="109" t="s">
        <v>0</v>
      </c>
      <c r="AI27" s="109" t="s">
        <v>0</v>
      </c>
      <c r="AJ27" s="109" t="s">
        <v>0</v>
      </c>
      <c r="AK27" s="109" t="s">
        <v>0</v>
      </c>
    </row>
    <row r="28" spans="2:38" customFormat="1" ht="21.75" customHeight="1">
      <c r="B28" s="65" t="s">
        <v>39</v>
      </c>
      <c r="C28" s="27"/>
      <c r="D28" s="28"/>
      <c r="E28" s="304"/>
      <c r="F28" s="27"/>
      <c r="G28" s="304"/>
      <c r="H28" s="27"/>
      <c r="I28" s="304"/>
      <c r="J28" s="27"/>
      <c r="K28" s="304"/>
      <c r="L28" s="27"/>
      <c r="M28" s="304"/>
      <c r="N28" s="27"/>
      <c r="O28" s="304"/>
      <c r="P28" s="27"/>
      <c r="Q28" s="304"/>
      <c r="R28" s="27"/>
      <c r="S28" s="304"/>
      <c r="T28" s="27"/>
      <c r="U28" s="304"/>
      <c r="V28" s="27"/>
      <c r="W28" s="304"/>
      <c r="X28" s="27"/>
      <c r="Y28" s="304"/>
      <c r="Z28" s="27"/>
      <c r="AA28" s="74"/>
      <c r="AB28" s="110"/>
      <c r="AC28" s="110"/>
      <c r="AD28" s="111"/>
      <c r="AE28" s="111"/>
      <c r="AF28" s="111"/>
      <c r="AG28" s="111"/>
      <c r="AH28" s="111"/>
      <c r="AI28" s="111"/>
      <c r="AJ28" s="111"/>
      <c r="AK28" s="111"/>
    </row>
    <row r="29" spans="2:38" customFormat="1">
      <c r="B29" s="214" t="s">
        <v>199</v>
      </c>
      <c r="C29" s="117" t="s">
        <v>40</v>
      </c>
      <c r="D29" s="118">
        <v>9.1</v>
      </c>
      <c r="E29" s="299">
        <v>1337</v>
      </c>
      <c r="F29" s="117" t="s">
        <v>29</v>
      </c>
      <c r="G29" s="299">
        <v>1371</v>
      </c>
      <c r="H29" s="117" t="s">
        <v>29</v>
      </c>
      <c r="I29" s="299">
        <v>1500</v>
      </c>
      <c r="J29" s="117" t="s">
        <v>29</v>
      </c>
      <c r="K29" s="299">
        <v>1575</v>
      </c>
      <c r="L29" s="117" t="s">
        <v>29</v>
      </c>
      <c r="M29" s="299">
        <v>1654</v>
      </c>
      <c r="N29" s="117" t="s">
        <v>29</v>
      </c>
      <c r="O29" s="299">
        <v>1700</v>
      </c>
      <c r="P29" s="117" t="s">
        <v>29</v>
      </c>
      <c r="Q29" s="309">
        <v>1785</v>
      </c>
      <c r="R29" s="117" t="s">
        <v>29</v>
      </c>
      <c r="S29" s="309">
        <v>1835</v>
      </c>
      <c r="T29" s="117" t="s">
        <v>29</v>
      </c>
      <c r="U29" s="306">
        <v>1900</v>
      </c>
      <c r="V29" s="117" t="s">
        <v>29</v>
      </c>
      <c r="W29" s="306">
        <v>2100</v>
      </c>
      <c r="X29" s="117" t="s">
        <v>29</v>
      </c>
      <c r="Y29" s="355">
        <v>2280</v>
      </c>
      <c r="Z29" s="26" t="s">
        <v>29</v>
      </c>
      <c r="AA29" s="119"/>
      <c r="AB29" s="120">
        <v>2592877</v>
      </c>
      <c r="AC29" s="120">
        <v>2797337</v>
      </c>
      <c r="AD29" s="120">
        <v>2888437</v>
      </c>
      <c r="AE29" s="120">
        <v>2825552</v>
      </c>
      <c r="AF29" s="120">
        <v>2702415</v>
      </c>
      <c r="AG29" s="120">
        <v>2433886.7400000002</v>
      </c>
      <c r="AH29" s="120">
        <v>2136590.38</v>
      </c>
      <c r="AI29" s="120">
        <v>2339565</v>
      </c>
      <c r="AJ29" s="120">
        <v>2473045</v>
      </c>
      <c r="AK29" s="106">
        <v>2492484</v>
      </c>
    </row>
    <row r="30" spans="2:38" customFormat="1">
      <c r="B30" s="214" t="s">
        <v>41</v>
      </c>
      <c r="C30" s="117" t="s">
        <v>28</v>
      </c>
      <c r="D30" s="118">
        <v>6.8</v>
      </c>
      <c r="E30" s="299">
        <v>20</v>
      </c>
      <c r="F30" s="117" t="s">
        <v>42</v>
      </c>
      <c r="G30" s="299">
        <v>20</v>
      </c>
      <c r="H30" s="117" t="s">
        <v>42</v>
      </c>
      <c r="I30" s="299">
        <v>20</v>
      </c>
      <c r="J30" s="117" t="s">
        <v>42</v>
      </c>
      <c r="K30" s="299">
        <v>20</v>
      </c>
      <c r="L30" s="117" t="s">
        <v>42</v>
      </c>
      <c r="M30" s="299">
        <v>20</v>
      </c>
      <c r="N30" s="117" t="s">
        <v>42</v>
      </c>
      <c r="O30" s="299">
        <v>20</v>
      </c>
      <c r="P30" s="117" t="s">
        <v>42</v>
      </c>
      <c r="Q30" s="309">
        <v>20</v>
      </c>
      <c r="R30" s="117" t="s">
        <v>42</v>
      </c>
      <c r="S30" s="309">
        <v>20</v>
      </c>
      <c r="T30" s="117" t="s">
        <v>42</v>
      </c>
      <c r="U30" s="306">
        <v>20</v>
      </c>
      <c r="V30" s="117" t="s">
        <v>42</v>
      </c>
      <c r="W30" s="306">
        <v>20</v>
      </c>
      <c r="X30" s="117" t="s">
        <v>42</v>
      </c>
      <c r="Y30" s="355"/>
      <c r="Z30" s="26"/>
      <c r="AA30" s="119"/>
      <c r="AB30" s="120">
        <v>12060</v>
      </c>
      <c r="AC30" s="120">
        <v>11730</v>
      </c>
      <c r="AD30" s="120">
        <v>10920</v>
      </c>
      <c r="AE30" s="120">
        <v>12540</v>
      </c>
      <c r="AF30" s="120">
        <v>12560</v>
      </c>
      <c r="AG30" s="120">
        <v>11820</v>
      </c>
      <c r="AH30" s="120">
        <v>11040</v>
      </c>
      <c r="AI30" s="120">
        <v>10240</v>
      </c>
      <c r="AJ30" s="120">
        <v>9540</v>
      </c>
      <c r="AK30" s="106">
        <v>780</v>
      </c>
    </row>
    <row r="31" spans="2:38" customFormat="1">
      <c r="B31" s="214" t="s">
        <v>43</v>
      </c>
      <c r="C31" s="117" t="s">
        <v>32</v>
      </c>
      <c r="D31" s="118">
        <v>5.3</v>
      </c>
      <c r="E31" s="299">
        <v>30</v>
      </c>
      <c r="F31" s="117" t="s">
        <v>42</v>
      </c>
      <c r="G31" s="299">
        <v>30</v>
      </c>
      <c r="H31" s="117" t="s">
        <v>42</v>
      </c>
      <c r="I31" s="299">
        <v>30</v>
      </c>
      <c r="J31" s="117" t="s">
        <v>42</v>
      </c>
      <c r="K31" s="299">
        <v>30</v>
      </c>
      <c r="L31" s="117" t="s">
        <v>42</v>
      </c>
      <c r="M31" s="299">
        <v>30</v>
      </c>
      <c r="N31" s="117" t="s">
        <v>42</v>
      </c>
      <c r="O31" s="299">
        <v>30</v>
      </c>
      <c r="P31" s="117" t="s">
        <v>42</v>
      </c>
      <c r="Q31" s="309">
        <v>30</v>
      </c>
      <c r="R31" s="117" t="s">
        <v>42</v>
      </c>
      <c r="S31" s="309">
        <v>10</v>
      </c>
      <c r="T31" s="117" t="s">
        <v>42</v>
      </c>
      <c r="U31" s="306">
        <v>10</v>
      </c>
      <c r="V31" s="117" t="s">
        <v>42</v>
      </c>
      <c r="W31" s="306"/>
      <c r="X31" s="117"/>
      <c r="Y31" s="355"/>
      <c r="Z31" s="26"/>
      <c r="AA31" s="119"/>
      <c r="AB31" s="120">
        <v>3037</v>
      </c>
      <c r="AC31" s="120">
        <v>2313</v>
      </c>
      <c r="AD31" s="120">
        <v>569</v>
      </c>
      <c r="AE31" s="120">
        <v>540</v>
      </c>
      <c r="AF31" s="120">
        <v>645</v>
      </c>
      <c r="AG31" s="120">
        <v>560</v>
      </c>
      <c r="AH31" s="120">
        <v>1090</v>
      </c>
      <c r="AI31" s="120">
        <v>0</v>
      </c>
      <c r="AJ31" s="120">
        <v>0</v>
      </c>
      <c r="AK31" s="106">
        <v>0</v>
      </c>
    </row>
    <row r="32" spans="2:38" customFormat="1">
      <c r="B32" s="214" t="s">
        <v>44</v>
      </c>
      <c r="C32" s="117" t="s">
        <v>30</v>
      </c>
      <c r="D32" s="118">
        <v>9.1</v>
      </c>
      <c r="E32" s="299">
        <v>1381</v>
      </c>
      <c r="F32" s="117" t="s">
        <v>29</v>
      </c>
      <c r="G32" s="299">
        <v>1453</v>
      </c>
      <c r="H32" s="117" t="s">
        <v>29</v>
      </c>
      <c r="I32" s="299">
        <v>1525</v>
      </c>
      <c r="J32" s="117" t="s">
        <v>29</v>
      </c>
      <c r="K32" s="299">
        <v>1601</v>
      </c>
      <c r="L32" s="117" t="s">
        <v>29</v>
      </c>
      <c r="M32" s="299">
        <v>1681</v>
      </c>
      <c r="N32" s="117" t="s">
        <v>29</v>
      </c>
      <c r="O32" s="299">
        <v>1765</v>
      </c>
      <c r="P32" s="117" t="s">
        <v>29</v>
      </c>
      <c r="Q32" s="309">
        <v>1853</v>
      </c>
      <c r="R32" s="117" t="s">
        <v>29</v>
      </c>
      <c r="S32" s="309">
        <v>1995</v>
      </c>
      <c r="T32" s="117" t="s">
        <v>29</v>
      </c>
      <c r="U32" s="306">
        <v>2047</v>
      </c>
      <c r="V32" s="117" t="s">
        <v>29</v>
      </c>
      <c r="W32" s="306">
        <v>2180</v>
      </c>
      <c r="X32" s="117" t="s">
        <v>29</v>
      </c>
      <c r="Y32" s="355">
        <v>2355</v>
      </c>
      <c r="Z32" s="26" t="s">
        <v>29</v>
      </c>
      <c r="AA32" s="119"/>
      <c r="AB32" s="120">
        <v>2413674</v>
      </c>
      <c r="AC32" s="120">
        <v>2637333</v>
      </c>
      <c r="AD32" s="120">
        <v>2634863</v>
      </c>
      <c r="AE32" s="120">
        <v>2589058</v>
      </c>
      <c r="AF32" s="120">
        <v>2366486</v>
      </c>
      <c r="AG32" s="120">
        <v>2142296.5499999998</v>
      </c>
      <c r="AH32" s="120">
        <v>2049103.83</v>
      </c>
      <c r="AI32" s="120">
        <v>2363520</v>
      </c>
      <c r="AJ32" s="120">
        <v>2538423</v>
      </c>
      <c r="AK32" s="106">
        <v>2684158</v>
      </c>
    </row>
    <row r="33" spans="2:37" customFormat="1">
      <c r="B33" s="214" t="s">
        <v>204</v>
      </c>
      <c r="C33" s="117" t="s">
        <v>28</v>
      </c>
      <c r="D33" s="354"/>
      <c r="E33" s="299"/>
      <c r="F33" s="117"/>
      <c r="G33" s="299"/>
      <c r="H33" s="117"/>
      <c r="I33" s="299"/>
      <c r="J33" s="117"/>
      <c r="K33" s="299">
        <v>100</v>
      </c>
      <c r="L33" s="117" t="s">
        <v>29</v>
      </c>
      <c r="M33" s="306">
        <v>100</v>
      </c>
      <c r="N33" s="117" t="s">
        <v>29</v>
      </c>
      <c r="O33" s="306">
        <v>100</v>
      </c>
      <c r="P33" s="117" t="s">
        <v>29</v>
      </c>
      <c r="Q33" s="309">
        <v>100</v>
      </c>
      <c r="R33" s="117" t="s">
        <v>29</v>
      </c>
      <c r="S33" s="309">
        <v>100</v>
      </c>
      <c r="T33" s="117" t="s">
        <v>29</v>
      </c>
      <c r="U33" s="306">
        <v>100</v>
      </c>
      <c r="V33" s="117" t="s">
        <v>29</v>
      </c>
      <c r="W33" s="306">
        <v>100</v>
      </c>
      <c r="X33" s="117" t="s">
        <v>29</v>
      </c>
      <c r="Y33" s="355">
        <v>100</v>
      </c>
      <c r="Z33" s="26" t="s">
        <v>29</v>
      </c>
      <c r="AA33" s="119"/>
      <c r="AB33" s="120"/>
      <c r="AC33" s="120"/>
      <c r="AD33" s="120"/>
      <c r="AE33" s="120">
        <v>35023</v>
      </c>
      <c r="AF33" s="120">
        <v>22880</v>
      </c>
      <c r="AG33" s="120">
        <v>25766.27</v>
      </c>
      <c r="AH33" s="120">
        <v>24013.82</v>
      </c>
      <c r="AI33" s="120">
        <v>26768</v>
      </c>
      <c r="AJ33" s="120">
        <v>27701</v>
      </c>
      <c r="AK33" s="106">
        <v>28901</v>
      </c>
    </row>
    <row r="34" spans="2:37" customFormat="1">
      <c r="B34" s="214" t="s">
        <v>237</v>
      </c>
      <c r="C34" s="117" t="s">
        <v>28</v>
      </c>
      <c r="D34" s="354"/>
      <c r="E34" s="299"/>
      <c r="F34" s="117"/>
      <c r="G34" s="299"/>
      <c r="H34" s="117"/>
      <c r="I34" s="299"/>
      <c r="J34" s="117"/>
      <c r="K34" s="299"/>
      <c r="L34" s="117"/>
      <c r="M34" s="306"/>
      <c r="N34" s="117"/>
      <c r="O34" s="306"/>
      <c r="P34" s="117"/>
      <c r="Q34" s="309">
        <v>100</v>
      </c>
      <c r="R34" s="117" t="s">
        <v>42</v>
      </c>
      <c r="S34" s="309">
        <v>100</v>
      </c>
      <c r="T34" s="117" t="s">
        <v>42</v>
      </c>
      <c r="U34" s="306">
        <v>100</v>
      </c>
      <c r="V34" s="117" t="s">
        <v>42</v>
      </c>
      <c r="W34" s="306">
        <v>100</v>
      </c>
      <c r="X34" s="117" t="s">
        <v>42</v>
      </c>
      <c r="Y34" s="355">
        <v>100</v>
      </c>
      <c r="Z34" s="26" t="s">
        <v>42</v>
      </c>
      <c r="AA34" s="119"/>
      <c r="AB34" s="120"/>
      <c r="AC34" s="120"/>
      <c r="AD34" s="120"/>
      <c r="AE34" s="120"/>
      <c r="AF34" s="120"/>
      <c r="AG34" s="120"/>
      <c r="AH34" s="120">
        <v>45750</v>
      </c>
      <c r="AI34" s="120">
        <v>45500</v>
      </c>
      <c r="AJ34" s="120">
        <v>44400</v>
      </c>
      <c r="AK34" s="106">
        <v>36400</v>
      </c>
    </row>
    <row r="35" spans="2:37" customFormat="1">
      <c r="B35" s="214" t="s">
        <v>238</v>
      </c>
      <c r="C35" s="117" t="s">
        <v>28</v>
      </c>
      <c r="D35" s="354"/>
      <c r="E35" s="299"/>
      <c r="F35" s="117"/>
      <c r="G35" s="299"/>
      <c r="H35" s="117"/>
      <c r="I35" s="299"/>
      <c r="J35" s="117"/>
      <c r="K35" s="299"/>
      <c r="L35" s="117"/>
      <c r="M35" s="306"/>
      <c r="N35" s="117"/>
      <c r="O35" s="306"/>
      <c r="P35" s="117"/>
      <c r="Q35" s="309">
        <v>50</v>
      </c>
      <c r="R35" s="117" t="s">
        <v>42</v>
      </c>
      <c r="S35" s="309">
        <v>50</v>
      </c>
      <c r="T35" s="117" t="s">
        <v>42</v>
      </c>
      <c r="U35" s="306">
        <v>50</v>
      </c>
      <c r="V35" s="117" t="s">
        <v>42</v>
      </c>
      <c r="W35" s="306">
        <v>50</v>
      </c>
      <c r="X35" s="117" t="s">
        <v>42</v>
      </c>
      <c r="Y35" s="355">
        <v>50</v>
      </c>
      <c r="Z35" s="26" t="s">
        <v>42</v>
      </c>
      <c r="AA35" s="119"/>
      <c r="AB35" s="120"/>
      <c r="AC35" s="120"/>
      <c r="AD35" s="120"/>
      <c r="AE35" s="120"/>
      <c r="AF35" s="120"/>
      <c r="AG35" s="120"/>
      <c r="AH35" s="120"/>
      <c r="AI35" s="120"/>
      <c r="AJ35" s="120"/>
      <c r="AK35" s="106"/>
    </row>
    <row r="36" spans="2:37" customFormat="1">
      <c r="B36" s="214" t="s">
        <v>239</v>
      </c>
      <c r="C36" s="117" t="s">
        <v>28</v>
      </c>
      <c r="D36" s="354"/>
      <c r="E36" s="299"/>
      <c r="F36" s="117"/>
      <c r="G36" s="299"/>
      <c r="H36" s="117"/>
      <c r="I36" s="299"/>
      <c r="J36" s="117"/>
      <c r="K36" s="299"/>
      <c r="L36" s="117"/>
      <c r="M36" s="306"/>
      <c r="N36" s="117"/>
      <c r="O36" s="306"/>
      <c r="P36" s="117"/>
      <c r="Q36" s="309">
        <v>150</v>
      </c>
      <c r="R36" s="117" t="s">
        <v>29</v>
      </c>
      <c r="S36" s="309">
        <v>150</v>
      </c>
      <c r="T36" s="117" t="s">
        <v>29</v>
      </c>
      <c r="U36" s="306">
        <v>150</v>
      </c>
      <c r="V36" s="117" t="s">
        <v>29</v>
      </c>
      <c r="W36" s="306">
        <v>125</v>
      </c>
      <c r="X36" s="117" t="s">
        <v>35</v>
      </c>
      <c r="Y36" s="355">
        <v>125</v>
      </c>
      <c r="Z36" s="26" t="s">
        <v>35</v>
      </c>
      <c r="AA36" s="119"/>
      <c r="AB36" s="120"/>
      <c r="AC36" s="120"/>
      <c r="AD36" s="120"/>
      <c r="AE36" s="120"/>
      <c r="AF36" s="120"/>
      <c r="AG36" s="120"/>
      <c r="AH36" s="120">
        <v>11660</v>
      </c>
      <c r="AI36" s="120">
        <v>9860</v>
      </c>
      <c r="AJ36" s="120">
        <v>7750</v>
      </c>
      <c r="AK36" s="106">
        <v>1070</v>
      </c>
    </row>
    <row r="37" spans="2:37" customFormat="1">
      <c r="B37" s="214" t="s">
        <v>240</v>
      </c>
      <c r="C37" s="117" t="s">
        <v>28</v>
      </c>
      <c r="D37" s="354"/>
      <c r="E37" s="299"/>
      <c r="F37" s="117"/>
      <c r="G37" s="299"/>
      <c r="H37" s="117"/>
      <c r="I37" s="299"/>
      <c r="J37" s="117"/>
      <c r="K37" s="299"/>
      <c r="L37" s="117"/>
      <c r="M37" s="306"/>
      <c r="N37" s="117"/>
      <c r="O37" s="306"/>
      <c r="P37" s="117"/>
      <c r="Q37" s="309">
        <v>5</v>
      </c>
      <c r="R37" s="117" t="s">
        <v>42</v>
      </c>
      <c r="S37" s="309">
        <v>5</v>
      </c>
      <c r="T37" s="117" t="s">
        <v>42</v>
      </c>
      <c r="U37" s="306">
        <v>5</v>
      </c>
      <c r="V37" s="117" t="s">
        <v>42</v>
      </c>
      <c r="W37" s="306">
        <v>5</v>
      </c>
      <c r="X37" s="117" t="s">
        <v>42</v>
      </c>
      <c r="Y37" s="355">
        <v>5</v>
      </c>
      <c r="Z37" s="26" t="s">
        <v>42</v>
      </c>
      <c r="AA37" s="119"/>
      <c r="AB37" s="120"/>
      <c r="AC37" s="120"/>
      <c r="AD37" s="120"/>
      <c r="AE37" s="120"/>
      <c r="AF37" s="120"/>
      <c r="AG37" s="120"/>
      <c r="AH37" s="120"/>
      <c r="AI37" s="120"/>
      <c r="AJ37" s="120">
        <v>8218</v>
      </c>
      <c r="AK37" s="106">
        <v>7211</v>
      </c>
    </row>
    <row r="38" spans="2:37" customFormat="1">
      <c r="B38" s="214" t="s">
        <v>241</v>
      </c>
      <c r="C38" s="117" t="s">
        <v>28</v>
      </c>
      <c r="D38" s="354"/>
      <c r="E38" s="299"/>
      <c r="F38" s="117"/>
      <c r="G38" s="299"/>
      <c r="H38" s="117"/>
      <c r="I38" s="299"/>
      <c r="J38" s="117"/>
      <c r="K38" s="299"/>
      <c r="L38" s="117"/>
      <c r="M38" s="306"/>
      <c r="N38" s="117"/>
      <c r="O38" s="306"/>
      <c r="P38" s="117"/>
      <c r="Q38" s="309">
        <v>100</v>
      </c>
      <c r="R38" s="117" t="s">
        <v>29</v>
      </c>
      <c r="S38" s="309">
        <v>100</v>
      </c>
      <c r="T38" s="117" t="s">
        <v>29</v>
      </c>
      <c r="U38" s="306">
        <v>100</v>
      </c>
      <c r="V38" s="117" t="s">
        <v>29</v>
      </c>
      <c r="W38" s="306">
        <v>100</v>
      </c>
      <c r="X38" s="117" t="s">
        <v>29</v>
      </c>
      <c r="Y38" s="355">
        <v>100</v>
      </c>
      <c r="Z38" s="26" t="s">
        <v>29</v>
      </c>
      <c r="AA38" s="119"/>
      <c r="AB38" s="120"/>
      <c r="AC38" s="120"/>
      <c r="AD38" s="120"/>
      <c r="AE38" s="120"/>
      <c r="AF38" s="120"/>
      <c r="AG38" s="120"/>
      <c r="AI38" s="120"/>
      <c r="AJ38" s="120"/>
      <c r="AK38" s="106"/>
    </row>
    <row r="39" spans="2:37" customFormat="1">
      <c r="B39" s="214" t="s">
        <v>243</v>
      </c>
      <c r="C39" s="117" t="s">
        <v>28</v>
      </c>
      <c r="D39" s="354"/>
      <c r="E39" s="299"/>
      <c r="F39" s="117"/>
      <c r="G39" s="299"/>
      <c r="H39" s="117"/>
      <c r="I39" s="299"/>
      <c r="J39" s="117"/>
      <c r="K39" s="299"/>
      <c r="L39" s="117"/>
      <c r="M39" s="306"/>
      <c r="N39" s="117"/>
      <c r="O39" s="306"/>
      <c r="P39" s="117"/>
      <c r="Q39" s="309">
        <v>20</v>
      </c>
      <c r="R39" s="117" t="s">
        <v>42</v>
      </c>
      <c r="S39" s="309">
        <v>20</v>
      </c>
      <c r="T39" s="117" t="s">
        <v>42</v>
      </c>
      <c r="U39" s="306">
        <v>20</v>
      </c>
      <c r="V39" s="117" t="s">
        <v>42</v>
      </c>
      <c r="W39" s="306">
        <v>20</v>
      </c>
      <c r="X39" s="117" t="s">
        <v>42</v>
      </c>
      <c r="Y39" s="355">
        <v>20</v>
      </c>
      <c r="Z39" s="26" t="s">
        <v>42</v>
      </c>
      <c r="AA39" s="119"/>
      <c r="AB39" s="120"/>
      <c r="AC39" s="120"/>
      <c r="AD39" s="120"/>
      <c r="AE39" s="120"/>
      <c r="AF39" s="120"/>
      <c r="AG39" s="120"/>
      <c r="AH39" s="120"/>
      <c r="AI39" s="120"/>
      <c r="AJ39" s="120"/>
      <c r="AK39" s="106"/>
    </row>
    <row r="40" spans="2:37" customFormat="1">
      <c r="B40" s="214" t="s">
        <v>242</v>
      </c>
      <c r="C40" s="117" t="s">
        <v>28</v>
      </c>
      <c r="D40" s="354"/>
      <c r="E40" s="299"/>
      <c r="F40" s="117"/>
      <c r="G40" s="299"/>
      <c r="H40" s="117"/>
      <c r="I40" s="299"/>
      <c r="J40" s="117"/>
      <c r="K40" s="299"/>
      <c r="L40" s="117"/>
      <c r="M40" s="306"/>
      <c r="N40" s="117"/>
      <c r="O40" s="306"/>
      <c r="P40" s="117"/>
      <c r="Q40" s="309">
        <v>20</v>
      </c>
      <c r="R40" s="117" t="s">
        <v>42</v>
      </c>
      <c r="S40" s="309">
        <v>20</v>
      </c>
      <c r="T40" s="117" t="s">
        <v>42</v>
      </c>
      <c r="U40" s="306">
        <v>20</v>
      </c>
      <c r="V40" s="117" t="s">
        <v>42</v>
      </c>
      <c r="W40" s="306">
        <v>20</v>
      </c>
      <c r="X40" s="117" t="s">
        <v>42</v>
      </c>
      <c r="Y40" s="355">
        <v>20</v>
      </c>
      <c r="Z40" s="26" t="s">
        <v>42</v>
      </c>
      <c r="AA40" s="119"/>
      <c r="AB40" s="120"/>
      <c r="AC40" s="120"/>
      <c r="AD40" s="120"/>
      <c r="AE40" s="120"/>
      <c r="AF40" s="120"/>
      <c r="AG40" s="120"/>
      <c r="AH40" s="120">
        <v>6740</v>
      </c>
      <c r="AI40" s="120">
        <v>6020</v>
      </c>
      <c r="AJ40" s="120">
        <v>6340</v>
      </c>
      <c r="AK40" s="106">
        <v>6300</v>
      </c>
    </row>
    <row r="41" spans="2:37" customFormat="1">
      <c r="B41" s="64"/>
      <c r="C41" s="26"/>
      <c r="D41" s="354"/>
      <c r="E41" s="299"/>
      <c r="F41" s="117"/>
      <c r="G41" s="299"/>
      <c r="H41" s="117"/>
      <c r="I41" s="299"/>
      <c r="J41" s="117"/>
      <c r="K41" s="299"/>
      <c r="L41" s="117"/>
      <c r="M41" s="306"/>
      <c r="N41" s="117"/>
      <c r="O41" s="306"/>
      <c r="P41" s="117"/>
      <c r="Q41" s="309"/>
      <c r="R41" s="117"/>
      <c r="S41" s="309"/>
      <c r="T41" s="117"/>
      <c r="U41" s="305"/>
      <c r="V41" s="117"/>
      <c r="W41" s="305"/>
      <c r="X41" s="117"/>
      <c r="Y41" s="356"/>
      <c r="Z41" s="26"/>
      <c r="AA41" s="119"/>
      <c r="AB41" s="120"/>
      <c r="AC41" s="120"/>
      <c r="AD41" s="120"/>
      <c r="AE41" s="120"/>
      <c r="AF41" s="120"/>
      <c r="AG41" s="120"/>
      <c r="AH41" s="120"/>
      <c r="AI41" s="120"/>
      <c r="AJ41" s="120"/>
      <c r="AK41" s="106"/>
    </row>
    <row r="42" spans="2:37" customFormat="1">
      <c r="B42" s="64"/>
      <c r="C42" s="26"/>
      <c r="D42" s="354"/>
      <c r="E42" s="299"/>
      <c r="F42" s="117"/>
      <c r="G42" s="299"/>
      <c r="H42" s="117"/>
      <c r="I42" s="299"/>
      <c r="J42" s="117"/>
      <c r="K42" s="299"/>
      <c r="L42" s="117"/>
      <c r="M42" s="306"/>
      <c r="N42" s="117"/>
      <c r="O42" s="306"/>
      <c r="P42" s="117"/>
      <c r="Q42" s="309"/>
      <c r="R42" s="117"/>
      <c r="S42" s="309"/>
      <c r="T42" s="117"/>
      <c r="U42" s="305"/>
      <c r="V42" s="117"/>
      <c r="W42" s="305"/>
      <c r="X42" s="117"/>
      <c r="Y42" s="356"/>
      <c r="Z42" s="26"/>
      <c r="AA42" s="119"/>
      <c r="AB42" s="120"/>
      <c r="AC42" s="120"/>
      <c r="AD42" s="120"/>
      <c r="AE42" s="120"/>
      <c r="AF42" s="120"/>
      <c r="AG42" s="120"/>
      <c r="AH42" s="120"/>
      <c r="AI42" s="120"/>
      <c r="AJ42" s="120"/>
      <c r="AK42" s="106"/>
    </row>
    <row r="43" spans="2:37" customFormat="1">
      <c r="B43" s="64"/>
      <c r="C43" s="26"/>
      <c r="D43" s="354"/>
      <c r="E43" s="299"/>
      <c r="F43" s="117"/>
      <c r="G43" s="299"/>
      <c r="H43" s="117"/>
      <c r="I43" s="299"/>
      <c r="J43" s="117"/>
      <c r="K43" s="299"/>
      <c r="L43" s="117"/>
      <c r="M43" s="306"/>
      <c r="N43" s="117"/>
      <c r="O43" s="306"/>
      <c r="P43" s="117"/>
      <c r="Q43" s="309"/>
      <c r="R43" s="117"/>
      <c r="S43" s="309"/>
      <c r="T43" s="117"/>
      <c r="U43" s="305"/>
      <c r="V43" s="117"/>
      <c r="W43" s="305"/>
      <c r="X43" s="117"/>
      <c r="Y43" s="356"/>
      <c r="Z43" s="26"/>
      <c r="AA43" s="119"/>
      <c r="AB43" s="120"/>
      <c r="AC43" s="120"/>
      <c r="AD43" s="120"/>
      <c r="AE43" s="120"/>
      <c r="AF43" s="120"/>
      <c r="AG43" s="120"/>
      <c r="AH43" s="120"/>
      <c r="AI43" s="120"/>
      <c r="AJ43" s="120"/>
      <c r="AK43" s="106"/>
    </row>
    <row r="44" spans="2:37" customFormat="1">
      <c r="B44" s="64"/>
      <c r="C44" s="26"/>
      <c r="D44" s="354"/>
      <c r="E44" s="299"/>
      <c r="F44" s="117"/>
      <c r="G44" s="299"/>
      <c r="H44" s="117"/>
      <c r="I44" s="299"/>
      <c r="J44" s="117"/>
      <c r="K44" s="299"/>
      <c r="L44" s="117"/>
      <c r="M44" s="306"/>
      <c r="N44" s="117"/>
      <c r="O44" s="306"/>
      <c r="P44" s="117"/>
      <c r="Q44" s="309"/>
      <c r="R44" s="117"/>
      <c r="S44" s="309"/>
      <c r="T44" s="117"/>
      <c r="U44" s="305"/>
      <c r="V44" s="117"/>
      <c r="W44" s="305"/>
      <c r="X44" s="117"/>
      <c r="Y44" s="356"/>
      <c r="Z44" s="26"/>
      <c r="AA44" s="119"/>
      <c r="AB44" s="120"/>
      <c r="AC44" s="120"/>
      <c r="AD44" s="120"/>
      <c r="AE44" s="120"/>
      <c r="AF44" s="120"/>
      <c r="AG44" s="120"/>
      <c r="AH44" s="120"/>
      <c r="AI44" s="120"/>
      <c r="AJ44" s="120"/>
      <c r="AK44" s="106"/>
    </row>
    <row r="45" spans="2:37" customFormat="1">
      <c r="B45" s="64"/>
      <c r="C45" s="26"/>
      <c r="D45" s="354"/>
      <c r="E45" s="299"/>
      <c r="F45" s="117"/>
      <c r="G45" s="299"/>
      <c r="H45" s="117"/>
      <c r="I45" s="299"/>
      <c r="J45" s="117"/>
      <c r="K45" s="299"/>
      <c r="L45" s="117"/>
      <c r="M45" s="306"/>
      <c r="N45" s="117"/>
      <c r="O45" s="306"/>
      <c r="P45" s="117"/>
      <c r="Q45" s="309"/>
      <c r="R45" s="117"/>
      <c r="S45" s="309"/>
      <c r="T45" s="117"/>
      <c r="U45" s="305"/>
      <c r="V45" s="117"/>
      <c r="W45" s="305"/>
      <c r="X45" s="117"/>
      <c r="Y45" s="356"/>
      <c r="Z45" s="26"/>
      <c r="AA45" s="119"/>
      <c r="AB45" s="120"/>
      <c r="AC45" s="120"/>
      <c r="AD45" s="120"/>
      <c r="AE45" s="120"/>
      <c r="AF45" s="120"/>
      <c r="AG45" s="120"/>
      <c r="AH45" s="120"/>
      <c r="AI45" s="120"/>
      <c r="AJ45" s="120"/>
      <c r="AK45" s="106"/>
    </row>
    <row r="46" spans="2:37" customFormat="1">
      <c r="B46" s="64"/>
      <c r="C46" s="26"/>
      <c r="D46" s="354"/>
      <c r="E46" s="299"/>
      <c r="F46" s="117"/>
      <c r="G46" s="299"/>
      <c r="H46" s="117"/>
      <c r="I46" s="299"/>
      <c r="J46" s="117"/>
      <c r="K46" s="299"/>
      <c r="L46" s="117"/>
      <c r="M46" s="306"/>
      <c r="N46" s="117"/>
      <c r="O46" s="306"/>
      <c r="P46" s="117"/>
      <c r="Q46" s="309"/>
      <c r="R46" s="117"/>
      <c r="S46" s="309"/>
      <c r="T46" s="117"/>
      <c r="U46" s="305"/>
      <c r="V46" s="117"/>
      <c r="W46" s="305"/>
      <c r="X46" s="117"/>
      <c r="Y46" s="356"/>
      <c r="Z46" s="26"/>
      <c r="AA46" s="119"/>
      <c r="AB46" s="120"/>
      <c r="AC46" s="120"/>
      <c r="AD46" s="120"/>
      <c r="AE46" s="120"/>
      <c r="AF46" s="120"/>
      <c r="AG46" s="120"/>
      <c r="AH46" s="120"/>
      <c r="AI46" s="120"/>
      <c r="AJ46" s="120"/>
      <c r="AK46" s="106"/>
    </row>
    <row r="47" spans="2:37" customFormat="1">
      <c r="B47" s="64"/>
      <c r="C47" s="26"/>
      <c r="D47" s="354"/>
      <c r="E47" s="299"/>
      <c r="F47" s="117"/>
      <c r="G47" s="299"/>
      <c r="H47" s="117"/>
      <c r="I47" s="299"/>
      <c r="J47" s="117"/>
      <c r="K47" s="299"/>
      <c r="L47" s="117"/>
      <c r="M47" s="306"/>
      <c r="N47" s="117"/>
      <c r="O47" s="306"/>
      <c r="P47" s="117"/>
      <c r="Q47" s="309"/>
      <c r="R47" s="117"/>
      <c r="S47" s="309"/>
      <c r="T47" s="117"/>
      <c r="U47" s="305"/>
      <c r="V47" s="117"/>
      <c r="W47" s="305"/>
      <c r="X47" s="117"/>
      <c r="Y47" s="356"/>
      <c r="Z47" s="26"/>
      <c r="AA47" s="119"/>
      <c r="AB47" s="120"/>
      <c r="AC47" s="120"/>
      <c r="AD47" s="120"/>
      <c r="AE47" s="120"/>
      <c r="AF47" s="120"/>
      <c r="AG47" s="120"/>
      <c r="AH47" s="120"/>
      <c r="AI47" s="120"/>
      <c r="AJ47" s="120"/>
      <c r="AK47" s="106"/>
    </row>
    <row r="48" spans="2:37" customFormat="1">
      <c r="B48" s="64"/>
      <c r="C48" s="26"/>
      <c r="D48" s="354"/>
      <c r="E48" s="299"/>
      <c r="F48" s="117"/>
      <c r="G48" s="299"/>
      <c r="H48" s="117"/>
      <c r="I48" s="299"/>
      <c r="J48" s="117"/>
      <c r="K48" s="299"/>
      <c r="L48" s="117"/>
      <c r="M48" s="306"/>
      <c r="N48" s="117"/>
      <c r="O48" s="306"/>
      <c r="P48" s="117"/>
      <c r="Q48" s="309"/>
      <c r="R48" s="117"/>
      <c r="S48" s="309"/>
      <c r="T48" s="117"/>
      <c r="U48" s="305"/>
      <c r="V48" s="117"/>
      <c r="W48" s="305"/>
      <c r="X48" s="117"/>
      <c r="Y48" s="356"/>
      <c r="Z48" s="26"/>
      <c r="AA48" s="119"/>
      <c r="AB48" s="120"/>
      <c r="AC48" s="120"/>
      <c r="AD48" s="120"/>
      <c r="AE48" s="120"/>
      <c r="AF48" s="120"/>
      <c r="AG48" s="120"/>
      <c r="AH48" s="120"/>
      <c r="AI48" s="120"/>
      <c r="AJ48" s="120"/>
      <c r="AK48" s="106"/>
    </row>
    <row r="49" spans="2:40">
      <c r="B49" s="116" t="s">
        <v>169</v>
      </c>
      <c r="C49" s="121"/>
      <c r="D49" s="122"/>
      <c r="E49" s="305"/>
      <c r="F49" s="121"/>
      <c r="G49" s="305"/>
      <c r="H49" s="121"/>
      <c r="I49" s="305"/>
      <c r="J49" s="121"/>
      <c r="K49" s="305"/>
      <c r="L49" s="217"/>
      <c r="M49" s="306"/>
      <c r="N49" s="217"/>
      <c r="O49" s="306"/>
      <c r="P49" s="217"/>
      <c r="Q49" s="309"/>
      <c r="R49" s="217"/>
      <c r="S49" s="309"/>
      <c r="T49" s="217"/>
      <c r="U49" s="305"/>
      <c r="V49" s="121"/>
      <c r="W49" s="305"/>
      <c r="X49" s="121"/>
      <c r="Y49" s="305"/>
      <c r="Z49" s="121"/>
      <c r="AA49" s="123"/>
      <c r="AB49" s="120"/>
      <c r="AC49" s="120"/>
      <c r="AD49" s="120"/>
      <c r="AE49" s="120"/>
      <c r="AF49" s="120"/>
      <c r="AG49" s="120"/>
      <c r="AH49" s="120"/>
      <c r="AI49" s="120"/>
      <c r="AJ49" s="120"/>
      <c r="AK49" s="120"/>
    </row>
    <row r="50" spans="2:40" ht="30.75" customHeight="1">
      <c r="B50" s="21"/>
      <c r="AB50" s="63"/>
      <c r="AC50" s="63"/>
      <c r="AD50" s="63"/>
      <c r="AE50" s="63"/>
      <c r="AF50" s="63"/>
      <c r="AG50" s="63"/>
      <c r="AH50" s="63"/>
      <c r="AI50" s="63"/>
      <c r="AJ50" s="63"/>
      <c r="AK50" s="63"/>
    </row>
    <row r="51" spans="2:40" s="112" customFormat="1" ht="30.75" customHeight="1">
      <c r="B51" s="113"/>
      <c r="D51" s="328"/>
      <c r="E51" s="469" t="str">
        <f>E2&amp;" Comments"</f>
        <v>2013-14 Comments</v>
      </c>
      <c r="F51" s="470"/>
      <c r="G51" s="469" t="str">
        <f>G2&amp;" Comments"</f>
        <v>2014-15 Comments</v>
      </c>
      <c r="H51" s="470"/>
      <c r="I51" s="469" t="str">
        <f>I2&amp;" Comments"</f>
        <v>2015-16 Comments</v>
      </c>
      <c r="J51" s="470"/>
      <c r="K51" s="469" t="str">
        <f>K2&amp;" Comments"</f>
        <v>2016-17 Comments</v>
      </c>
      <c r="L51" s="470"/>
      <c r="M51" s="469" t="str">
        <f>M2&amp;" Comments"</f>
        <v>2017-18 Comments</v>
      </c>
      <c r="N51" s="470"/>
      <c r="O51" s="469" t="str">
        <f>O2&amp;" Comments"</f>
        <v>2018-19 Comments</v>
      </c>
      <c r="P51" s="470"/>
      <c r="Q51" s="469" t="str">
        <f>Q2&amp;" Comments"</f>
        <v>2019-20 Comments</v>
      </c>
      <c r="R51" s="470"/>
      <c r="S51" s="469" t="str">
        <f>S2&amp;" Comments"</f>
        <v>2020-21 Comments</v>
      </c>
      <c r="T51" s="470"/>
      <c r="U51" s="469" t="str">
        <f>U2&amp;" Comments"</f>
        <v>2021-22 Comments</v>
      </c>
      <c r="V51" s="470"/>
      <c r="W51" s="469" t="str">
        <f>W2&amp;" Comments"</f>
        <v>2022-23 Comments</v>
      </c>
      <c r="X51" s="470"/>
      <c r="Y51" s="469" t="str">
        <f>Y2&amp;" Comments"</f>
        <v>2023-24 Comments</v>
      </c>
      <c r="Z51" s="470"/>
      <c r="AA51" s="471"/>
      <c r="AB51" s="472"/>
      <c r="AD51" s="114"/>
      <c r="AE51" s="114"/>
      <c r="AF51" s="114"/>
      <c r="AG51" s="114"/>
      <c r="AH51" s="114"/>
      <c r="AI51" s="114"/>
      <c r="AJ51" s="114"/>
      <c r="AK51" s="114"/>
      <c r="AL51" s="114"/>
      <c r="AM51" s="114"/>
      <c r="AN51" s="114"/>
    </row>
    <row r="52" spans="2:40" ht="189" customHeight="1">
      <c r="B52" s="115"/>
      <c r="C52" s="115"/>
      <c r="D52" s="115"/>
      <c r="E52" s="475"/>
      <c r="F52" s="476"/>
      <c r="G52" s="475"/>
      <c r="H52" s="476"/>
      <c r="I52" s="475"/>
      <c r="J52" s="476"/>
      <c r="K52" s="475"/>
      <c r="L52" s="476"/>
      <c r="M52" s="477" t="s">
        <v>187</v>
      </c>
      <c r="N52" s="478"/>
      <c r="O52" s="475"/>
      <c r="P52" s="476"/>
      <c r="Q52" s="477" t="s">
        <v>202</v>
      </c>
      <c r="R52" s="478"/>
      <c r="S52" s="477"/>
      <c r="T52" s="478"/>
      <c r="U52" s="485"/>
      <c r="V52" s="486"/>
      <c r="W52" s="477" t="s">
        <v>244</v>
      </c>
      <c r="X52" s="478"/>
      <c r="Y52" s="481" t="s">
        <v>244</v>
      </c>
      <c r="Z52" s="482"/>
      <c r="AA52" s="483"/>
      <c r="AB52" s="484"/>
      <c r="AC52" s="115"/>
      <c r="AD52" s="115"/>
      <c r="AE52" s="115"/>
      <c r="AF52" s="115"/>
      <c r="AG52" s="115"/>
      <c r="AH52" s="115"/>
      <c r="AI52" s="115"/>
      <c r="AJ52" s="115"/>
      <c r="AK52" s="115"/>
      <c r="AL52" s="115"/>
      <c r="AM52" s="115"/>
      <c r="AN52" s="115"/>
    </row>
    <row r="53" spans="2:40">
      <c r="B53" s="22"/>
    </row>
  </sheetData>
  <sheetProtection formatColumns="0" insertRows="0"/>
  <mergeCells count="37">
    <mergeCell ref="Y2:Z2"/>
    <mergeCell ref="Y51:Z51"/>
    <mergeCell ref="Y52:Z52"/>
    <mergeCell ref="AA52:AB52"/>
    <mergeCell ref="O52:P52"/>
    <mergeCell ref="Q52:R52"/>
    <mergeCell ref="S52:T52"/>
    <mergeCell ref="U52:V52"/>
    <mergeCell ref="W52:X52"/>
    <mergeCell ref="U2:V2"/>
    <mergeCell ref="W2:X2"/>
    <mergeCell ref="E52:F52"/>
    <mergeCell ref="G52:H52"/>
    <mergeCell ref="I52:J52"/>
    <mergeCell ref="K52:L52"/>
    <mergeCell ref="M52:N52"/>
    <mergeCell ref="E1:X1"/>
    <mergeCell ref="AB1:AK1"/>
    <mergeCell ref="E51:F51"/>
    <mergeCell ref="G51:H51"/>
    <mergeCell ref="I51:J51"/>
    <mergeCell ref="K51:L51"/>
    <mergeCell ref="M51:N51"/>
    <mergeCell ref="O51:P51"/>
    <mergeCell ref="Q51:R51"/>
    <mergeCell ref="S51:T51"/>
    <mergeCell ref="U51:V51"/>
    <mergeCell ref="W51:X51"/>
    <mergeCell ref="AA51:AB51"/>
    <mergeCell ref="E2:F2"/>
    <mergeCell ref="G2:H2"/>
    <mergeCell ref="I2:J2"/>
    <mergeCell ref="K2:L2"/>
    <mergeCell ref="M2:N2"/>
    <mergeCell ref="O2:P2"/>
    <mergeCell ref="Q2:R2"/>
    <mergeCell ref="S2:T2"/>
  </mergeCells>
  <dataValidations count="6">
    <dataValidation type="list" allowBlank="1" showInputMessage="1" showErrorMessage="1" sqref="J20 H20 F20 L20 N20 P20 R20 T20 V20 X20 Z20:AA20" xr:uid="{00000000-0002-0000-0100-000000000000}">
      <formula1>fee_unit</formula1>
    </dataValidation>
    <dataValidation type="decimal" operator="greaterThanOrEqual" allowBlank="1" showInputMessage="1" showErrorMessage="1" errorTitle="data type error" error="value must be number greater or equal to 0" sqref="D28:E48 G28:G48 I28:I48 W4:W19 S4:S19 Q4:Q19 O4:O19 U4:U19 M4:M19 D4:E19 G4:G19 I4:I19 K4:K19 AB4:AK19 AB21:AK26 AB28:AK37 AB38:AG38 AB39:AK49 AI38 AK38 Y4:Y19" xr:uid="{00000000-0002-0000-0100-000001000000}">
      <formula1>0</formula1>
    </dataValidation>
    <dataValidation type="list" allowBlank="1" showInputMessage="1" showErrorMessage="1" sqref="C20" xr:uid="{00000000-0002-0000-0100-000002000000}">
      <formula1>rev_class</formula1>
    </dataValidation>
    <dataValidation type="decimal" operator="greaterThanOrEqual" allowBlank="1" showInputMessage="1" showErrorMessage="1" errorTitle="Data Type Error" error="Value must be a number greater than or equal to 0." sqref="AB20:AK20" xr:uid="{00000000-0002-0000-0100-000003000000}">
      <formula1>0</formula1>
    </dataValidation>
    <dataValidation type="list" allowBlank="1" showInputMessage="1" showErrorMessage="1" sqref="F28:F48 J28:J48 H28:H48 L28:L48 M28 N28:N48 O28 P28:P48 Q28 R28:R48 S28 T28:T48 U28 V28:V48 Z4:AA19 W28 V4:V19 T4:T19 R4:R19 P4:P19 N4:N19 L4:L19 F4:F19 J4:J19 H4:H19 X4:X19 X28:X48 Z28:AA48 Y28" xr:uid="{00000000-0002-0000-0100-000004000000}">
      <formula1>"SCH, QCH, SEM, SES, APP, DAY, EACH, MO, ONCE, SUM, VAR, YEAR,DSC"</formula1>
    </dataValidation>
    <dataValidation type="list" allowBlank="1" showInputMessage="1" showErrorMessage="1" sqref="C28:C48 C4:C19" xr:uid="{00000000-0002-0000-0100-000005000000}">
      <formula1>"UnresGen, UnresAuxOprt, Restrct"</formula1>
    </dataValidation>
  </dataValidations>
  <pageMargins left="0.3" right="0.3" top="0.81" bottom="0.3" header="0.3" footer="0.25"/>
  <pageSetup scale="56" orientation="landscape" r:id="rId1"/>
  <headerFooter>
    <oddHeader>&amp;C&amp;"-,Bold"&amp;16CHADRON STATE COLLEGE
STUDENT FEE SCHEDULE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C174"/>
  <sheetViews>
    <sheetView zoomScaleNormal="100" zoomScaleSheetLayoutView="54" workbookViewId="0">
      <pane xSplit="1" ySplit="6" topLeftCell="BS7" activePane="bottomRight" state="frozen"/>
      <selection pane="topRight" activeCell="B1" sqref="B1"/>
      <selection pane="bottomLeft" activeCell="A6" sqref="A6"/>
      <selection pane="bottomRight" activeCell="A27" sqref="A27"/>
    </sheetView>
  </sheetViews>
  <sheetFormatPr defaultColWidth="11.42578125" defaultRowHeight="14.25"/>
  <cols>
    <col min="1" max="1" width="60.7109375" style="30" bestFit="1" customWidth="1"/>
    <col min="2" max="21" width="15.28515625" style="30" hidden="1" customWidth="1"/>
    <col min="22" max="23" width="13.140625" style="30" hidden="1" customWidth="1"/>
    <col min="24" max="24" width="15.140625" style="30" hidden="1" customWidth="1"/>
    <col min="25" max="25" width="15.28515625" style="30" hidden="1" customWidth="1"/>
    <col min="26" max="26" width="12.140625" style="30" hidden="1" customWidth="1"/>
    <col min="27" max="27" width="10.5703125" style="30" hidden="1" customWidth="1"/>
    <col min="28" max="28" width="13.140625" style="30" hidden="1" customWidth="1"/>
    <col min="29" max="29" width="12.140625" style="30" hidden="1" customWidth="1"/>
    <col min="30" max="30" width="13.140625" style="30" hidden="1" customWidth="1"/>
    <col min="31" max="31" width="15.28515625" style="30" hidden="1" customWidth="1"/>
    <col min="32" max="33" width="13.140625" style="30" hidden="1" customWidth="1"/>
    <col min="34" max="34" width="15.140625" style="30" hidden="1" customWidth="1"/>
    <col min="35" max="35" width="15.28515625" style="30" hidden="1" customWidth="1"/>
    <col min="36" max="36" width="12.140625" style="30" hidden="1" customWidth="1"/>
    <col min="37" max="37" width="10.5703125" style="30" hidden="1" customWidth="1"/>
    <col min="38" max="38" width="13.140625" style="30" hidden="1" customWidth="1"/>
    <col min="39" max="39" width="12.140625" style="30" hidden="1" customWidth="1"/>
    <col min="40" max="40" width="13.140625" style="30" hidden="1" customWidth="1"/>
    <col min="41" max="51" width="15.28515625" style="30" hidden="1" customWidth="1"/>
    <col min="52" max="53" width="12.42578125" style="30" hidden="1" customWidth="1"/>
    <col min="54" max="54" width="15.140625" style="30" hidden="1" customWidth="1"/>
    <col min="55" max="55" width="15.28515625" style="30" hidden="1" customWidth="1"/>
    <col min="56" max="56" width="11.42578125" style="30" hidden="1" customWidth="1"/>
    <col min="57" max="57" width="9.85546875" style="30" hidden="1" customWidth="1"/>
    <col min="58" max="58" width="12.42578125" style="30" hidden="1" customWidth="1"/>
    <col min="59" max="59" width="11.42578125" style="30" hidden="1" customWidth="1"/>
    <col min="60" max="60" width="12.42578125" style="30" hidden="1" customWidth="1"/>
    <col min="61" max="61" width="14.140625" style="30" hidden="1" customWidth="1"/>
    <col min="62" max="81" width="15.28515625" style="30" customWidth="1"/>
    <col min="82" max="701" width="11.42578125" style="30"/>
    <col min="702" max="702" width="8.5703125" style="30" customWidth="1"/>
    <col min="703" max="16384" width="11.42578125" style="30"/>
  </cols>
  <sheetData>
    <row r="1" spans="1:81" ht="15" thickBot="1">
      <c r="BT1" s="342"/>
      <c r="BU1" s="342"/>
      <c r="BV1" s="342"/>
      <c r="BW1" s="342"/>
      <c r="BX1" s="342"/>
      <c r="BY1" s="342"/>
      <c r="BZ1" s="342"/>
      <c r="CA1" s="342"/>
      <c r="CB1" s="342"/>
      <c r="CC1" s="342"/>
    </row>
    <row r="2" spans="1:81" s="162" customFormat="1" ht="23.25" customHeight="1">
      <c r="A2" s="280"/>
      <c r="B2" s="514" t="s">
        <v>181</v>
      </c>
      <c r="C2" s="515"/>
      <c r="D2" s="515"/>
      <c r="E2" s="515"/>
      <c r="F2" s="515"/>
      <c r="G2" s="515"/>
      <c r="H2" s="515"/>
      <c r="I2" s="515"/>
      <c r="J2" s="515"/>
      <c r="K2" s="310"/>
      <c r="L2" s="523" t="s">
        <v>182</v>
      </c>
      <c r="M2" s="523"/>
      <c r="N2" s="523"/>
      <c r="O2" s="523"/>
      <c r="P2" s="523"/>
      <c r="Q2" s="523"/>
      <c r="R2" s="523"/>
      <c r="S2" s="523"/>
      <c r="T2" s="523"/>
      <c r="U2" s="311"/>
      <c r="V2" s="510" t="s">
        <v>183</v>
      </c>
      <c r="W2" s="510"/>
      <c r="X2" s="510"/>
      <c r="Y2" s="510"/>
      <c r="Z2" s="510"/>
      <c r="AA2" s="510"/>
      <c r="AB2" s="510"/>
      <c r="AC2" s="510"/>
      <c r="AD2" s="510"/>
      <c r="AE2" s="312"/>
      <c r="AF2" s="503" t="s">
        <v>184</v>
      </c>
      <c r="AG2" s="503"/>
      <c r="AH2" s="503"/>
      <c r="AI2" s="503"/>
      <c r="AJ2" s="503"/>
      <c r="AK2" s="503"/>
      <c r="AL2" s="503"/>
      <c r="AM2" s="503"/>
      <c r="AN2" s="503"/>
      <c r="AO2" s="313"/>
      <c r="AP2" s="507" t="s">
        <v>195</v>
      </c>
      <c r="AQ2" s="508"/>
      <c r="AR2" s="508"/>
      <c r="AS2" s="508"/>
      <c r="AT2" s="508"/>
      <c r="AU2" s="508"/>
      <c r="AV2" s="508"/>
      <c r="AW2" s="508"/>
      <c r="AX2" s="508"/>
      <c r="AY2" s="509"/>
      <c r="AZ2" s="487" t="s">
        <v>196</v>
      </c>
      <c r="BA2" s="487"/>
      <c r="BB2" s="487"/>
      <c r="BC2" s="487"/>
      <c r="BD2" s="487"/>
      <c r="BE2" s="487"/>
      <c r="BF2" s="487"/>
      <c r="BG2" s="487"/>
      <c r="BH2" s="487"/>
      <c r="BI2" s="488"/>
      <c r="BJ2" s="537" t="s">
        <v>197</v>
      </c>
      <c r="BK2" s="537"/>
      <c r="BL2" s="537"/>
      <c r="BM2" s="537"/>
      <c r="BN2" s="537"/>
      <c r="BO2" s="537"/>
      <c r="BP2" s="537"/>
      <c r="BQ2" s="537"/>
      <c r="BR2" s="537"/>
      <c r="BS2" s="538"/>
      <c r="BT2" s="525" t="s">
        <v>198</v>
      </c>
      <c r="BU2" s="525"/>
      <c r="BV2" s="525"/>
      <c r="BW2" s="525"/>
      <c r="BX2" s="525"/>
      <c r="BY2" s="525"/>
      <c r="BZ2" s="525"/>
      <c r="CA2" s="525"/>
      <c r="CB2" s="525"/>
      <c r="CC2" s="526"/>
    </row>
    <row r="3" spans="1:81" s="167" customFormat="1">
      <c r="A3" s="281"/>
      <c r="B3" s="163"/>
      <c r="C3" s="163"/>
      <c r="D3" s="163"/>
      <c r="E3" s="163"/>
      <c r="F3" s="163"/>
      <c r="G3" s="163"/>
      <c r="H3" s="163"/>
      <c r="I3" s="163"/>
      <c r="J3" s="163"/>
      <c r="K3" s="238"/>
      <c r="L3" s="164"/>
      <c r="M3" s="164"/>
      <c r="N3" s="164"/>
      <c r="O3" s="164"/>
      <c r="P3" s="164"/>
      <c r="Q3" s="164"/>
      <c r="R3" s="164"/>
      <c r="S3" s="164"/>
      <c r="T3" s="164"/>
      <c r="U3" s="258"/>
      <c r="V3" s="165"/>
      <c r="W3" s="165"/>
      <c r="X3" s="165"/>
      <c r="Y3" s="165"/>
      <c r="Z3" s="165"/>
      <c r="AA3" s="165"/>
      <c r="AB3" s="165"/>
      <c r="AC3" s="165"/>
      <c r="AD3" s="165"/>
      <c r="AE3" s="253"/>
      <c r="AF3" s="166"/>
      <c r="AG3" s="166"/>
      <c r="AH3" s="166"/>
      <c r="AI3" s="166"/>
      <c r="AJ3" s="166"/>
      <c r="AK3" s="166"/>
      <c r="AL3" s="166"/>
      <c r="AM3" s="166"/>
      <c r="AN3" s="166"/>
      <c r="AO3" s="249"/>
      <c r="AP3" s="218"/>
      <c r="AQ3" s="218"/>
      <c r="AR3" s="218"/>
      <c r="AS3" s="218"/>
      <c r="AT3" s="218"/>
      <c r="AU3" s="218"/>
      <c r="AV3" s="218"/>
      <c r="AW3" s="218"/>
      <c r="AX3" s="218"/>
      <c r="AY3" s="243"/>
      <c r="AZ3" s="314"/>
      <c r="BA3" s="314"/>
      <c r="BB3" s="314"/>
      <c r="BC3" s="314"/>
      <c r="BD3" s="314"/>
      <c r="BE3" s="314"/>
      <c r="BF3" s="314"/>
      <c r="BG3" s="314"/>
      <c r="BH3" s="314"/>
      <c r="BI3" s="315"/>
      <c r="BJ3" s="265"/>
      <c r="BK3" s="265"/>
      <c r="BL3" s="265"/>
      <c r="BM3" s="265"/>
      <c r="BN3" s="265"/>
      <c r="BO3" s="265"/>
      <c r="BP3" s="265"/>
      <c r="BQ3" s="265"/>
      <c r="BR3" s="265"/>
      <c r="BS3" s="266"/>
      <c r="BT3" s="343"/>
      <c r="BU3" s="343"/>
      <c r="BV3" s="343"/>
      <c r="BW3" s="343"/>
      <c r="BX3" s="343"/>
      <c r="BY3" s="343"/>
      <c r="BZ3" s="343"/>
      <c r="CA3" s="343"/>
      <c r="CB3" s="343"/>
      <c r="CC3" s="344"/>
    </row>
    <row r="4" spans="1:81" s="167" customFormat="1">
      <c r="A4" s="281"/>
      <c r="B4" s="163"/>
      <c r="C4" s="163"/>
      <c r="D4" s="163"/>
      <c r="E4" s="163"/>
      <c r="F4" s="163"/>
      <c r="G4" s="163"/>
      <c r="H4" s="163"/>
      <c r="I4" s="163"/>
      <c r="J4" s="163"/>
      <c r="K4" s="238"/>
      <c r="L4" s="164"/>
      <c r="M4" s="164"/>
      <c r="N4" s="164"/>
      <c r="O4" s="164"/>
      <c r="P4" s="164"/>
      <c r="Q4" s="164"/>
      <c r="R4" s="164"/>
      <c r="S4" s="164"/>
      <c r="T4" s="164"/>
      <c r="U4" s="258"/>
      <c r="V4" s="165"/>
      <c r="W4" s="165"/>
      <c r="X4" s="165"/>
      <c r="Y4" s="165"/>
      <c r="Z4" s="165"/>
      <c r="AA4" s="165"/>
      <c r="AB4" s="165"/>
      <c r="AC4" s="165"/>
      <c r="AD4" s="165"/>
      <c r="AE4" s="253"/>
      <c r="AF4" s="166"/>
      <c r="AG4" s="166"/>
      <c r="AH4" s="166"/>
      <c r="AI4" s="166"/>
      <c r="AJ4" s="166"/>
      <c r="AK4" s="166"/>
      <c r="AL4" s="166"/>
      <c r="AM4" s="166"/>
      <c r="AN4" s="166"/>
      <c r="AO4" s="249"/>
      <c r="AP4" s="218"/>
      <c r="AQ4" s="218"/>
      <c r="AR4" s="218"/>
      <c r="AS4" s="218"/>
      <c r="AT4" s="218"/>
      <c r="AU4" s="218"/>
      <c r="AV4" s="218"/>
      <c r="AW4" s="218"/>
      <c r="AX4" s="218"/>
      <c r="AY4" s="243"/>
      <c r="AZ4" s="314"/>
      <c r="BA4" s="314"/>
      <c r="BB4" s="314"/>
      <c r="BC4" s="314"/>
      <c r="BD4" s="314"/>
      <c r="BE4" s="314"/>
      <c r="BF4" s="314"/>
      <c r="BG4" s="314"/>
      <c r="BH4" s="314"/>
      <c r="BI4" s="315"/>
      <c r="BJ4" s="265"/>
      <c r="BK4" s="265"/>
      <c r="BL4" s="265"/>
      <c r="BM4" s="265"/>
      <c r="BN4" s="265"/>
      <c r="BO4" s="265"/>
      <c r="BP4" s="265"/>
      <c r="BQ4" s="265"/>
      <c r="BR4" s="265"/>
      <c r="BS4" s="266"/>
      <c r="BT4" s="343"/>
      <c r="BU4" s="343"/>
      <c r="BV4" s="343"/>
      <c r="BW4" s="343"/>
      <c r="BX4" s="343"/>
      <c r="BY4" s="343"/>
      <c r="BZ4" s="343"/>
      <c r="CA4" s="343"/>
      <c r="CB4" s="343"/>
      <c r="CC4" s="344"/>
    </row>
    <row r="5" spans="1:81" s="167" customFormat="1" ht="14.25" customHeight="1">
      <c r="A5" s="281"/>
      <c r="B5" s="168"/>
      <c r="C5" s="168"/>
      <c r="D5" s="168"/>
      <c r="E5" s="516" t="s">
        <v>46</v>
      </c>
      <c r="F5" s="516"/>
      <c r="G5" s="516"/>
      <c r="H5" s="516"/>
      <c r="I5" s="516"/>
      <c r="J5" s="169"/>
      <c r="K5" s="239"/>
      <c r="L5" s="170"/>
      <c r="M5" s="170"/>
      <c r="N5" s="170"/>
      <c r="O5" s="524" t="s">
        <v>46</v>
      </c>
      <c r="P5" s="524"/>
      <c r="Q5" s="524"/>
      <c r="R5" s="524"/>
      <c r="S5" s="524"/>
      <c r="T5" s="256"/>
      <c r="U5" s="259"/>
      <c r="V5" s="171"/>
      <c r="W5" s="171"/>
      <c r="X5" s="171"/>
      <c r="Y5" s="511" t="s">
        <v>46</v>
      </c>
      <c r="Z5" s="511"/>
      <c r="AA5" s="511"/>
      <c r="AB5" s="511"/>
      <c r="AC5" s="511"/>
      <c r="AD5" s="172"/>
      <c r="AE5" s="254"/>
      <c r="AF5" s="173"/>
      <c r="AG5" s="173"/>
      <c r="AH5" s="173"/>
      <c r="AI5" s="504" t="s">
        <v>46</v>
      </c>
      <c r="AJ5" s="504"/>
      <c r="AK5" s="504"/>
      <c r="AL5" s="504"/>
      <c r="AM5" s="504"/>
      <c r="AN5" s="174"/>
      <c r="AO5" s="250"/>
      <c r="AP5" s="219"/>
      <c r="AQ5" s="219"/>
      <c r="AR5" s="219"/>
      <c r="AS5" s="502" t="s">
        <v>46</v>
      </c>
      <c r="AT5" s="502"/>
      <c r="AU5" s="502"/>
      <c r="AV5" s="502"/>
      <c r="AW5" s="502"/>
      <c r="AX5" s="220"/>
      <c r="AY5" s="244"/>
      <c r="AZ5" s="316"/>
      <c r="BA5" s="316"/>
      <c r="BB5" s="316"/>
      <c r="BC5" s="489" t="s">
        <v>46</v>
      </c>
      <c r="BD5" s="489"/>
      <c r="BE5" s="489"/>
      <c r="BF5" s="489"/>
      <c r="BG5" s="489"/>
      <c r="BH5" s="317"/>
      <c r="BI5" s="318"/>
      <c r="BJ5" s="267"/>
      <c r="BK5" s="267"/>
      <c r="BL5" s="267"/>
      <c r="BM5" s="539" t="s">
        <v>46</v>
      </c>
      <c r="BN5" s="539"/>
      <c r="BO5" s="539"/>
      <c r="BP5" s="539"/>
      <c r="BQ5" s="539"/>
      <c r="BR5" s="268"/>
      <c r="BS5" s="269"/>
      <c r="BT5" s="345"/>
      <c r="BU5" s="345"/>
      <c r="BV5" s="345"/>
      <c r="BW5" s="527" t="s">
        <v>46</v>
      </c>
      <c r="BX5" s="527"/>
      <c r="BY5" s="527"/>
      <c r="BZ5" s="527"/>
      <c r="CA5" s="527"/>
      <c r="CB5" s="346"/>
      <c r="CC5" s="347"/>
    </row>
    <row r="6" spans="1:81" s="187" customFormat="1" ht="51" customHeight="1">
      <c r="A6" s="282" t="s">
        <v>47</v>
      </c>
      <c r="B6" s="175" t="s">
        <v>48</v>
      </c>
      <c r="C6" s="331" t="s">
        <v>49</v>
      </c>
      <c r="D6" s="176" t="s">
        <v>50</v>
      </c>
      <c r="E6" s="177" t="s">
        <v>51</v>
      </c>
      <c r="F6" s="331" t="s">
        <v>52</v>
      </c>
      <c r="G6" s="331" t="s">
        <v>53</v>
      </c>
      <c r="H6" s="331" t="s">
        <v>54</v>
      </c>
      <c r="I6" s="331" t="s">
        <v>45</v>
      </c>
      <c r="J6" s="178" t="s">
        <v>55</v>
      </c>
      <c r="K6" s="242" t="s">
        <v>227</v>
      </c>
      <c r="L6" s="232" t="s">
        <v>48</v>
      </c>
      <c r="M6" s="332" t="s">
        <v>49</v>
      </c>
      <c r="N6" s="179" t="s">
        <v>50</v>
      </c>
      <c r="O6" s="180" t="s">
        <v>51</v>
      </c>
      <c r="P6" s="332" t="s">
        <v>52</v>
      </c>
      <c r="Q6" s="332" t="s">
        <v>53</v>
      </c>
      <c r="R6" s="332" t="s">
        <v>54</v>
      </c>
      <c r="S6" s="332" t="s">
        <v>45</v>
      </c>
      <c r="T6" s="257" t="s">
        <v>55</v>
      </c>
      <c r="U6" s="264" t="s">
        <v>227</v>
      </c>
      <c r="V6" s="233" t="s">
        <v>48</v>
      </c>
      <c r="W6" s="333" t="s">
        <v>49</v>
      </c>
      <c r="X6" s="181" t="s">
        <v>50</v>
      </c>
      <c r="Y6" s="182" t="s">
        <v>51</v>
      </c>
      <c r="Z6" s="333" t="s">
        <v>52</v>
      </c>
      <c r="AA6" s="333" t="s">
        <v>53</v>
      </c>
      <c r="AB6" s="333" t="s">
        <v>54</v>
      </c>
      <c r="AC6" s="333" t="s">
        <v>45</v>
      </c>
      <c r="AD6" s="183" t="s">
        <v>55</v>
      </c>
      <c r="AE6" s="255" t="s">
        <v>227</v>
      </c>
      <c r="AF6" s="234" t="s">
        <v>48</v>
      </c>
      <c r="AG6" s="334" t="s">
        <v>49</v>
      </c>
      <c r="AH6" s="184" t="s">
        <v>50</v>
      </c>
      <c r="AI6" s="185" t="s">
        <v>51</v>
      </c>
      <c r="AJ6" s="334" t="s">
        <v>52</v>
      </c>
      <c r="AK6" s="334" t="s">
        <v>53</v>
      </c>
      <c r="AL6" s="334" t="s">
        <v>54</v>
      </c>
      <c r="AM6" s="334" t="s">
        <v>45</v>
      </c>
      <c r="AN6" s="186" t="s">
        <v>55</v>
      </c>
      <c r="AO6" s="252" t="s">
        <v>227</v>
      </c>
      <c r="AP6" s="248" t="s">
        <v>48</v>
      </c>
      <c r="AQ6" s="339" t="s">
        <v>49</v>
      </c>
      <c r="AR6" s="221" t="s">
        <v>50</v>
      </c>
      <c r="AS6" s="222" t="s">
        <v>51</v>
      </c>
      <c r="AT6" s="339" t="s">
        <v>52</v>
      </c>
      <c r="AU6" s="339" t="s">
        <v>53</v>
      </c>
      <c r="AV6" s="339" t="s">
        <v>54</v>
      </c>
      <c r="AW6" s="339" t="s">
        <v>45</v>
      </c>
      <c r="AX6" s="223" t="s">
        <v>55</v>
      </c>
      <c r="AY6" s="247" t="s">
        <v>227</v>
      </c>
      <c r="AZ6" s="319" t="s">
        <v>48</v>
      </c>
      <c r="BA6" s="338" t="s">
        <v>49</v>
      </c>
      <c r="BB6" s="320" t="s">
        <v>50</v>
      </c>
      <c r="BC6" s="321" t="s">
        <v>51</v>
      </c>
      <c r="BD6" s="338" t="s">
        <v>52</v>
      </c>
      <c r="BE6" s="338" t="s">
        <v>53</v>
      </c>
      <c r="BF6" s="338" t="s">
        <v>54</v>
      </c>
      <c r="BG6" s="338" t="s">
        <v>45</v>
      </c>
      <c r="BH6" s="322" t="s">
        <v>55</v>
      </c>
      <c r="BI6" s="323" t="s">
        <v>227</v>
      </c>
      <c r="BJ6" s="270" t="s">
        <v>48</v>
      </c>
      <c r="BK6" s="329" t="s">
        <v>49</v>
      </c>
      <c r="BL6" s="271" t="s">
        <v>50</v>
      </c>
      <c r="BM6" s="272" t="s">
        <v>51</v>
      </c>
      <c r="BN6" s="329" t="s">
        <v>52</v>
      </c>
      <c r="BO6" s="329" t="s">
        <v>53</v>
      </c>
      <c r="BP6" s="329" t="s">
        <v>54</v>
      </c>
      <c r="BQ6" s="329" t="s">
        <v>45</v>
      </c>
      <c r="BR6" s="273" t="s">
        <v>55</v>
      </c>
      <c r="BS6" s="274" t="s">
        <v>227</v>
      </c>
      <c r="BT6" s="348" t="s">
        <v>48</v>
      </c>
      <c r="BU6" s="349" t="s">
        <v>49</v>
      </c>
      <c r="BV6" s="350" t="s">
        <v>50</v>
      </c>
      <c r="BW6" s="351" t="s">
        <v>51</v>
      </c>
      <c r="BX6" s="349" t="s">
        <v>52</v>
      </c>
      <c r="BY6" s="349" t="s">
        <v>53</v>
      </c>
      <c r="BZ6" s="349" t="s">
        <v>54</v>
      </c>
      <c r="CA6" s="349" t="s">
        <v>45</v>
      </c>
      <c r="CB6" s="352" t="s">
        <v>55</v>
      </c>
      <c r="CC6" s="353" t="s">
        <v>227</v>
      </c>
    </row>
    <row r="7" spans="1:81" ht="15.95" customHeight="1">
      <c r="A7" s="283"/>
      <c r="B7" s="124"/>
      <c r="C7" s="126"/>
      <c r="D7" s="127"/>
      <c r="E7" s="128"/>
      <c r="F7" s="128"/>
      <c r="G7" s="128"/>
      <c r="H7" s="128"/>
      <c r="I7" s="128"/>
      <c r="J7" s="128"/>
      <c r="K7" s="240"/>
      <c r="L7" s="136"/>
      <c r="M7" s="126"/>
      <c r="N7" s="127"/>
      <c r="O7" s="128"/>
      <c r="P7" s="128"/>
      <c r="Q7" s="128"/>
      <c r="R7" s="128"/>
      <c r="S7" s="128"/>
      <c r="T7" s="128"/>
      <c r="U7" s="240"/>
      <c r="V7" s="136"/>
      <c r="W7" s="126"/>
      <c r="X7" s="127"/>
      <c r="Y7" s="128"/>
      <c r="Z7" s="128"/>
      <c r="AA7" s="128"/>
      <c r="AB7" s="128"/>
      <c r="AC7" s="128"/>
      <c r="AD7" s="128"/>
      <c r="AE7" s="240"/>
      <c r="AF7" s="136"/>
      <c r="AG7" s="126"/>
      <c r="AH7" s="127"/>
      <c r="AI7" s="128"/>
      <c r="AJ7" s="128"/>
      <c r="AK7" s="128"/>
      <c r="AL7" s="128"/>
      <c r="AM7" s="128"/>
      <c r="AN7" s="128"/>
      <c r="AO7" s="240"/>
      <c r="AP7" s="136"/>
      <c r="AQ7" s="126"/>
      <c r="AR7" s="127"/>
      <c r="AS7" s="128"/>
      <c r="AT7" s="128"/>
      <c r="AU7" s="128"/>
      <c r="AV7" s="128"/>
      <c r="AW7" s="128"/>
      <c r="AX7" s="128"/>
      <c r="AY7" s="240"/>
      <c r="AZ7" s="136"/>
      <c r="BA7" s="126"/>
      <c r="BB7" s="127"/>
      <c r="BC7" s="128"/>
      <c r="BD7" s="128"/>
      <c r="BE7" s="128"/>
      <c r="BF7" s="128"/>
      <c r="BG7" s="128"/>
      <c r="BH7" s="128"/>
      <c r="BI7" s="240"/>
      <c r="BJ7" s="136"/>
      <c r="BK7" s="126"/>
      <c r="BL7" s="127"/>
      <c r="BM7" s="128"/>
      <c r="BN7" s="128"/>
      <c r="BO7" s="128"/>
      <c r="BP7" s="128"/>
      <c r="BQ7" s="128"/>
      <c r="BR7" s="128"/>
      <c r="BS7" s="240"/>
      <c r="BT7" s="136"/>
      <c r="BU7" s="126"/>
      <c r="BV7" s="127"/>
      <c r="BW7" s="128"/>
      <c r="BX7" s="128"/>
      <c r="BY7" s="128"/>
      <c r="BZ7" s="128"/>
      <c r="CA7" s="128"/>
      <c r="CB7" s="128"/>
      <c r="CC7" s="240"/>
    </row>
    <row r="8" spans="1:81" s="31" customFormat="1" ht="15.95" customHeight="1">
      <c r="A8" s="284" t="s">
        <v>56</v>
      </c>
      <c r="B8" s="125"/>
      <c r="C8" s="129"/>
      <c r="D8" s="129"/>
      <c r="E8" s="130"/>
      <c r="F8" s="130"/>
      <c r="G8" s="130"/>
      <c r="H8" s="130"/>
      <c r="I8" s="130"/>
      <c r="J8" s="130"/>
      <c r="K8" s="241"/>
      <c r="L8" s="236"/>
      <c r="M8" s="129"/>
      <c r="N8" s="129"/>
      <c r="O8" s="130"/>
      <c r="P8" s="130"/>
      <c r="Q8" s="130"/>
      <c r="R8" s="130"/>
      <c r="S8" s="130"/>
      <c r="T8" s="130"/>
      <c r="U8" s="241"/>
      <c r="V8" s="236"/>
      <c r="W8" s="129"/>
      <c r="X8" s="129"/>
      <c r="Y8" s="130"/>
      <c r="Z8" s="130"/>
      <c r="AA8" s="130"/>
      <c r="AB8" s="130"/>
      <c r="AC8" s="130"/>
      <c r="AD8" s="130"/>
      <c r="AE8" s="241"/>
      <c r="AF8" s="236"/>
      <c r="AG8" s="129"/>
      <c r="AH8" s="129"/>
      <c r="AI8" s="130"/>
      <c r="AJ8" s="130"/>
      <c r="AK8" s="130"/>
      <c r="AL8" s="130"/>
      <c r="AM8" s="130"/>
      <c r="AN8" s="130"/>
      <c r="AO8" s="241"/>
      <c r="AP8" s="236"/>
      <c r="AQ8" s="129"/>
      <c r="AR8" s="129"/>
      <c r="AS8" s="130"/>
      <c r="AT8" s="130"/>
      <c r="AU8" s="130"/>
      <c r="AV8" s="130"/>
      <c r="AW8" s="130"/>
      <c r="AX8" s="130"/>
      <c r="AY8" s="241"/>
      <c r="AZ8" s="236"/>
      <c r="BA8" s="129"/>
      <c r="BB8" s="129"/>
      <c r="BC8" s="130"/>
      <c r="BD8" s="130"/>
      <c r="BE8" s="130"/>
      <c r="BF8" s="130"/>
      <c r="BG8" s="130"/>
      <c r="BH8" s="130"/>
      <c r="BI8" s="241"/>
      <c r="BJ8" s="236"/>
      <c r="BK8" s="129"/>
      <c r="BL8" s="129"/>
      <c r="BM8" s="130"/>
      <c r="BN8" s="130"/>
      <c r="BO8" s="130"/>
      <c r="BP8" s="130"/>
      <c r="BQ8" s="130"/>
      <c r="BR8" s="130"/>
      <c r="BS8" s="241"/>
      <c r="BT8" s="236"/>
      <c r="BU8" s="129"/>
      <c r="BV8" s="129"/>
      <c r="BW8" s="130"/>
      <c r="BX8" s="130"/>
      <c r="BY8" s="130"/>
      <c r="BZ8" s="130"/>
      <c r="CA8" s="130"/>
      <c r="CB8" s="130"/>
      <c r="CC8" s="241"/>
    </row>
    <row r="9" spans="1:81" ht="15.95" customHeight="1">
      <c r="A9" s="285"/>
      <c r="B9" s="124"/>
      <c r="C9" s="126"/>
      <c r="D9" s="126"/>
      <c r="E9" s="128"/>
      <c r="F9" s="128"/>
      <c r="G9" s="128"/>
      <c r="H9" s="128"/>
      <c r="I9" s="128"/>
      <c r="J9" s="128"/>
      <c r="K9" s="240"/>
      <c r="L9" s="136"/>
      <c r="M9" s="126"/>
      <c r="N9" s="126"/>
      <c r="O9" s="128"/>
      <c r="P9" s="128"/>
      <c r="Q9" s="128"/>
      <c r="R9" s="128"/>
      <c r="S9" s="128"/>
      <c r="T9" s="128"/>
      <c r="U9" s="240"/>
      <c r="V9" s="136"/>
      <c r="W9" s="126"/>
      <c r="X9" s="126"/>
      <c r="Y9" s="128"/>
      <c r="Z9" s="128"/>
      <c r="AA9" s="128"/>
      <c r="AB9" s="128"/>
      <c r="AC9" s="128"/>
      <c r="AD9" s="128"/>
      <c r="AE9" s="240"/>
      <c r="AF9" s="136"/>
      <c r="AG9" s="126"/>
      <c r="AH9" s="126"/>
      <c r="AI9" s="128"/>
      <c r="AJ9" s="128"/>
      <c r="AK9" s="128"/>
      <c r="AL9" s="128"/>
      <c r="AM9" s="128"/>
      <c r="AN9" s="128"/>
      <c r="AO9" s="240"/>
      <c r="AP9" s="136"/>
      <c r="AQ9" s="126"/>
      <c r="AR9" s="126"/>
      <c r="AS9" s="128"/>
      <c r="AT9" s="128"/>
      <c r="AU9" s="128"/>
      <c r="AV9" s="128"/>
      <c r="AW9" s="128"/>
      <c r="AX9" s="128"/>
      <c r="AY9" s="240"/>
      <c r="AZ9" s="136"/>
      <c r="BA9" s="126"/>
      <c r="BB9" s="126"/>
      <c r="BC9" s="128"/>
      <c r="BD9" s="128"/>
      <c r="BE9" s="128"/>
      <c r="BF9" s="128"/>
      <c r="BG9" s="128"/>
      <c r="BH9" s="128"/>
      <c r="BI9" s="240"/>
      <c r="BJ9" s="136"/>
      <c r="BK9" s="126"/>
      <c r="BL9" s="126"/>
      <c r="BM9" s="128"/>
      <c r="BN9" s="128"/>
      <c r="BO9" s="128"/>
      <c r="BP9" s="128"/>
      <c r="BQ9" s="128"/>
      <c r="BR9" s="128"/>
      <c r="BS9" s="240"/>
      <c r="BT9" s="136"/>
      <c r="BU9" s="126"/>
      <c r="BV9" s="126"/>
      <c r="BW9" s="128"/>
      <c r="BX9" s="128"/>
      <c r="BY9" s="128"/>
      <c r="BZ9" s="128"/>
      <c r="CA9" s="128"/>
      <c r="CB9" s="128"/>
      <c r="CC9" s="240"/>
    </row>
    <row r="10" spans="1:81" ht="15.95" customHeight="1">
      <c r="A10" s="286" t="s">
        <v>57</v>
      </c>
      <c r="B10" s="136"/>
      <c r="C10" s="126"/>
      <c r="D10" s="126"/>
      <c r="E10" s="128"/>
      <c r="F10" s="128"/>
      <c r="G10" s="128"/>
      <c r="H10" s="128"/>
      <c r="I10" s="128"/>
      <c r="J10" s="128"/>
      <c r="K10" s="240"/>
      <c r="L10" s="136"/>
      <c r="M10" s="126"/>
      <c r="N10" s="126"/>
      <c r="O10" s="128"/>
      <c r="P10" s="128"/>
      <c r="Q10" s="128"/>
      <c r="R10" s="128"/>
      <c r="S10" s="128"/>
      <c r="T10" s="128"/>
      <c r="U10" s="240"/>
      <c r="V10" s="136"/>
      <c r="W10" s="126"/>
      <c r="X10" s="126"/>
      <c r="Y10" s="128"/>
      <c r="Z10" s="128"/>
      <c r="AA10" s="128"/>
      <c r="AB10" s="128"/>
      <c r="AC10" s="128"/>
      <c r="AD10" s="128"/>
      <c r="AE10" s="240"/>
      <c r="AF10" s="136"/>
      <c r="AG10" s="126"/>
      <c r="AH10" s="126"/>
      <c r="AI10" s="128"/>
      <c r="AJ10" s="128"/>
      <c r="AK10" s="128"/>
      <c r="AL10" s="128"/>
      <c r="AM10" s="128"/>
      <c r="AN10" s="128"/>
      <c r="AO10" s="240"/>
      <c r="AP10" s="136"/>
      <c r="AQ10" s="126"/>
      <c r="AR10" s="126"/>
      <c r="AS10" s="128"/>
      <c r="AT10" s="128"/>
      <c r="AU10" s="128"/>
      <c r="AV10" s="128"/>
      <c r="AW10" s="128"/>
      <c r="AX10" s="128"/>
      <c r="AY10" s="240"/>
      <c r="AZ10" s="136"/>
      <c r="BA10" s="126"/>
      <c r="BB10" s="126"/>
      <c r="BC10" s="128"/>
      <c r="BD10" s="128"/>
      <c r="BE10" s="128"/>
      <c r="BF10" s="128"/>
      <c r="BG10" s="128"/>
      <c r="BH10" s="128"/>
      <c r="BI10" s="240"/>
      <c r="BJ10" s="136"/>
      <c r="BK10" s="126"/>
      <c r="BL10" s="126"/>
      <c r="BM10" s="128"/>
      <c r="BN10" s="128"/>
      <c r="BO10" s="128"/>
      <c r="BP10" s="128"/>
      <c r="BQ10" s="128"/>
      <c r="BR10" s="128"/>
      <c r="BS10" s="240"/>
      <c r="BT10" s="136"/>
      <c r="BU10" s="126"/>
      <c r="BV10" s="126"/>
      <c r="BW10" s="128"/>
      <c r="BX10" s="128"/>
      <c r="BY10" s="128"/>
      <c r="BZ10" s="128"/>
      <c r="CA10" s="128"/>
      <c r="CB10" s="128"/>
      <c r="CC10" s="240"/>
    </row>
    <row r="11" spans="1:81" s="77" customFormat="1" ht="15.95" customHeight="1">
      <c r="A11" s="287" t="s">
        <v>58</v>
      </c>
      <c r="B11" s="137">
        <v>16</v>
      </c>
      <c r="C11" s="131">
        <f>SUM(E11:I11)</f>
        <v>5533</v>
      </c>
      <c r="D11" s="131">
        <f t="shared" ref="D11:D22" si="0">IFERROR(C11/B11,0)</f>
        <v>345.8125</v>
      </c>
      <c r="E11" s="133"/>
      <c r="F11" s="133"/>
      <c r="G11" s="133">
        <v>5533</v>
      </c>
      <c r="H11" s="133"/>
      <c r="I11" s="133"/>
      <c r="J11" s="133">
        <v>5533</v>
      </c>
      <c r="K11" s="235">
        <f t="shared" ref="K11:K30" si="1">IF(J11=0,0,(IF(E11&lt;=J11,E11,J11)))</f>
        <v>0</v>
      </c>
      <c r="L11" s="137">
        <v>17</v>
      </c>
      <c r="M11" s="131">
        <f>SUM(O11:S11)</f>
        <v>10203</v>
      </c>
      <c r="N11" s="131">
        <f t="shared" ref="N11:N22" si="2">IFERROR(M11/L11,0)</f>
        <v>600.17647058823525</v>
      </c>
      <c r="O11" s="133"/>
      <c r="P11" s="133"/>
      <c r="Q11" s="133">
        <v>10203</v>
      </c>
      <c r="R11" s="133"/>
      <c r="S11" s="133"/>
      <c r="T11" s="133">
        <v>10203</v>
      </c>
      <c r="U11" s="235">
        <f t="shared" ref="U11:U30" si="3">IF(T11=0,0,(IF(O11&lt;=T11,O11,T11)))</f>
        <v>0</v>
      </c>
      <c r="V11" s="137">
        <v>10</v>
      </c>
      <c r="W11" s="131">
        <f>SUM(Y11:AC11)</f>
        <v>4330</v>
      </c>
      <c r="X11" s="131">
        <f>IFERROR(W11/V11,0)</f>
        <v>433</v>
      </c>
      <c r="Y11" s="133"/>
      <c r="Z11" s="133"/>
      <c r="AA11" s="133">
        <v>4330</v>
      </c>
      <c r="AB11" s="133"/>
      <c r="AC11" s="133"/>
      <c r="AD11" s="133">
        <v>4330</v>
      </c>
      <c r="AE11" s="235">
        <f t="shared" ref="AE11:AE30" si="4">IF(AD11=0,0,(IF(Y11&lt;=AD11,Y11,AD11)))</f>
        <v>0</v>
      </c>
      <c r="AF11" s="137">
        <v>15</v>
      </c>
      <c r="AG11" s="131">
        <f>SUM(AI11:AM11)</f>
        <v>7761</v>
      </c>
      <c r="AH11" s="131">
        <f t="shared" ref="AH11:AH22" si="5">IFERROR(AG11/AF11,0)</f>
        <v>517.4</v>
      </c>
      <c r="AI11" s="133"/>
      <c r="AJ11" s="133"/>
      <c r="AK11" s="133">
        <v>7761</v>
      </c>
      <c r="AL11" s="133"/>
      <c r="AM11" s="133"/>
      <c r="AN11" s="133">
        <v>7761</v>
      </c>
      <c r="AO11" s="235">
        <f t="shared" ref="AO11:AO30" si="6">IF(AN11=0,0,(IF(AI11&lt;=AN11,AI11,AN11)))</f>
        <v>0</v>
      </c>
      <c r="AP11" s="137">
        <v>28</v>
      </c>
      <c r="AQ11" s="131">
        <f>SUM(AS11:AW11)</f>
        <v>15982.66</v>
      </c>
      <c r="AR11" s="131">
        <f t="shared" ref="AR11:AR30" si="7">IFERROR(AQ11/AP11,0)</f>
        <v>570.80928571428569</v>
      </c>
      <c r="AS11" s="133"/>
      <c r="AT11" s="133"/>
      <c r="AU11" s="133">
        <v>15982.66</v>
      </c>
      <c r="AV11" s="133"/>
      <c r="AW11" s="133"/>
      <c r="AX11" s="133">
        <v>15982.66</v>
      </c>
      <c r="AY11" s="235">
        <f t="shared" ref="AY11:AY30" si="8">IF(AX11=0,0,(IF(AS11&lt;=AX11,AS11,AX11)))</f>
        <v>0</v>
      </c>
      <c r="AZ11" s="137">
        <v>25</v>
      </c>
      <c r="BA11" s="131">
        <f>SUM(BC11:BG11)</f>
        <v>10719</v>
      </c>
      <c r="BB11" s="131">
        <f t="shared" ref="BB11:BB30" si="9">IFERROR(BA11/AZ11,0)</f>
        <v>428.76</v>
      </c>
      <c r="BC11" s="133"/>
      <c r="BD11" s="133"/>
      <c r="BE11" s="133">
        <v>10719</v>
      </c>
      <c r="BF11" s="133"/>
      <c r="BG11" s="133"/>
      <c r="BH11" s="133">
        <v>10719</v>
      </c>
      <c r="BI11" s="235">
        <f t="shared" ref="BI11:BI30" si="10">IF(BH11=0,0,(IF(BC11&lt;=BH11,BC11,BH11)))</f>
        <v>0</v>
      </c>
      <c r="BJ11" s="137">
        <v>31</v>
      </c>
      <c r="BK11" s="131">
        <f>SUM(BM11:BQ11)</f>
        <v>18212</v>
      </c>
      <c r="BL11" s="131">
        <f>IFERROR(BK11/BJ11,0)</f>
        <v>587.48387096774195</v>
      </c>
      <c r="BM11" s="133"/>
      <c r="BN11" s="133"/>
      <c r="BO11" s="133">
        <v>18212</v>
      </c>
      <c r="BP11" s="133"/>
      <c r="BQ11" s="133"/>
      <c r="BR11" s="133">
        <v>18212</v>
      </c>
      <c r="BS11" s="235">
        <f>IF(BR11=0,0,(IF(BM11&lt;=BR11,BM11,BR11)))</f>
        <v>0</v>
      </c>
      <c r="BT11" s="324">
        <v>45</v>
      </c>
      <c r="BU11" s="131">
        <f>SUM(BW11:CA11)</f>
        <v>22840.9</v>
      </c>
      <c r="BV11" s="131">
        <f>IFERROR(BU11/BT11,0)</f>
        <v>507.57555555555558</v>
      </c>
      <c r="BW11" s="325"/>
      <c r="BX11" s="325"/>
      <c r="BY11" s="325">
        <v>22840.9</v>
      </c>
      <c r="BZ11" s="325"/>
      <c r="CA11" s="325"/>
      <c r="CB11" s="325">
        <v>22840.9</v>
      </c>
      <c r="CC11" s="357">
        <f>IF(CB11=0,0,(IF(BW11&lt;=CB11,BW11,CB11)))</f>
        <v>0</v>
      </c>
    </row>
    <row r="12" spans="1:81" s="77" customFormat="1" ht="15.95" customHeight="1">
      <c r="A12" s="287" t="s">
        <v>59</v>
      </c>
      <c r="B12" s="137">
        <v>11</v>
      </c>
      <c r="C12" s="131">
        <f t="shared" ref="C12:C22" si="11">SUM(E12:I12)</f>
        <v>7500</v>
      </c>
      <c r="D12" s="131">
        <f t="shared" si="0"/>
        <v>681.81818181818187</v>
      </c>
      <c r="E12" s="133"/>
      <c r="F12" s="133"/>
      <c r="G12" s="133"/>
      <c r="H12" s="133">
        <v>7500</v>
      </c>
      <c r="I12" s="133"/>
      <c r="J12" s="133">
        <v>7500</v>
      </c>
      <c r="K12" s="235">
        <f t="shared" si="1"/>
        <v>0</v>
      </c>
      <c r="L12" s="137">
        <v>0</v>
      </c>
      <c r="M12" s="131">
        <f t="shared" ref="M12:M21" si="12">SUM(O12:S12)</f>
        <v>0</v>
      </c>
      <c r="N12" s="131">
        <f t="shared" si="2"/>
        <v>0</v>
      </c>
      <c r="O12" s="133"/>
      <c r="P12" s="133"/>
      <c r="Q12" s="133"/>
      <c r="R12" s="133"/>
      <c r="S12" s="133"/>
      <c r="T12" s="133"/>
      <c r="U12" s="235">
        <f t="shared" si="3"/>
        <v>0</v>
      </c>
      <c r="V12" s="137">
        <v>0</v>
      </c>
      <c r="W12" s="131">
        <f t="shared" ref="W12:W21" si="13">SUM(Y12:AC12)</f>
        <v>0</v>
      </c>
      <c r="X12" s="131">
        <f t="shared" ref="X12:X22" si="14">IFERROR(W12/V12,0)</f>
        <v>0</v>
      </c>
      <c r="Y12" s="133"/>
      <c r="Z12" s="133"/>
      <c r="AA12" s="133"/>
      <c r="AB12" s="133"/>
      <c r="AC12" s="133"/>
      <c r="AD12" s="133"/>
      <c r="AE12" s="235">
        <f t="shared" si="4"/>
        <v>0</v>
      </c>
      <c r="AF12" s="137"/>
      <c r="AG12" s="131">
        <f t="shared" ref="AG12:AG22" si="15">SUM(AI12:AM12)</f>
        <v>0</v>
      </c>
      <c r="AH12" s="131">
        <f t="shared" si="5"/>
        <v>0</v>
      </c>
      <c r="AI12" s="133"/>
      <c r="AJ12" s="133"/>
      <c r="AK12" s="133"/>
      <c r="AL12" s="133"/>
      <c r="AM12" s="133"/>
      <c r="AN12" s="133"/>
      <c r="AO12" s="235">
        <f t="shared" si="6"/>
        <v>0</v>
      </c>
      <c r="AP12" s="137"/>
      <c r="AQ12" s="131">
        <f t="shared" ref="AQ12:AQ23" si="16">SUM(AS12:AW12)</f>
        <v>0</v>
      </c>
      <c r="AR12" s="131">
        <f t="shared" si="7"/>
        <v>0</v>
      </c>
      <c r="AS12" s="133"/>
      <c r="AT12" s="133"/>
      <c r="AU12" s="133"/>
      <c r="AV12" s="133"/>
      <c r="AW12" s="133"/>
      <c r="AX12" s="133"/>
      <c r="AY12" s="235">
        <f t="shared" si="8"/>
        <v>0</v>
      </c>
      <c r="AZ12" s="137"/>
      <c r="BA12" s="131">
        <f t="shared" ref="BA12:BA23" si="17">SUM(BC12:BG12)</f>
        <v>0</v>
      </c>
      <c r="BB12" s="131">
        <f t="shared" si="9"/>
        <v>0</v>
      </c>
      <c r="BC12" s="133"/>
      <c r="BD12" s="133"/>
      <c r="BE12" s="133"/>
      <c r="BF12" s="133"/>
      <c r="BG12" s="133"/>
      <c r="BH12" s="133"/>
      <c r="BI12" s="235">
        <f t="shared" si="10"/>
        <v>0</v>
      </c>
      <c r="BJ12" s="137">
        <v>0</v>
      </c>
      <c r="BK12" s="131">
        <f t="shared" ref="BK12:BK30" si="18">SUM(BM12:BQ12)</f>
        <v>0</v>
      </c>
      <c r="BL12" s="131">
        <f t="shared" ref="BL12:BL30" si="19">IFERROR(BK12/BJ12,0)</f>
        <v>0</v>
      </c>
      <c r="BM12" s="133"/>
      <c r="BN12" s="133"/>
      <c r="BO12" s="133"/>
      <c r="BP12" s="133"/>
      <c r="BQ12" s="133"/>
      <c r="BR12" s="133"/>
      <c r="BS12" s="235">
        <f t="shared" ref="BS12:BS30" si="20">IF(BR12=0,0,(IF(BM12&lt;=BR12,BM12,BR12)))</f>
        <v>0</v>
      </c>
      <c r="BT12" s="324">
        <v>0</v>
      </c>
      <c r="BU12" s="131">
        <f t="shared" ref="BU12:BU30" si="21">SUM(BW12:CA12)</f>
        <v>0</v>
      </c>
      <c r="BV12" s="131">
        <f t="shared" ref="BV12:BV30" si="22">IFERROR(BU12/BT12,0)</f>
        <v>0</v>
      </c>
      <c r="BW12" s="325"/>
      <c r="BX12" s="325"/>
      <c r="BY12" s="325"/>
      <c r="BZ12" s="325"/>
      <c r="CA12" s="325"/>
      <c r="CB12" s="325"/>
      <c r="CC12" s="357">
        <f t="shared" ref="CC12:CC30" si="23">IF(CB12=0,0,(IF(BW12&lt;=CB12,BW12,CB12)))</f>
        <v>0</v>
      </c>
    </row>
    <row r="13" spans="1:81" s="77" customFormat="1" ht="15.95" customHeight="1">
      <c r="A13" s="287" t="s">
        <v>60</v>
      </c>
      <c r="B13" s="137">
        <v>2</v>
      </c>
      <c r="C13" s="131">
        <f t="shared" si="11"/>
        <v>3000</v>
      </c>
      <c r="D13" s="131">
        <f t="shared" si="0"/>
        <v>1500</v>
      </c>
      <c r="E13" s="133"/>
      <c r="F13" s="133"/>
      <c r="G13" s="133">
        <v>3000</v>
      </c>
      <c r="H13" s="133"/>
      <c r="I13" s="133"/>
      <c r="J13" s="133">
        <v>3000</v>
      </c>
      <c r="K13" s="235">
        <f t="shared" si="1"/>
        <v>0</v>
      </c>
      <c r="L13" s="137">
        <v>0</v>
      </c>
      <c r="M13" s="131">
        <f t="shared" si="12"/>
        <v>0</v>
      </c>
      <c r="N13" s="131">
        <f t="shared" si="2"/>
        <v>0</v>
      </c>
      <c r="O13" s="133"/>
      <c r="P13" s="133"/>
      <c r="Q13" s="133"/>
      <c r="R13" s="133"/>
      <c r="S13" s="133"/>
      <c r="T13" s="133"/>
      <c r="U13" s="235">
        <f t="shared" si="3"/>
        <v>0</v>
      </c>
      <c r="V13" s="137">
        <v>0</v>
      </c>
      <c r="W13" s="131">
        <f t="shared" si="13"/>
        <v>0</v>
      </c>
      <c r="X13" s="131">
        <f t="shared" si="14"/>
        <v>0</v>
      </c>
      <c r="Y13" s="133"/>
      <c r="Z13" s="133"/>
      <c r="AA13" s="133"/>
      <c r="AB13" s="133"/>
      <c r="AC13" s="133"/>
      <c r="AD13" s="133"/>
      <c r="AE13" s="235">
        <f t="shared" si="4"/>
        <v>0</v>
      </c>
      <c r="AF13" s="137"/>
      <c r="AG13" s="131">
        <f t="shared" si="15"/>
        <v>0</v>
      </c>
      <c r="AH13" s="131">
        <f t="shared" si="5"/>
        <v>0</v>
      </c>
      <c r="AI13" s="133"/>
      <c r="AJ13" s="133"/>
      <c r="AK13" s="133"/>
      <c r="AL13" s="133"/>
      <c r="AM13" s="133"/>
      <c r="AN13" s="133"/>
      <c r="AO13" s="235">
        <f t="shared" si="6"/>
        <v>0</v>
      </c>
      <c r="AP13" s="137">
        <v>1</v>
      </c>
      <c r="AQ13" s="131">
        <f t="shared" si="16"/>
        <v>2000</v>
      </c>
      <c r="AR13" s="131">
        <f t="shared" si="7"/>
        <v>2000</v>
      </c>
      <c r="AS13" s="133"/>
      <c r="AT13" s="133"/>
      <c r="AU13" s="133">
        <v>2000</v>
      </c>
      <c r="AV13" s="133"/>
      <c r="AW13" s="133"/>
      <c r="AX13" s="133">
        <v>2000</v>
      </c>
      <c r="AY13" s="235">
        <f t="shared" si="8"/>
        <v>0</v>
      </c>
      <c r="AZ13" s="137">
        <v>1</v>
      </c>
      <c r="BA13" s="131">
        <f t="shared" si="17"/>
        <v>2000</v>
      </c>
      <c r="BB13" s="131">
        <f t="shared" si="9"/>
        <v>2000</v>
      </c>
      <c r="BC13" s="133"/>
      <c r="BD13" s="133"/>
      <c r="BE13" s="133">
        <v>2000</v>
      </c>
      <c r="BF13" s="133"/>
      <c r="BG13" s="133"/>
      <c r="BH13" s="133">
        <v>2000</v>
      </c>
      <c r="BI13" s="235">
        <f t="shared" si="10"/>
        <v>0</v>
      </c>
      <c r="BJ13" s="137">
        <v>0</v>
      </c>
      <c r="BK13" s="131">
        <f t="shared" si="18"/>
        <v>0</v>
      </c>
      <c r="BL13" s="131">
        <f t="shared" si="19"/>
        <v>0</v>
      </c>
      <c r="BM13" s="133"/>
      <c r="BN13" s="133"/>
      <c r="BO13" s="133"/>
      <c r="BP13" s="133"/>
      <c r="BQ13" s="133"/>
      <c r="BR13" s="133"/>
      <c r="BS13" s="235">
        <f t="shared" si="20"/>
        <v>0</v>
      </c>
      <c r="BT13" s="324">
        <v>1</v>
      </c>
      <c r="BU13" s="131">
        <f t="shared" si="21"/>
        <v>2000</v>
      </c>
      <c r="BV13" s="131">
        <f t="shared" si="22"/>
        <v>2000</v>
      </c>
      <c r="BW13" s="325"/>
      <c r="BX13" s="325"/>
      <c r="BY13" s="325">
        <v>2000</v>
      </c>
      <c r="BZ13" s="325"/>
      <c r="CA13" s="325"/>
      <c r="CB13" s="325">
        <v>2000</v>
      </c>
      <c r="CC13" s="357">
        <f t="shared" si="23"/>
        <v>0</v>
      </c>
    </row>
    <row r="14" spans="1:81" s="77" customFormat="1" ht="15.95" customHeight="1">
      <c r="A14" s="287" t="s">
        <v>61</v>
      </c>
      <c r="B14" s="137">
        <v>924</v>
      </c>
      <c r="C14" s="131">
        <f t="shared" si="11"/>
        <v>3107937</v>
      </c>
      <c r="D14" s="131">
        <f t="shared" si="0"/>
        <v>3363.568181818182</v>
      </c>
      <c r="E14" s="133"/>
      <c r="F14" s="133"/>
      <c r="G14" s="133"/>
      <c r="H14" s="133">
        <v>3107937</v>
      </c>
      <c r="I14" s="133"/>
      <c r="J14" s="133">
        <v>1612131</v>
      </c>
      <c r="K14" s="235">
        <f t="shared" si="1"/>
        <v>0</v>
      </c>
      <c r="L14" s="137">
        <v>885</v>
      </c>
      <c r="M14" s="131">
        <f t="shared" si="12"/>
        <v>3182436</v>
      </c>
      <c r="N14" s="131">
        <f t="shared" si="2"/>
        <v>3595.9728813559323</v>
      </c>
      <c r="O14" s="133"/>
      <c r="P14" s="133"/>
      <c r="Q14" s="133"/>
      <c r="R14" s="133">
        <v>3182436</v>
      </c>
      <c r="S14" s="133"/>
      <c r="T14" s="133">
        <v>1657588</v>
      </c>
      <c r="U14" s="235">
        <f t="shared" si="3"/>
        <v>0</v>
      </c>
      <c r="V14" s="137">
        <v>828</v>
      </c>
      <c r="W14" s="131">
        <f t="shared" si="13"/>
        <v>3168233</v>
      </c>
      <c r="X14" s="131">
        <f t="shared" si="14"/>
        <v>3826.3683574879228</v>
      </c>
      <c r="Y14" s="133"/>
      <c r="Z14" s="133"/>
      <c r="AA14" s="133"/>
      <c r="AB14" s="133">
        <v>3168233</v>
      </c>
      <c r="AC14" s="133"/>
      <c r="AD14" s="133">
        <v>1702024</v>
      </c>
      <c r="AE14" s="235">
        <f t="shared" si="4"/>
        <v>0</v>
      </c>
      <c r="AF14" s="137">
        <v>766</v>
      </c>
      <c r="AG14" s="131">
        <f t="shared" si="15"/>
        <v>2788679</v>
      </c>
      <c r="AH14" s="131">
        <f t="shared" si="5"/>
        <v>3640.5731070496086</v>
      </c>
      <c r="AI14" s="133"/>
      <c r="AJ14" s="133"/>
      <c r="AK14" s="133"/>
      <c r="AL14" s="133">
        <v>2788679</v>
      </c>
      <c r="AM14" s="133"/>
      <c r="AN14" s="133">
        <v>1474753</v>
      </c>
      <c r="AO14" s="235">
        <f t="shared" si="6"/>
        <v>0</v>
      </c>
      <c r="AP14" s="137">
        <v>691</v>
      </c>
      <c r="AQ14" s="131">
        <f t="shared" si="16"/>
        <v>2477174</v>
      </c>
      <c r="AR14" s="131">
        <f t="shared" si="7"/>
        <v>3584.9117221418232</v>
      </c>
      <c r="AS14" s="133"/>
      <c r="AT14" s="133"/>
      <c r="AU14" s="133"/>
      <c r="AV14" s="133">
        <v>2477174</v>
      </c>
      <c r="AW14" s="133"/>
      <c r="AX14" s="133">
        <v>1314071</v>
      </c>
      <c r="AY14" s="235">
        <f t="shared" si="8"/>
        <v>0</v>
      </c>
      <c r="AZ14" s="137">
        <v>600</v>
      </c>
      <c r="BA14" s="131">
        <f t="shared" si="17"/>
        <v>2183721</v>
      </c>
      <c r="BB14" s="131">
        <f t="shared" si="9"/>
        <v>3639.5349999999999</v>
      </c>
      <c r="BC14" s="133"/>
      <c r="BD14" s="133"/>
      <c r="BE14" s="133"/>
      <c r="BF14" s="133">
        <v>2183721</v>
      </c>
      <c r="BG14" s="133"/>
      <c r="BH14" s="133">
        <v>1153101</v>
      </c>
      <c r="BI14" s="235">
        <f t="shared" si="10"/>
        <v>0</v>
      </c>
      <c r="BJ14" s="137">
        <v>568</v>
      </c>
      <c r="BK14" s="131">
        <f t="shared" si="18"/>
        <v>2078414</v>
      </c>
      <c r="BL14" s="131">
        <f t="shared" si="19"/>
        <v>3659.1795774647885</v>
      </c>
      <c r="BM14" s="133"/>
      <c r="BN14" s="133"/>
      <c r="BO14" s="133"/>
      <c r="BP14" s="133">
        <v>2078414</v>
      </c>
      <c r="BQ14" s="133"/>
      <c r="BR14" s="133">
        <v>1068900</v>
      </c>
      <c r="BS14" s="235">
        <f t="shared" si="20"/>
        <v>0</v>
      </c>
      <c r="BT14" s="324">
        <v>645</v>
      </c>
      <c r="BU14" s="131">
        <f t="shared" si="21"/>
        <v>2305398</v>
      </c>
      <c r="BV14" s="131">
        <f t="shared" si="22"/>
        <v>3574.2604651162792</v>
      </c>
      <c r="BW14" s="325"/>
      <c r="BX14" s="325"/>
      <c r="BY14" s="325"/>
      <c r="BZ14" s="325">
        <v>2305398</v>
      </c>
      <c r="CA14" s="325"/>
      <c r="CB14" s="325">
        <v>1197073</v>
      </c>
      <c r="CC14" s="357">
        <f t="shared" si="23"/>
        <v>0</v>
      </c>
    </row>
    <row r="15" spans="1:81" s="77" customFormat="1" ht="15.95" customHeight="1">
      <c r="A15" s="287" t="s">
        <v>62</v>
      </c>
      <c r="B15" s="137">
        <v>862</v>
      </c>
      <c r="C15" s="131">
        <f t="shared" si="11"/>
        <v>3193752</v>
      </c>
      <c r="D15" s="131">
        <f t="shared" si="0"/>
        <v>3705.0487238979117</v>
      </c>
      <c r="E15" s="133"/>
      <c r="F15" s="133"/>
      <c r="G15" s="133"/>
      <c r="H15" s="133">
        <v>3193752</v>
      </c>
      <c r="I15" s="133"/>
      <c r="J15" s="133">
        <v>1781119</v>
      </c>
      <c r="K15" s="235">
        <f t="shared" si="1"/>
        <v>0</v>
      </c>
      <c r="L15" s="137">
        <v>821</v>
      </c>
      <c r="M15" s="131">
        <f t="shared" si="12"/>
        <v>3111468</v>
      </c>
      <c r="N15" s="131">
        <f t="shared" si="2"/>
        <v>3789.8514007308163</v>
      </c>
      <c r="O15" s="133"/>
      <c r="P15" s="133"/>
      <c r="Q15" s="133"/>
      <c r="R15" s="133">
        <v>3111468</v>
      </c>
      <c r="S15" s="133"/>
      <c r="T15" s="133">
        <v>1728366</v>
      </c>
      <c r="U15" s="235">
        <f t="shared" si="3"/>
        <v>0</v>
      </c>
      <c r="V15" s="137">
        <v>764</v>
      </c>
      <c r="W15" s="131">
        <f t="shared" si="13"/>
        <v>3122205</v>
      </c>
      <c r="X15" s="131">
        <f t="shared" si="14"/>
        <v>4086.6557591623036</v>
      </c>
      <c r="Y15" s="133"/>
      <c r="Z15" s="133"/>
      <c r="AA15" s="133"/>
      <c r="AB15" s="133">
        <v>3122205</v>
      </c>
      <c r="AC15" s="133"/>
      <c r="AD15" s="133">
        <v>1858941</v>
      </c>
      <c r="AE15" s="235">
        <f t="shared" si="4"/>
        <v>0</v>
      </c>
      <c r="AF15" s="137">
        <v>725</v>
      </c>
      <c r="AG15" s="131">
        <f t="shared" si="15"/>
        <v>3030969</v>
      </c>
      <c r="AH15" s="131">
        <f t="shared" si="5"/>
        <v>4180.6468965517242</v>
      </c>
      <c r="AI15" s="133"/>
      <c r="AJ15" s="133"/>
      <c r="AK15" s="133"/>
      <c r="AL15" s="133">
        <v>3030969</v>
      </c>
      <c r="AM15" s="133"/>
      <c r="AN15" s="133">
        <v>1756288</v>
      </c>
      <c r="AO15" s="235">
        <f t="shared" si="6"/>
        <v>0</v>
      </c>
      <c r="AP15" s="137">
        <v>687</v>
      </c>
      <c r="AQ15" s="131">
        <f t="shared" si="16"/>
        <v>2866816</v>
      </c>
      <c r="AR15" s="131">
        <f t="shared" si="7"/>
        <v>4172.9490538573509</v>
      </c>
      <c r="AS15" s="133"/>
      <c r="AT15" s="133"/>
      <c r="AU15" s="133"/>
      <c r="AV15" s="133">
        <v>2866816</v>
      </c>
      <c r="AW15" s="133"/>
      <c r="AX15" s="133">
        <v>1723020</v>
      </c>
      <c r="AY15" s="235">
        <f t="shared" si="8"/>
        <v>0</v>
      </c>
      <c r="AZ15" s="137">
        <v>637</v>
      </c>
      <c r="BA15" s="131">
        <f t="shared" si="17"/>
        <v>2795639</v>
      </c>
      <c r="BB15" s="131">
        <f t="shared" si="9"/>
        <v>4388.7582417582416</v>
      </c>
      <c r="BC15" s="133"/>
      <c r="BD15" s="133"/>
      <c r="BE15" s="133"/>
      <c r="BF15" s="133">
        <v>2795639</v>
      </c>
      <c r="BG15" s="133"/>
      <c r="BH15" s="133">
        <v>1644250</v>
      </c>
      <c r="BI15" s="235">
        <f t="shared" si="10"/>
        <v>0</v>
      </c>
      <c r="BJ15" s="137">
        <v>668</v>
      </c>
      <c r="BK15" s="131">
        <f t="shared" si="18"/>
        <v>3021556</v>
      </c>
      <c r="BL15" s="131">
        <f t="shared" si="19"/>
        <v>4523.2874251497005</v>
      </c>
      <c r="BM15" s="133"/>
      <c r="BN15" s="133"/>
      <c r="BO15" s="133"/>
      <c r="BP15" s="133">
        <v>3021556</v>
      </c>
      <c r="BQ15" s="133"/>
      <c r="BR15" s="133">
        <v>1730059</v>
      </c>
      <c r="BS15" s="235">
        <f t="shared" si="20"/>
        <v>0</v>
      </c>
      <c r="BT15" s="324">
        <v>743</v>
      </c>
      <c r="BU15" s="131">
        <f t="shared" si="21"/>
        <v>3458372</v>
      </c>
      <c r="BV15" s="131">
        <f t="shared" si="22"/>
        <v>4654.6056527590845</v>
      </c>
      <c r="BW15" s="325"/>
      <c r="BX15" s="325"/>
      <c r="BY15" s="325"/>
      <c r="BZ15" s="325">
        <v>3458372</v>
      </c>
      <c r="CA15" s="325"/>
      <c r="CB15" s="325">
        <v>1962668</v>
      </c>
      <c r="CC15" s="357">
        <f t="shared" si="23"/>
        <v>0</v>
      </c>
    </row>
    <row r="16" spans="1:81" s="77" customFormat="1" ht="15.95" customHeight="1">
      <c r="A16" s="287" t="s">
        <v>63</v>
      </c>
      <c r="B16" s="137">
        <v>63</v>
      </c>
      <c r="C16" s="131">
        <f t="shared" si="11"/>
        <v>81177</v>
      </c>
      <c r="D16" s="131">
        <f t="shared" si="0"/>
        <v>1288.5238095238096</v>
      </c>
      <c r="E16" s="133"/>
      <c r="F16" s="133"/>
      <c r="G16" s="133"/>
      <c r="H16" s="133">
        <v>81177</v>
      </c>
      <c r="I16" s="133"/>
      <c r="J16" s="133">
        <v>1705</v>
      </c>
      <c r="K16" s="235">
        <f t="shared" si="1"/>
        <v>0</v>
      </c>
      <c r="L16" s="137">
        <v>57</v>
      </c>
      <c r="M16" s="131">
        <f t="shared" si="12"/>
        <v>79666</v>
      </c>
      <c r="N16" s="131">
        <f t="shared" si="2"/>
        <v>1397.6491228070176</v>
      </c>
      <c r="O16" s="133"/>
      <c r="P16" s="133"/>
      <c r="Q16" s="133"/>
      <c r="R16" s="133">
        <v>79666</v>
      </c>
      <c r="S16" s="133"/>
      <c r="T16" s="133">
        <v>79666</v>
      </c>
      <c r="U16" s="235">
        <f t="shared" si="3"/>
        <v>0</v>
      </c>
      <c r="V16" s="137">
        <v>84</v>
      </c>
      <c r="W16" s="131">
        <f t="shared" si="13"/>
        <v>90500</v>
      </c>
      <c r="X16" s="131">
        <f t="shared" si="14"/>
        <v>1077.3809523809523</v>
      </c>
      <c r="Y16" s="133"/>
      <c r="Z16" s="133"/>
      <c r="AA16" s="133"/>
      <c r="AB16" s="133"/>
      <c r="AC16" s="133">
        <v>90500</v>
      </c>
      <c r="AD16" s="133">
        <v>4500</v>
      </c>
      <c r="AE16" s="235">
        <f t="shared" si="4"/>
        <v>0</v>
      </c>
      <c r="AF16" s="137">
        <v>67</v>
      </c>
      <c r="AG16" s="131">
        <f t="shared" si="15"/>
        <v>76776</v>
      </c>
      <c r="AH16" s="131">
        <f t="shared" si="5"/>
        <v>1145.9104477611941</v>
      </c>
      <c r="AI16" s="133"/>
      <c r="AJ16" s="133"/>
      <c r="AK16" s="133"/>
      <c r="AL16" s="133">
        <v>76776</v>
      </c>
      <c r="AM16" s="133"/>
      <c r="AN16" s="133">
        <v>2501</v>
      </c>
      <c r="AO16" s="235">
        <f t="shared" si="6"/>
        <v>0</v>
      </c>
      <c r="AP16" s="137">
        <v>107</v>
      </c>
      <c r="AQ16" s="131">
        <f t="shared" si="16"/>
        <v>139699</v>
      </c>
      <c r="AR16" s="131">
        <f t="shared" si="7"/>
        <v>1305.5981308411215</v>
      </c>
      <c r="AS16" s="133"/>
      <c r="AT16" s="133"/>
      <c r="AU16" s="133"/>
      <c r="AV16" s="133">
        <v>139699</v>
      </c>
      <c r="AW16" s="133"/>
      <c r="AX16" s="133">
        <v>38680</v>
      </c>
      <c r="AY16" s="235">
        <f t="shared" si="8"/>
        <v>0</v>
      </c>
      <c r="AZ16" s="137">
        <v>124</v>
      </c>
      <c r="BA16" s="131">
        <f t="shared" si="17"/>
        <v>158179</v>
      </c>
      <c r="BB16" s="131">
        <f t="shared" si="9"/>
        <v>1275.6370967741937</v>
      </c>
      <c r="BC16" s="133"/>
      <c r="BD16" s="133"/>
      <c r="BE16" s="133"/>
      <c r="BF16" s="133">
        <v>158179</v>
      </c>
      <c r="BG16" s="133"/>
      <c r="BH16" s="133">
        <v>46261</v>
      </c>
      <c r="BI16" s="235">
        <f t="shared" si="10"/>
        <v>0</v>
      </c>
      <c r="BJ16" s="137">
        <v>50</v>
      </c>
      <c r="BK16" s="131">
        <f t="shared" si="18"/>
        <v>77709</v>
      </c>
      <c r="BL16" s="131">
        <f t="shared" si="19"/>
        <v>1554.18</v>
      </c>
      <c r="BM16" s="133"/>
      <c r="BN16" s="133"/>
      <c r="BO16" s="133"/>
      <c r="BP16" s="133">
        <v>77709</v>
      </c>
      <c r="BQ16" s="133"/>
      <c r="BR16" s="133"/>
      <c r="BS16" s="235">
        <f t="shared" si="20"/>
        <v>0</v>
      </c>
      <c r="BT16" s="324">
        <v>224</v>
      </c>
      <c r="BU16" s="131">
        <f t="shared" si="21"/>
        <v>122940</v>
      </c>
      <c r="BV16" s="131">
        <f t="shared" si="22"/>
        <v>548.83928571428567</v>
      </c>
      <c r="BW16" s="325"/>
      <c r="BX16" s="325"/>
      <c r="BY16" s="325"/>
      <c r="BZ16" s="325">
        <v>122940</v>
      </c>
      <c r="CA16" s="325"/>
      <c r="CB16" s="325">
        <v>25526</v>
      </c>
      <c r="CC16" s="357">
        <f t="shared" si="23"/>
        <v>0</v>
      </c>
    </row>
    <row r="17" spans="1:81" s="77" customFormat="1" ht="15.95" customHeight="1">
      <c r="A17" s="287" t="s">
        <v>64</v>
      </c>
      <c r="B17" s="137">
        <v>13</v>
      </c>
      <c r="C17" s="131">
        <f t="shared" si="11"/>
        <v>6223</v>
      </c>
      <c r="D17" s="131">
        <f t="shared" si="0"/>
        <v>478.69230769230768</v>
      </c>
      <c r="E17" s="133"/>
      <c r="F17" s="133"/>
      <c r="G17" s="133"/>
      <c r="H17" s="133"/>
      <c r="I17" s="133">
        <v>6223</v>
      </c>
      <c r="J17" s="133">
        <v>4080</v>
      </c>
      <c r="K17" s="235">
        <f t="shared" si="1"/>
        <v>0</v>
      </c>
      <c r="L17" s="137">
        <v>11</v>
      </c>
      <c r="M17" s="131">
        <f t="shared" si="12"/>
        <v>7333</v>
      </c>
      <c r="N17" s="131">
        <f t="shared" si="2"/>
        <v>666.63636363636363</v>
      </c>
      <c r="O17" s="133"/>
      <c r="P17" s="133"/>
      <c r="Q17" s="133"/>
      <c r="R17" s="133"/>
      <c r="S17" s="133">
        <v>7333</v>
      </c>
      <c r="T17" s="133">
        <v>6057</v>
      </c>
      <c r="U17" s="235">
        <f t="shared" si="3"/>
        <v>0</v>
      </c>
      <c r="V17" s="137">
        <v>10</v>
      </c>
      <c r="W17" s="131">
        <f t="shared" si="13"/>
        <v>18402</v>
      </c>
      <c r="X17" s="131">
        <f t="shared" si="14"/>
        <v>1840.2</v>
      </c>
      <c r="Y17" s="133"/>
      <c r="Z17" s="133"/>
      <c r="AA17" s="133"/>
      <c r="AB17" s="133"/>
      <c r="AC17" s="133">
        <v>18402</v>
      </c>
      <c r="AD17" s="133">
        <v>10015</v>
      </c>
      <c r="AE17" s="235">
        <f t="shared" si="4"/>
        <v>0</v>
      </c>
      <c r="AF17" s="137">
        <v>9</v>
      </c>
      <c r="AG17" s="131">
        <f t="shared" si="15"/>
        <v>5318</v>
      </c>
      <c r="AH17" s="131">
        <f t="shared" si="5"/>
        <v>590.88888888888891</v>
      </c>
      <c r="AI17" s="133"/>
      <c r="AJ17" s="133"/>
      <c r="AK17" s="133"/>
      <c r="AL17" s="133"/>
      <c r="AM17" s="133">
        <v>5318</v>
      </c>
      <c r="AN17" s="133">
        <v>4694</v>
      </c>
      <c r="AO17" s="235">
        <f t="shared" si="6"/>
        <v>0</v>
      </c>
      <c r="AP17" s="137">
        <v>9</v>
      </c>
      <c r="AQ17" s="131">
        <f t="shared" si="16"/>
        <v>6092</v>
      </c>
      <c r="AR17" s="131">
        <f t="shared" si="7"/>
        <v>676.88888888888891</v>
      </c>
      <c r="AS17" s="133"/>
      <c r="AT17" s="133"/>
      <c r="AU17" s="133"/>
      <c r="AV17" s="133"/>
      <c r="AW17" s="133">
        <v>6092</v>
      </c>
      <c r="AX17" s="133">
        <v>5459.5</v>
      </c>
      <c r="AY17" s="235">
        <f t="shared" si="8"/>
        <v>0</v>
      </c>
      <c r="AZ17" s="137">
        <v>12</v>
      </c>
      <c r="BA17" s="131">
        <f t="shared" si="17"/>
        <v>6807</v>
      </c>
      <c r="BB17" s="131">
        <f t="shared" si="9"/>
        <v>567.25</v>
      </c>
      <c r="BC17" s="133"/>
      <c r="BD17" s="133"/>
      <c r="BE17" s="133"/>
      <c r="BF17" s="133"/>
      <c r="BG17" s="133">
        <v>6807</v>
      </c>
      <c r="BH17" s="133">
        <v>2500</v>
      </c>
      <c r="BI17" s="235">
        <f t="shared" si="10"/>
        <v>0</v>
      </c>
      <c r="BJ17" s="137">
        <v>9</v>
      </c>
      <c r="BK17" s="131">
        <f t="shared" si="18"/>
        <v>6651</v>
      </c>
      <c r="BL17" s="131">
        <f t="shared" si="19"/>
        <v>739</v>
      </c>
      <c r="BM17" s="133"/>
      <c r="BN17" s="133"/>
      <c r="BO17" s="133"/>
      <c r="BP17" s="133"/>
      <c r="BQ17" s="133">
        <v>6651</v>
      </c>
      <c r="BR17" s="133">
        <v>4284</v>
      </c>
      <c r="BS17" s="235">
        <f t="shared" si="20"/>
        <v>0</v>
      </c>
      <c r="BT17" s="324">
        <v>9</v>
      </c>
      <c r="BU17" s="131">
        <f t="shared" si="21"/>
        <v>8585</v>
      </c>
      <c r="BV17" s="131">
        <f t="shared" si="22"/>
        <v>953.88888888888891</v>
      </c>
      <c r="BW17" s="325"/>
      <c r="BX17" s="325"/>
      <c r="BY17" s="325"/>
      <c r="BZ17" s="325"/>
      <c r="CA17" s="325">
        <v>8585</v>
      </c>
      <c r="CB17" s="325">
        <v>6154</v>
      </c>
      <c r="CC17" s="357">
        <f t="shared" si="23"/>
        <v>0</v>
      </c>
    </row>
    <row r="18" spans="1:81" s="77" customFormat="1" ht="15.95" customHeight="1">
      <c r="A18" s="287" t="s">
        <v>65</v>
      </c>
      <c r="B18" s="137">
        <v>8</v>
      </c>
      <c r="C18" s="131">
        <f t="shared" si="11"/>
        <v>20833</v>
      </c>
      <c r="D18" s="131">
        <f t="shared" si="0"/>
        <v>2604.125</v>
      </c>
      <c r="E18" s="133">
        <v>20833</v>
      </c>
      <c r="F18" s="133"/>
      <c r="G18" s="133"/>
      <c r="H18" s="133"/>
      <c r="I18" s="133"/>
      <c r="J18" s="133">
        <v>20833</v>
      </c>
      <c r="K18" s="235">
        <f t="shared" si="1"/>
        <v>20833</v>
      </c>
      <c r="L18" s="137">
        <v>14</v>
      </c>
      <c r="M18" s="131">
        <f t="shared" si="12"/>
        <v>26568</v>
      </c>
      <c r="N18" s="131">
        <f t="shared" si="2"/>
        <v>1897.7142857142858</v>
      </c>
      <c r="O18" s="133">
        <v>26568</v>
      </c>
      <c r="P18" s="133"/>
      <c r="Q18" s="133"/>
      <c r="R18" s="133"/>
      <c r="S18" s="133"/>
      <c r="T18" s="133">
        <v>26568</v>
      </c>
      <c r="U18" s="235">
        <f t="shared" si="3"/>
        <v>26568</v>
      </c>
      <c r="V18" s="137">
        <v>11</v>
      </c>
      <c r="W18" s="131">
        <f t="shared" si="13"/>
        <v>10302</v>
      </c>
      <c r="X18" s="131">
        <f t="shared" si="14"/>
        <v>936.5454545454545</v>
      </c>
      <c r="Y18" s="133">
        <v>10302</v>
      </c>
      <c r="Z18" s="133"/>
      <c r="AA18" s="133"/>
      <c r="AB18" s="133"/>
      <c r="AC18" s="133"/>
      <c r="AD18" s="133">
        <v>10302</v>
      </c>
      <c r="AE18" s="235">
        <f t="shared" si="4"/>
        <v>10302</v>
      </c>
      <c r="AF18" s="137">
        <v>12</v>
      </c>
      <c r="AG18" s="131">
        <f t="shared" si="15"/>
        <v>9407</v>
      </c>
      <c r="AH18" s="131">
        <f t="shared" si="5"/>
        <v>783.91666666666663</v>
      </c>
      <c r="AI18" s="133">
        <v>9407</v>
      </c>
      <c r="AJ18" s="133"/>
      <c r="AK18" s="133"/>
      <c r="AL18" s="133"/>
      <c r="AM18" s="133"/>
      <c r="AN18" s="133">
        <v>9407</v>
      </c>
      <c r="AO18" s="235">
        <f t="shared" si="6"/>
        <v>9407</v>
      </c>
      <c r="AP18" s="137">
        <v>1</v>
      </c>
      <c r="AQ18" s="131">
        <f t="shared" si="16"/>
        <v>6.75</v>
      </c>
      <c r="AR18" s="131">
        <f t="shared" si="7"/>
        <v>6.75</v>
      </c>
      <c r="AS18" s="133">
        <v>6.75</v>
      </c>
      <c r="AT18" s="133"/>
      <c r="AU18" s="133"/>
      <c r="AV18" s="133"/>
      <c r="AW18" s="133"/>
      <c r="AX18" s="133">
        <v>6.75</v>
      </c>
      <c r="AY18" s="235">
        <f t="shared" si="8"/>
        <v>6.75</v>
      </c>
      <c r="AZ18" s="137"/>
      <c r="BA18" s="131">
        <f t="shared" si="17"/>
        <v>0</v>
      </c>
      <c r="BB18" s="131">
        <f t="shared" si="9"/>
        <v>0</v>
      </c>
      <c r="BC18" s="133"/>
      <c r="BD18" s="133"/>
      <c r="BE18" s="133"/>
      <c r="BF18" s="133"/>
      <c r="BG18" s="133"/>
      <c r="BH18" s="133"/>
      <c r="BI18" s="235">
        <f t="shared" si="10"/>
        <v>0</v>
      </c>
      <c r="BJ18" s="137">
        <v>1</v>
      </c>
      <c r="BK18" s="131">
        <f t="shared" si="18"/>
        <v>526</v>
      </c>
      <c r="BL18" s="131">
        <f t="shared" si="19"/>
        <v>526</v>
      </c>
      <c r="BM18" s="133">
        <v>526</v>
      </c>
      <c r="BN18" s="133"/>
      <c r="BO18" s="133"/>
      <c r="BP18" s="133"/>
      <c r="BQ18" s="133"/>
      <c r="BR18" s="133">
        <v>526</v>
      </c>
      <c r="BS18" s="235">
        <f t="shared" si="20"/>
        <v>526</v>
      </c>
      <c r="BT18" s="324">
        <v>0</v>
      </c>
      <c r="BU18" s="131">
        <f t="shared" si="21"/>
        <v>0</v>
      </c>
      <c r="BV18" s="131">
        <f t="shared" si="22"/>
        <v>0</v>
      </c>
      <c r="BW18" s="325"/>
      <c r="BX18" s="325"/>
      <c r="BY18" s="325"/>
      <c r="BZ18" s="325"/>
      <c r="CA18" s="325"/>
      <c r="CB18" s="325"/>
      <c r="CC18" s="357">
        <f t="shared" si="23"/>
        <v>0</v>
      </c>
    </row>
    <row r="19" spans="1:81" s="77" customFormat="1" ht="15.95" customHeight="1">
      <c r="A19" s="287" t="s">
        <v>66</v>
      </c>
      <c r="B19" s="137">
        <v>217</v>
      </c>
      <c r="C19" s="131">
        <f t="shared" si="11"/>
        <v>317858</v>
      </c>
      <c r="D19" s="131">
        <f t="shared" si="0"/>
        <v>1464.7834101382489</v>
      </c>
      <c r="E19" s="133"/>
      <c r="F19" s="133"/>
      <c r="G19" s="133">
        <v>317858</v>
      </c>
      <c r="H19" s="133"/>
      <c r="I19" s="133"/>
      <c r="J19" s="133">
        <v>313154</v>
      </c>
      <c r="K19" s="235">
        <f t="shared" si="1"/>
        <v>0</v>
      </c>
      <c r="L19" s="137">
        <v>222</v>
      </c>
      <c r="M19" s="131">
        <f t="shared" si="12"/>
        <v>339070</v>
      </c>
      <c r="N19" s="131">
        <f t="shared" si="2"/>
        <v>1527.3423423423424</v>
      </c>
      <c r="O19" s="133"/>
      <c r="P19" s="133"/>
      <c r="Q19" s="133">
        <v>339070</v>
      </c>
      <c r="R19" s="133"/>
      <c r="S19" s="133"/>
      <c r="T19" s="133">
        <v>327908</v>
      </c>
      <c r="U19" s="235">
        <f t="shared" si="3"/>
        <v>0</v>
      </c>
      <c r="V19" s="137">
        <v>222</v>
      </c>
      <c r="W19" s="131">
        <f t="shared" si="13"/>
        <v>331292</v>
      </c>
      <c r="X19" s="131">
        <f t="shared" si="14"/>
        <v>1492.3063063063064</v>
      </c>
      <c r="Y19" s="133"/>
      <c r="Z19" s="133"/>
      <c r="AA19" s="133">
        <v>331292</v>
      </c>
      <c r="AB19" s="133"/>
      <c r="AC19" s="133"/>
      <c r="AD19" s="133">
        <v>323650</v>
      </c>
      <c r="AE19" s="235">
        <f t="shared" si="4"/>
        <v>0</v>
      </c>
      <c r="AF19" s="137">
        <v>218</v>
      </c>
      <c r="AG19" s="131">
        <f t="shared" si="15"/>
        <v>348803</v>
      </c>
      <c r="AH19" s="131">
        <f t="shared" si="5"/>
        <v>1600.0137614678899</v>
      </c>
      <c r="AI19" s="133"/>
      <c r="AJ19" s="133"/>
      <c r="AK19" s="133">
        <v>348803</v>
      </c>
      <c r="AL19" s="133"/>
      <c r="AM19" s="133"/>
      <c r="AN19" s="133">
        <v>348803</v>
      </c>
      <c r="AO19" s="235">
        <f t="shared" si="6"/>
        <v>0</v>
      </c>
      <c r="AP19" s="137">
        <v>205</v>
      </c>
      <c r="AQ19" s="131">
        <f t="shared" si="16"/>
        <v>339901</v>
      </c>
      <c r="AR19" s="131">
        <f t="shared" si="7"/>
        <v>1658.0536585365853</v>
      </c>
      <c r="AS19" s="133"/>
      <c r="AT19" s="133"/>
      <c r="AU19" s="133">
        <v>339901</v>
      </c>
      <c r="AV19" s="133"/>
      <c r="AW19" s="133"/>
      <c r="AX19" s="133">
        <v>339901</v>
      </c>
      <c r="AY19" s="235">
        <f t="shared" si="8"/>
        <v>0</v>
      </c>
      <c r="AZ19" s="137">
        <v>210</v>
      </c>
      <c r="BA19" s="131">
        <f t="shared" si="17"/>
        <v>395485</v>
      </c>
      <c r="BB19" s="131">
        <f t="shared" si="9"/>
        <v>1883.2619047619048</v>
      </c>
      <c r="BC19" s="133"/>
      <c r="BD19" s="133"/>
      <c r="BE19" s="133">
        <v>395485</v>
      </c>
      <c r="BF19" s="133"/>
      <c r="BG19" s="133"/>
      <c r="BH19" s="133">
        <v>395485</v>
      </c>
      <c r="BI19" s="235">
        <f t="shared" si="10"/>
        <v>0</v>
      </c>
      <c r="BJ19" s="137">
        <v>224</v>
      </c>
      <c r="BK19" s="131">
        <f t="shared" si="18"/>
        <v>427526</v>
      </c>
      <c r="BL19" s="131">
        <f t="shared" si="19"/>
        <v>1908.5982142857142</v>
      </c>
      <c r="BM19" s="133"/>
      <c r="BN19" s="133"/>
      <c r="BO19" s="133">
        <v>427526</v>
      </c>
      <c r="BP19" s="133"/>
      <c r="BQ19" s="133"/>
      <c r="BR19" s="133">
        <v>427526</v>
      </c>
      <c r="BS19" s="235">
        <f t="shared" si="20"/>
        <v>0</v>
      </c>
      <c r="BT19" s="324">
        <v>341</v>
      </c>
      <c r="BU19" s="131">
        <f t="shared" si="21"/>
        <v>459781</v>
      </c>
      <c r="BV19" s="131">
        <f t="shared" si="22"/>
        <v>1348.3313782991202</v>
      </c>
      <c r="BW19" s="325"/>
      <c r="BX19" s="325"/>
      <c r="BY19" s="325">
        <v>459781</v>
      </c>
      <c r="BZ19" s="325"/>
      <c r="CA19" s="325"/>
      <c r="CB19" s="325">
        <v>459781</v>
      </c>
      <c r="CC19" s="357">
        <f t="shared" si="23"/>
        <v>0</v>
      </c>
    </row>
    <row r="20" spans="1:81" s="77" customFormat="1" ht="15.95" customHeight="1">
      <c r="A20" s="287" t="s">
        <v>67</v>
      </c>
      <c r="B20" s="137">
        <f>84+27</f>
        <v>111</v>
      </c>
      <c r="C20" s="131">
        <f t="shared" si="11"/>
        <v>583570</v>
      </c>
      <c r="D20" s="131">
        <f t="shared" si="0"/>
        <v>5257.3873873873872</v>
      </c>
      <c r="E20" s="133"/>
      <c r="F20" s="133"/>
      <c r="G20" s="133"/>
      <c r="H20" s="133"/>
      <c r="I20" s="133">
        <f>550270+33300</f>
        <v>583570</v>
      </c>
      <c r="J20" s="133">
        <f>541470+31865</f>
        <v>573335</v>
      </c>
      <c r="K20" s="235">
        <f t="shared" si="1"/>
        <v>0</v>
      </c>
      <c r="L20" s="137">
        <v>120</v>
      </c>
      <c r="M20" s="131">
        <f t="shared" si="12"/>
        <v>638166</v>
      </c>
      <c r="N20" s="131">
        <f t="shared" si="2"/>
        <v>5318.05</v>
      </c>
      <c r="O20" s="133"/>
      <c r="P20" s="133"/>
      <c r="Q20" s="133"/>
      <c r="R20" s="133">
        <v>1365</v>
      </c>
      <c r="S20" s="133">
        <v>636801</v>
      </c>
      <c r="T20" s="133">
        <v>628027</v>
      </c>
      <c r="U20" s="235">
        <f t="shared" si="3"/>
        <v>0</v>
      </c>
      <c r="V20" s="137">
        <v>208</v>
      </c>
      <c r="W20" s="131">
        <f t="shared" si="13"/>
        <v>787315</v>
      </c>
      <c r="X20" s="131">
        <f t="shared" si="14"/>
        <v>3785.1682692307691</v>
      </c>
      <c r="Y20" s="133"/>
      <c r="Z20" s="133"/>
      <c r="AA20" s="133"/>
      <c r="AB20" s="133">
        <v>1544</v>
      </c>
      <c r="AC20" s="133">
        <v>785771</v>
      </c>
      <c r="AD20" s="133">
        <v>765671</v>
      </c>
      <c r="AE20" s="235">
        <f t="shared" si="4"/>
        <v>0</v>
      </c>
      <c r="AF20" s="137">
        <v>324</v>
      </c>
      <c r="AG20" s="131">
        <f t="shared" si="15"/>
        <v>642025</v>
      </c>
      <c r="AH20" s="131">
        <f t="shared" si="5"/>
        <v>1981.5586419753085</v>
      </c>
      <c r="AI20" s="133"/>
      <c r="AJ20" s="133"/>
      <c r="AK20" s="133"/>
      <c r="AL20" s="133"/>
      <c r="AM20" s="133">
        <v>642025</v>
      </c>
      <c r="AN20" s="133">
        <v>406456</v>
      </c>
      <c r="AO20" s="235">
        <f t="shared" si="6"/>
        <v>0</v>
      </c>
      <c r="AP20" s="137">
        <v>335</v>
      </c>
      <c r="AQ20" s="131">
        <f t="shared" si="16"/>
        <v>751852.97</v>
      </c>
      <c r="AR20" s="131">
        <f t="shared" si="7"/>
        <v>2244.3372238805969</v>
      </c>
      <c r="AS20" s="133"/>
      <c r="AT20" s="133"/>
      <c r="AU20" s="133"/>
      <c r="AV20" s="133"/>
      <c r="AW20" s="133">
        <v>751852.97</v>
      </c>
      <c r="AX20" s="133">
        <v>490949.29</v>
      </c>
      <c r="AY20" s="235">
        <f t="shared" si="8"/>
        <v>0</v>
      </c>
      <c r="AZ20" s="137">
        <v>327</v>
      </c>
      <c r="BA20" s="131">
        <f t="shared" si="17"/>
        <v>810435</v>
      </c>
      <c r="BB20" s="131">
        <f t="shared" si="9"/>
        <v>2478.3944954128442</v>
      </c>
      <c r="BC20" s="133"/>
      <c r="BD20" s="133"/>
      <c r="BE20" s="133"/>
      <c r="BF20" s="133"/>
      <c r="BG20" s="133">
        <v>810435</v>
      </c>
      <c r="BH20" s="133">
        <v>535703</v>
      </c>
      <c r="BI20" s="235">
        <f t="shared" si="10"/>
        <v>0</v>
      </c>
      <c r="BJ20" s="137">
        <v>375</v>
      </c>
      <c r="BK20" s="131">
        <f t="shared" si="18"/>
        <v>918544</v>
      </c>
      <c r="BL20" s="131">
        <f t="shared" si="19"/>
        <v>2449.4506666666666</v>
      </c>
      <c r="BM20" s="133"/>
      <c r="BN20" s="133"/>
      <c r="BO20" s="133"/>
      <c r="BP20" s="133"/>
      <c r="BQ20" s="133">
        <v>918544</v>
      </c>
      <c r="BR20" s="133">
        <v>622285</v>
      </c>
      <c r="BS20" s="235">
        <f t="shared" si="20"/>
        <v>0</v>
      </c>
      <c r="BT20" s="324">
        <v>398</v>
      </c>
      <c r="BU20" s="131">
        <f t="shared" si="21"/>
        <v>995949.33</v>
      </c>
      <c r="BV20" s="131">
        <f t="shared" si="22"/>
        <v>2502.3852512562812</v>
      </c>
      <c r="BW20" s="325"/>
      <c r="BX20" s="325"/>
      <c r="BY20" s="325"/>
      <c r="BZ20" s="325"/>
      <c r="CA20" s="325">
        <v>995949.33</v>
      </c>
      <c r="CB20" s="325">
        <v>665717.39</v>
      </c>
      <c r="CC20" s="357">
        <f t="shared" si="23"/>
        <v>0</v>
      </c>
    </row>
    <row r="21" spans="1:81" s="77" customFormat="1" ht="15.95" customHeight="1">
      <c r="A21" s="287" t="s">
        <v>68</v>
      </c>
      <c r="B21" s="137">
        <v>17</v>
      </c>
      <c r="C21" s="131">
        <f t="shared" si="11"/>
        <v>20000</v>
      </c>
      <c r="D21" s="131">
        <f t="shared" si="0"/>
        <v>1176.4705882352941</v>
      </c>
      <c r="E21" s="133"/>
      <c r="F21" s="133"/>
      <c r="G21" s="133"/>
      <c r="H21" s="133">
        <v>20000</v>
      </c>
      <c r="I21" s="133"/>
      <c r="J21" s="133">
        <v>8875</v>
      </c>
      <c r="K21" s="235">
        <f t="shared" si="1"/>
        <v>0</v>
      </c>
      <c r="L21" s="137">
        <v>21</v>
      </c>
      <c r="M21" s="131">
        <f t="shared" si="12"/>
        <v>20000</v>
      </c>
      <c r="N21" s="131">
        <f t="shared" si="2"/>
        <v>952.38095238095241</v>
      </c>
      <c r="O21" s="133"/>
      <c r="P21" s="133"/>
      <c r="Q21" s="133"/>
      <c r="R21" s="133">
        <v>20000</v>
      </c>
      <c r="S21" s="133"/>
      <c r="T21" s="133">
        <v>5250</v>
      </c>
      <c r="U21" s="235">
        <f t="shared" si="3"/>
        <v>0</v>
      </c>
      <c r="V21" s="137">
        <v>18</v>
      </c>
      <c r="W21" s="131">
        <f t="shared" si="13"/>
        <v>22250</v>
      </c>
      <c r="X21" s="131">
        <f t="shared" si="14"/>
        <v>1236.1111111111111</v>
      </c>
      <c r="Y21" s="133"/>
      <c r="Z21" s="133"/>
      <c r="AA21" s="133"/>
      <c r="AB21" s="133">
        <v>22250</v>
      </c>
      <c r="AC21" s="133"/>
      <c r="AD21" s="133">
        <v>3250</v>
      </c>
      <c r="AE21" s="235">
        <f t="shared" si="4"/>
        <v>0</v>
      </c>
      <c r="AF21" s="137">
        <v>19</v>
      </c>
      <c r="AG21" s="131">
        <f t="shared" si="15"/>
        <v>23000</v>
      </c>
      <c r="AH21" s="131">
        <f t="shared" si="5"/>
        <v>1210.5263157894738</v>
      </c>
      <c r="AI21" s="133"/>
      <c r="AJ21" s="133"/>
      <c r="AK21" s="133"/>
      <c r="AL21" s="133">
        <v>23000</v>
      </c>
      <c r="AM21" s="133"/>
      <c r="AN21" s="133">
        <v>10500</v>
      </c>
      <c r="AO21" s="235">
        <f t="shared" si="6"/>
        <v>0</v>
      </c>
      <c r="AP21" s="137">
        <v>22</v>
      </c>
      <c r="AQ21" s="131">
        <f t="shared" si="16"/>
        <v>27500</v>
      </c>
      <c r="AR21" s="131">
        <f t="shared" si="7"/>
        <v>1250</v>
      </c>
      <c r="AS21" s="133"/>
      <c r="AT21" s="133"/>
      <c r="AU21" s="133"/>
      <c r="AV21" s="133">
        <v>27500</v>
      </c>
      <c r="AW21" s="133"/>
      <c r="AX21" s="133">
        <v>10750</v>
      </c>
      <c r="AY21" s="235">
        <f t="shared" si="8"/>
        <v>0</v>
      </c>
      <c r="AZ21" s="137">
        <v>18</v>
      </c>
      <c r="BA21" s="131">
        <f t="shared" si="17"/>
        <v>24000</v>
      </c>
      <c r="BB21" s="131">
        <f t="shared" si="9"/>
        <v>1333.3333333333333</v>
      </c>
      <c r="BC21" s="133"/>
      <c r="BD21" s="133"/>
      <c r="BE21" s="133"/>
      <c r="BF21" s="133">
        <v>24000</v>
      </c>
      <c r="BG21" s="133"/>
      <c r="BH21" s="133">
        <v>5000</v>
      </c>
      <c r="BI21" s="235">
        <f t="shared" si="10"/>
        <v>0</v>
      </c>
      <c r="BJ21" s="137">
        <v>17</v>
      </c>
      <c r="BK21" s="131">
        <f t="shared" si="18"/>
        <v>18000</v>
      </c>
      <c r="BL21" s="131">
        <f t="shared" si="19"/>
        <v>1058.8235294117646</v>
      </c>
      <c r="BM21" s="133"/>
      <c r="BN21" s="133"/>
      <c r="BO21" s="133"/>
      <c r="BP21" s="133">
        <v>18000</v>
      </c>
      <c r="BQ21" s="133"/>
      <c r="BR21" s="133">
        <v>9500</v>
      </c>
      <c r="BS21" s="235">
        <f t="shared" si="20"/>
        <v>0</v>
      </c>
      <c r="BT21" s="324">
        <v>15</v>
      </c>
      <c r="BU21" s="131">
        <f t="shared" si="21"/>
        <v>17750</v>
      </c>
      <c r="BV21" s="131">
        <f t="shared" si="22"/>
        <v>1183.3333333333333</v>
      </c>
      <c r="BW21" s="325"/>
      <c r="BX21" s="325"/>
      <c r="BY21" s="325"/>
      <c r="BZ21" s="325">
        <v>17750</v>
      </c>
      <c r="CA21" s="325"/>
      <c r="CB21" s="325">
        <v>8000</v>
      </c>
      <c r="CC21" s="357">
        <f t="shared" si="23"/>
        <v>0</v>
      </c>
    </row>
    <row r="22" spans="1:81" s="77" customFormat="1" ht="15.95" customHeight="1">
      <c r="A22" s="287" t="s">
        <v>201</v>
      </c>
      <c r="B22" s="137"/>
      <c r="C22" s="131">
        <f t="shared" si="11"/>
        <v>0</v>
      </c>
      <c r="D22" s="131">
        <f t="shared" si="0"/>
        <v>0</v>
      </c>
      <c r="E22" s="133"/>
      <c r="F22" s="133"/>
      <c r="G22" s="133"/>
      <c r="H22" s="133"/>
      <c r="I22" s="133"/>
      <c r="J22" s="133"/>
      <c r="K22" s="235">
        <f t="shared" si="1"/>
        <v>0</v>
      </c>
      <c r="L22" s="137"/>
      <c r="M22" s="131">
        <f>SUM(O22:S22)</f>
        <v>0</v>
      </c>
      <c r="N22" s="131">
        <f t="shared" si="2"/>
        <v>0</v>
      </c>
      <c r="O22" s="133"/>
      <c r="P22" s="133"/>
      <c r="Q22" s="133"/>
      <c r="R22" s="133"/>
      <c r="S22" s="133"/>
      <c r="T22" s="133"/>
      <c r="U22" s="235">
        <f t="shared" si="3"/>
        <v>0</v>
      </c>
      <c r="V22" s="137"/>
      <c r="W22" s="131">
        <f>SUM(Y22:AC22)</f>
        <v>0</v>
      </c>
      <c r="X22" s="131">
        <f t="shared" si="14"/>
        <v>0</v>
      </c>
      <c r="Y22" s="133"/>
      <c r="Z22" s="133"/>
      <c r="AA22" s="133"/>
      <c r="AB22" s="133"/>
      <c r="AC22" s="133"/>
      <c r="AD22" s="133"/>
      <c r="AE22" s="235">
        <f t="shared" si="4"/>
        <v>0</v>
      </c>
      <c r="AF22" s="137">
        <v>86</v>
      </c>
      <c r="AG22" s="131">
        <f t="shared" si="15"/>
        <v>696476</v>
      </c>
      <c r="AH22" s="131">
        <f t="shared" si="5"/>
        <v>8098.5581395348836</v>
      </c>
      <c r="AI22" s="133"/>
      <c r="AJ22" s="133"/>
      <c r="AK22" s="133"/>
      <c r="AL22" s="133"/>
      <c r="AM22" s="133">
        <v>696476</v>
      </c>
      <c r="AN22" s="133">
        <v>696476</v>
      </c>
      <c r="AO22" s="235">
        <f t="shared" si="6"/>
        <v>0</v>
      </c>
      <c r="AP22" s="137">
        <v>81</v>
      </c>
      <c r="AQ22" s="131">
        <f t="shared" si="16"/>
        <v>643358.81000000006</v>
      </c>
      <c r="AR22" s="131">
        <f t="shared" si="7"/>
        <v>7942.7013580246921</v>
      </c>
      <c r="AS22" s="133"/>
      <c r="AT22" s="133"/>
      <c r="AU22" s="133"/>
      <c r="AV22" s="133"/>
      <c r="AW22" s="133">
        <v>643358.81000000006</v>
      </c>
      <c r="AX22" s="133">
        <v>643358.81000000006</v>
      </c>
      <c r="AY22" s="235">
        <f t="shared" si="8"/>
        <v>0</v>
      </c>
      <c r="AZ22" s="137">
        <v>74</v>
      </c>
      <c r="BA22" s="131">
        <f t="shared" si="17"/>
        <v>612136</v>
      </c>
      <c r="BB22" s="131">
        <f t="shared" si="9"/>
        <v>8272.1081081081084</v>
      </c>
      <c r="BC22" s="133"/>
      <c r="BD22" s="133"/>
      <c r="BE22" s="133"/>
      <c r="BF22" s="133"/>
      <c r="BG22" s="133">
        <v>612136</v>
      </c>
      <c r="BH22" s="133">
        <v>612136</v>
      </c>
      <c r="BI22" s="235">
        <f t="shared" si="10"/>
        <v>0</v>
      </c>
      <c r="BJ22" s="137">
        <v>75</v>
      </c>
      <c r="BK22" s="131">
        <f t="shared" si="18"/>
        <v>637634</v>
      </c>
      <c r="BL22" s="131">
        <f t="shared" si="19"/>
        <v>8501.7866666666669</v>
      </c>
      <c r="BM22" s="133"/>
      <c r="BN22" s="133"/>
      <c r="BO22" s="133"/>
      <c r="BP22" s="133"/>
      <c r="BQ22" s="133">
        <v>637634</v>
      </c>
      <c r="BR22" s="133">
        <v>637634</v>
      </c>
      <c r="BS22" s="235">
        <f t="shared" si="20"/>
        <v>0</v>
      </c>
      <c r="BT22" s="324">
        <v>67</v>
      </c>
      <c r="BU22" s="131">
        <f t="shared" si="21"/>
        <v>543705.63</v>
      </c>
      <c r="BV22" s="131">
        <f t="shared" si="22"/>
        <v>8115.0094029850743</v>
      </c>
      <c r="BW22" s="325"/>
      <c r="BX22" s="325"/>
      <c r="BY22" s="325"/>
      <c r="BZ22" s="325"/>
      <c r="CA22" s="325">
        <v>543705.63</v>
      </c>
      <c r="CB22" s="325">
        <v>543705.63</v>
      </c>
      <c r="CC22" s="357">
        <f t="shared" si="23"/>
        <v>0</v>
      </c>
    </row>
    <row r="23" spans="1:81" s="77" customFormat="1" ht="15.95" customHeight="1">
      <c r="A23" s="287" t="s">
        <v>205</v>
      </c>
      <c r="B23" s="137"/>
      <c r="C23" s="131">
        <f>SUM(E23:I23)</f>
        <v>0</v>
      </c>
      <c r="D23" s="131">
        <f t="shared" ref="D23:D30" si="24">IFERROR(C23/B23,0)</f>
        <v>0</v>
      </c>
      <c r="E23" s="133"/>
      <c r="F23" s="133"/>
      <c r="G23" s="133"/>
      <c r="H23" s="133"/>
      <c r="I23" s="133"/>
      <c r="J23" s="133"/>
      <c r="K23" s="235">
        <f t="shared" si="1"/>
        <v>0</v>
      </c>
      <c r="L23" s="137"/>
      <c r="M23" s="131">
        <f t="shared" ref="M23:M30" si="25">SUM(O23:S23)</f>
        <v>0</v>
      </c>
      <c r="N23" s="131">
        <f t="shared" ref="N23:N30" si="26">IFERROR(M23/L23,0)</f>
        <v>0</v>
      </c>
      <c r="O23" s="133"/>
      <c r="P23" s="133"/>
      <c r="Q23" s="133"/>
      <c r="R23" s="133"/>
      <c r="S23" s="133"/>
      <c r="T23" s="133"/>
      <c r="U23" s="235">
        <f t="shared" si="3"/>
        <v>0</v>
      </c>
      <c r="V23" s="137"/>
      <c r="W23" s="131">
        <f t="shared" ref="W23:W30" si="27">SUM(Y23:AC23)</f>
        <v>0</v>
      </c>
      <c r="X23" s="131">
        <f t="shared" ref="X23:X30" si="28">IFERROR(W23/V23,0)</f>
        <v>0</v>
      </c>
      <c r="Y23" s="133"/>
      <c r="Z23" s="133"/>
      <c r="AA23" s="133"/>
      <c r="AB23" s="133"/>
      <c r="AC23" s="133"/>
      <c r="AD23" s="133"/>
      <c r="AE23" s="235">
        <f t="shared" si="4"/>
        <v>0</v>
      </c>
      <c r="AF23" s="137"/>
      <c r="AG23" s="131">
        <f t="shared" ref="AG23:AG30" si="29">SUM(AI23:AM23)</f>
        <v>0</v>
      </c>
      <c r="AH23" s="131">
        <f t="shared" ref="AH23:AH30" si="30">IFERROR(AG23/AF23,0)</f>
        <v>0</v>
      </c>
      <c r="AI23" s="133"/>
      <c r="AJ23" s="133"/>
      <c r="AK23" s="133"/>
      <c r="AL23" s="133"/>
      <c r="AM23" s="133"/>
      <c r="AN23" s="133"/>
      <c r="AO23" s="235">
        <f t="shared" si="6"/>
        <v>0</v>
      </c>
      <c r="AP23" s="137">
        <v>458</v>
      </c>
      <c r="AQ23" s="131">
        <f t="shared" si="16"/>
        <v>540638</v>
      </c>
      <c r="AR23" s="131">
        <f t="shared" si="7"/>
        <v>1180.4323144104803</v>
      </c>
      <c r="AS23" s="133"/>
      <c r="AT23" s="133"/>
      <c r="AU23" s="133"/>
      <c r="AV23" s="133">
        <v>540638</v>
      </c>
      <c r="AW23" s="133"/>
      <c r="AX23" s="133">
        <v>310971</v>
      </c>
      <c r="AY23" s="235">
        <f t="shared" si="8"/>
        <v>0</v>
      </c>
      <c r="AZ23" s="137">
        <v>407</v>
      </c>
      <c r="BA23" s="131">
        <f t="shared" si="17"/>
        <v>460639</v>
      </c>
      <c r="BB23" s="131">
        <f t="shared" si="9"/>
        <v>1131.7911547911549</v>
      </c>
      <c r="BC23" s="133"/>
      <c r="BD23" s="133"/>
      <c r="BE23" s="133"/>
      <c r="BF23" s="133">
        <v>460639</v>
      </c>
      <c r="BG23" s="133"/>
      <c r="BH23" s="133">
        <v>256800</v>
      </c>
      <c r="BI23" s="235">
        <f t="shared" si="10"/>
        <v>0</v>
      </c>
      <c r="BJ23" s="137">
        <v>655</v>
      </c>
      <c r="BK23" s="131">
        <f t="shared" si="18"/>
        <v>1966661</v>
      </c>
      <c r="BL23" s="131">
        <f t="shared" si="19"/>
        <v>3002.5358778625955</v>
      </c>
      <c r="BM23" s="133"/>
      <c r="BN23" s="133"/>
      <c r="BO23" s="133"/>
      <c r="BP23" s="133">
        <v>1966661</v>
      </c>
      <c r="BQ23" s="133"/>
      <c r="BR23" s="133">
        <v>1185001</v>
      </c>
      <c r="BS23" s="235">
        <f t="shared" si="20"/>
        <v>0</v>
      </c>
      <c r="BT23" s="324">
        <v>0</v>
      </c>
      <c r="BU23" s="131">
        <f t="shared" si="21"/>
        <v>0</v>
      </c>
      <c r="BV23" s="131">
        <f t="shared" si="22"/>
        <v>0</v>
      </c>
      <c r="BW23" s="325"/>
      <c r="BX23" s="325"/>
      <c r="BY23" s="325"/>
      <c r="BZ23" s="325"/>
      <c r="CA23" s="325"/>
      <c r="CB23" s="325"/>
      <c r="CC23" s="357">
        <f t="shared" si="23"/>
        <v>0</v>
      </c>
    </row>
    <row r="24" spans="1:81" s="77" customFormat="1" ht="15.95" customHeight="1">
      <c r="A24" s="287" t="s">
        <v>228</v>
      </c>
      <c r="B24" s="137">
        <v>17</v>
      </c>
      <c r="C24" s="131">
        <f>SUM(E24:I24)</f>
        <v>20000</v>
      </c>
      <c r="D24" s="131">
        <f t="shared" si="24"/>
        <v>1176.4705882352941</v>
      </c>
      <c r="E24" s="133"/>
      <c r="F24" s="133"/>
      <c r="G24" s="133"/>
      <c r="H24" s="133">
        <v>20000</v>
      </c>
      <c r="I24" s="133"/>
      <c r="J24" s="133">
        <v>8875</v>
      </c>
      <c r="K24" s="235">
        <f>IF(J24=0,0,(IF(E24&lt;=J24,E24,J24)))</f>
        <v>0</v>
      </c>
      <c r="L24" s="137">
        <v>21</v>
      </c>
      <c r="M24" s="131">
        <f>SUM(O24:S24)</f>
        <v>20000</v>
      </c>
      <c r="N24" s="131">
        <f t="shared" si="26"/>
        <v>952.38095238095241</v>
      </c>
      <c r="O24" s="133"/>
      <c r="P24" s="133"/>
      <c r="Q24" s="133"/>
      <c r="R24" s="133">
        <v>20000</v>
      </c>
      <c r="S24" s="133"/>
      <c r="T24" s="133">
        <v>5250</v>
      </c>
      <c r="U24" s="235">
        <f>IF(T24=0,0,(IF(O24&lt;=T24,O24,T24)))</f>
        <v>0</v>
      </c>
      <c r="V24" s="137">
        <v>18</v>
      </c>
      <c r="W24" s="131">
        <f>SUM(Y24:AC24)</f>
        <v>22250</v>
      </c>
      <c r="X24" s="131">
        <f t="shared" si="28"/>
        <v>1236.1111111111111</v>
      </c>
      <c r="Y24" s="133"/>
      <c r="Z24" s="133"/>
      <c r="AA24" s="133"/>
      <c r="AB24" s="133">
        <v>22250</v>
      </c>
      <c r="AC24" s="133"/>
      <c r="AD24" s="133">
        <v>3250</v>
      </c>
      <c r="AE24" s="235">
        <f>IF(AD24=0,0,(IF(Y24&lt;=AD24,Y24,AD24)))</f>
        <v>0</v>
      </c>
      <c r="AF24" s="137">
        <v>19</v>
      </c>
      <c r="AG24" s="131">
        <f t="shared" si="29"/>
        <v>23000</v>
      </c>
      <c r="AH24" s="131">
        <f t="shared" si="30"/>
        <v>1210.5263157894738</v>
      </c>
      <c r="AI24" s="133"/>
      <c r="AJ24" s="133"/>
      <c r="AK24" s="133"/>
      <c r="AL24" s="133">
        <v>23000</v>
      </c>
      <c r="AM24" s="133"/>
      <c r="AN24" s="133">
        <v>10500</v>
      </c>
      <c r="AO24" s="235">
        <f>IF(AN24=0,0,(IF(AI24&lt;=AN24,AI24,AN24)))</f>
        <v>0</v>
      </c>
      <c r="AP24" s="137">
        <v>22</v>
      </c>
      <c r="AQ24" s="131">
        <f>SUM(AS24:AW24)</f>
        <v>27500</v>
      </c>
      <c r="AR24" s="131">
        <f>IFERROR(AQ24/AP24,0)</f>
        <v>1250</v>
      </c>
      <c r="AS24" s="133"/>
      <c r="AT24" s="133"/>
      <c r="AU24" s="133"/>
      <c r="AV24" s="133">
        <v>27500</v>
      </c>
      <c r="AW24" s="133"/>
      <c r="AX24" s="133">
        <v>10750</v>
      </c>
      <c r="AY24" s="235">
        <f>IF(AX24=0,0,(IF(AS24&lt;=AX24,AS24,AX24)))</f>
        <v>0</v>
      </c>
      <c r="AZ24" s="137">
        <v>1</v>
      </c>
      <c r="BA24" s="131">
        <f>SUM(BC24:BG24)</f>
        <v>912</v>
      </c>
      <c r="BB24" s="131">
        <f>IFERROR(BA24/AZ24,0)</f>
        <v>912</v>
      </c>
      <c r="BC24" s="133"/>
      <c r="BD24" s="133"/>
      <c r="BE24" s="133"/>
      <c r="BF24" s="133">
        <v>912</v>
      </c>
      <c r="BG24" s="133"/>
      <c r="BH24" s="133">
        <v>912</v>
      </c>
      <c r="BI24" s="235">
        <f>IF(BH24=0,0,(IF(BC24&lt;=BH24,BC24,BH24)))</f>
        <v>0</v>
      </c>
      <c r="BJ24" s="137">
        <v>2</v>
      </c>
      <c r="BK24" s="131">
        <f t="shared" si="18"/>
        <v>1794</v>
      </c>
      <c r="BL24" s="131">
        <f t="shared" si="19"/>
        <v>897</v>
      </c>
      <c r="BM24" s="133"/>
      <c r="BN24" s="133"/>
      <c r="BO24" s="133"/>
      <c r="BP24" s="133">
        <v>1794</v>
      </c>
      <c r="BQ24" s="133"/>
      <c r="BR24" s="133">
        <v>1794</v>
      </c>
      <c r="BS24" s="235">
        <f t="shared" si="20"/>
        <v>0</v>
      </c>
      <c r="BT24" s="324">
        <v>0</v>
      </c>
      <c r="BU24" s="131">
        <f t="shared" si="21"/>
        <v>0</v>
      </c>
      <c r="BV24" s="131">
        <f t="shared" si="22"/>
        <v>0</v>
      </c>
      <c r="BW24" s="325"/>
      <c r="BX24" s="325"/>
      <c r="BY24" s="325"/>
      <c r="BZ24" s="325"/>
      <c r="CA24" s="325"/>
      <c r="CB24" s="325"/>
      <c r="CC24" s="357">
        <f t="shared" si="23"/>
        <v>0</v>
      </c>
    </row>
    <row r="25" spans="1:81" s="77" customFormat="1" ht="15.95" customHeight="1">
      <c r="A25" s="287" t="s">
        <v>232</v>
      </c>
      <c r="B25" s="137"/>
      <c r="C25" s="131">
        <f t="shared" ref="C25:C30" si="31">SUM(E25:I25)</f>
        <v>0</v>
      </c>
      <c r="D25" s="131">
        <f t="shared" si="24"/>
        <v>0</v>
      </c>
      <c r="E25" s="133"/>
      <c r="F25" s="133"/>
      <c r="G25" s="133"/>
      <c r="H25" s="133"/>
      <c r="I25" s="133"/>
      <c r="J25" s="133"/>
      <c r="K25" s="235">
        <f t="shared" si="1"/>
        <v>0</v>
      </c>
      <c r="L25" s="137"/>
      <c r="M25" s="131">
        <f t="shared" si="25"/>
        <v>0</v>
      </c>
      <c r="N25" s="131">
        <f t="shared" si="26"/>
        <v>0</v>
      </c>
      <c r="O25" s="133"/>
      <c r="P25" s="133"/>
      <c r="Q25" s="133"/>
      <c r="R25" s="133"/>
      <c r="S25" s="133"/>
      <c r="T25" s="133"/>
      <c r="U25" s="235">
        <f t="shared" si="3"/>
        <v>0</v>
      </c>
      <c r="V25" s="137"/>
      <c r="W25" s="131">
        <f t="shared" si="27"/>
        <v>0</v>
      </c>
      <c r="X25" s="131">
        <f t="shared" si="28"/>
        <v>0</v>
      </c>
      <c r="Y25" s="133"/>
      <c r="Z25" s="133"/>
      <c r="AA25" s="133"/>
      <c r="AB25" s="133"/>
      <c r="AC25" s="133"/>
      <c r="AD25" s="133"/>
      <c r="AE25" s="235">
        <f t="shared" si="4"/>
        <v>0</v>
      </c>
      <c r="AF25" s="137"/>
      <c r="AG25" s="131">
        <f t="shared" si="29"/>
        <v>0</v>
      </c>
      <c r="AH25" s="131">
        <f t="shared" si="30"/>
        <v>0</v>
      </c>
      <c r="AI25" s="133"/>
      <c r="AJ25" s="133"/>
      <c r="AK25" s="133"/>
      <c r="AL25" s="133"/>
      <c r="AM25" s="133"/>
      <c r="AN25" s="133"/>
      <c r="AO25" s="235">
        <f t="shared" si="6"/>
        <v>0</v>
      </c>
      <c r="AP25" s="137"/>
      <c r="AQ25" s="131">
        <f t="shared" ref="AQ25:AQ30" si="32">SUM(AS25:AW25)</f>
        <v>0</v>
      </c>
      <c r="AR25" s="131">
        <f t="shared" si="7"/>
        <v>0</v>
      </c>
      <c r="AS25" s="133"/>
      <c r="AT25" s="133"/>
      <c r="AU25" s="133"/>
      <c r="AV25" s="133"/>
      <c r="AW25" s="133"/>
      <c r="AX25" s="133"/>
      <c r="AY25" s="235">
        <f t="shared" si="8"/>
        <v>0</v>
      </c>
      <c r="AZ25" s="137"/>
      <c r="BA25" s="131">
        <f t="shared" ref="BA25:BA30" si="33">SUM(BC25:BG25)</f>
        <v>0</v>
      </c>
      <c r="BB25" s="131">
        <f t="shared" si="9"/>
        <v>0</v>
      </c>
      <c r="BC25" s="133"/>
      <c r="BD25" s="133"/>
      <c r="BE25" s="133"/>
      <c r="BF25" s="133"/>
      <c r="BG25" s="133"/>
      <c r="BH25" s="133"/>
      <c r="BI25" s="235">
        <f t="shared" si="10"/>
        <v>0</v>
      </c>
      <c r="BJ25" s="137">
        <v>366</v>
      </c>
      <c r="BK25" s="131">
        <f t="shared" si="18"/>
        <v>576339</v>
      </c>
      <c r="BL25" s="131">
        <f t="shared" si="19"/>
        <v>1574.6967213114754</v>
      </c>
      <c r="BM25" s="133"/>
      <c r="BN25" s="133"/>
      <c r="BO25" s="133"/>
      <c r="BP25" s="133"/>
      <c r="BQ25" s="133">
        <v>576339</v>
      </c>
      <c r="BR25" s="133">
        <v>260460</v>
      </c>
      <c r="BS25" s="235">
        <f t="shared" si="20"/>
        <v>0</v>
      </c>
      <c r="BT25" s="324">
        <v>0</v>
      </c>
      <c r="BU25" s="131">
        <f t="shared" si="21"/>
        <v>0</v>
      </c>
      <c r="BV25" s="131">
        <f t="shared" si="22"/>
        <v>0</v>
      </c>
      <c r="BW25" s="325"/>
      <c r="BX25" s="325"/>
      <c r="BY25" s="325"/>
      <c r="BZ25" s="325"/>
      <c r="CA25" s="325"/>
      <c r="CB25" s="325"/>
      <c r="CC25" s="357">
        <f t="shared" si="23"/>
        <v>0</v>
      </c>
    </row>
    <row r="26" spans="1:81" s="77" customFormat="1" ht="15.95" customHeight="1">
      <c r="A26" s="326" t="s">
        <v>247</v>
      </c>
      <c r="B26" s="137"/>
      <c r="C26" s="131">
        <f t="shared" si="31"/>
        <v>0</v>
      </c>
      <c r="D26" s="131">
        <f t="shared" si="24"/>
        <v>0</v>
      </c>
      <c r="E26" s="133"/>
      <c r="F26" s="133"/>
      <c r="G26" s="133"/>
      <c r="H26" s="133"/>
      <c r="I26" s="133"/>
      <c r="J26" s="133"/>
      <c r="K26" s="235">
        <f t="shared" si="1"/>
        <v>0</v>
      </c>
      <c r="L26" s="137"/>
      <c r="M26" s="131">
        <f t="shared" si="25"/>
        <v>0</v>
      </c>
      <c r="N26" s="131">
        <f t="shared" si="26"/>
        <v>0</v>
      </c>
      <c r="O26" s="133"/>
      <c r="P26" s="133"/>
      <c r="Q26" s="133"/>
      <c r="R26" s="133"/>
      <c r="S26" s="133"/>
      <c r="T26" s="133"/>
      <c r="U26" s="235">
        <f t="shared" si="3"/>
        <v>0</v>
      </c>
      <c r="V26" s="137"/>
      <c r="W26" s="131">
        <f t="shared" si="27"/>
        <v>0</v>
      </c>
      <c r="X26" s="131">
        <f t="shared" si="28"/>
        <v>0</v>
      </c>
      <c r="Y26" s="133"/>
      <c r="Z26" s="133"/>
      <c r="AA26" s="133"/>
      <c r="AB26" s="133"/>
      <c r="AC26" s="133"/>
      <c r="AD26" s="133"/>
      <c r="AE26" s="235">
        <f t="shared" si="4"/>
        <v>0</v>
      </c>
      <c r="AF26" s="137"/>
      <c r="AG26" s="131">
        <f t="shared" si="29"/>
        <v>0</v>
      </c>
      <c r="AH26" s="131">
        <f t="shared" si="30"/>
        <v>0</v>
      </c>
      <c r="AI26" s="133"/>
      <c r="AJ26" s="133"/>
      <c r="AK26" s="133"/>
      <c r="AL26" s="133"/>
      <c r="AM26" s="133"/>
      <c r="AN26" s="133"/>
      <c r="AO26" s="235">
        <f t="shared" si="6"/>
        <v>0</v>
      </c>
      <c r="AP26" s="137"/>
      <c r="AQ26" s="131">
        <f t="shared" si="32"/>
        <v>0</v>
      </c>
      <c r="AR26" s="131">
        <f t="shared" si="7"/>
        <v>0</v>
      </c>
      <c r="AS26" s="133"/>
      <c r="AT26" s="133"/>
      <c r="AU26" s="133"/>
      <c r="AV26" s="133"/>
      <c r="AW26" s="133"/>
      <c r="AX26" s="133"/>
      <c r="AY26" s="235">
        <f t="shared" si="8"/>
        <v>0</v>
      </c>
      <c r="AZ26" s="137"/>
      <c r="BA26" s="131">
        <f t="shared" si="33"/>
        <v>0</v>
      </c>
      <c r="BB26" s="131">
        <f t="shared" si="9"/>
        <v>0</v>
      </c>
      <c r="BC26" s="133"/>
      <c r="BD26" s="133"/>
      <c r="BE26" s="133"/>
      <c r="BF26" s="133"/>
      <c r="BG26" s="133"/>
      <c r="BH26" s="133"/>
      <c r="BI26" s="235">
        <f t="shared" si="10"/>
        <v>0</v>
      </c>
      <c r="BJ26" s="137"/>
      <c r="BK26" s="131">
        <f t="shared" si="18"/>
        <v>0</v>
      </c>
      <c r="BL26" s="131">
        <f t="shared" si="19"/>
        <v>0</v>
      </c>
      <c r="BM26" s="133"/>
      <c r="BN26" s="133"/>
      <c r="BO26" s="133"/>
      <c r="BP26" s="133"/>
      <c r="BQ26" s="133"/>
      <c r="BR26" s="133"/>
      <c r="BS26" s="235">
        <f t="shared" si="20"/>
        <v>0</v>
      </c>
      <c r="BT26" s="324">
        <v>23</v>
      </c>
      <c r="BU26" s="131">
        <f t="shared" si="21"/>
        <v>19133</v>
      </c>
      <c r="BV26" s="131">
        <f t="shared" si="22"/>
        <v>831.86956521739125</v>
      </c>
      <c r="BW26" s="325">
        <v>19133</v>
      </c>
      <c r="BX26" s="325"/>
      <c r="BY26" s="325"/>
      <c r="BZ26" s="325"/>
      <c r="CA26" s="325"/>
      <c r="CB26" s="325">
        <v>1488</v>
      </c>
      <c r="CC26" s="357">
        <f t="shared" si="23"/>
        <v>1488</v>
      </c>
    </row>
    <row r="27" spans="1:81" s="77" customFormat="1" ht="15.95" customHeight="1">
      <c r="A27" s="326" t="s">
        <v>253</v>
      </c>
      <c r="B27" s="137"/>
      <c r="C27" s="131">
        <f t="shared" si="31"/>
        <v>0</v>
      </c>
      <c r="D27" s="131">
        <f t="shared" si="24"/>
        <v>0</v>
      </c>
      <c r="E27" s="133"/>
      <c r="F27" s="133"/>
      <c r="G27" s="133"/>
      <c r="H27" s="133"/>
      <c r="I27" s="133"/>
      <c r="J27" s="133"/>
      <c r="K27" s="235">
        <f t="shared" si="1"/>
        <v>0</v>
      </c>
      <c r="L27" s="137"/>
      <c r="M27" s="131">
        <f t="shared" si="25"/>
        <v>0</v>
      </c>
      <c r="N27" s="131">
        <f t="shared" si="26"/>
        <v>0</v>
      </c>
      <c r="O27" s="133"/>
      <c r="P27" s="133"/>
      <c r="Q27" s="133"/>
      <c r="R27" s="133"/>
      <c r="S27" s="133"/>
      <c r="T27" s="133"/>
      <c r="U27" s="235">
        <f t="shared" si="3"/>
        <v>0</v>
      </c>
      <c r="V27" s="137"/>
      <c r="W27" s="131">
        <f t="shared" si="27"/>
        <v>0</v>
      </c>
      <c r="X27" s="131">
        <f t="shared" si="28"/>
        <v>0</v>
      </c>
      <c r="Y27" s="133"/>
      <c r="Z27" s="133"/>
      <c r="AA27" s="133"/>
      <c r="AB27" s="133"/>
      <c r="AC27" s="133"/>
      <c r="AD27" s="133"/>
      <c r="AE27" s="235">
        <f t="shared" si="4"/>
        <v>0</v>
      </c>
      <c r="AF27" s="137"/>
      <c r="AG27" s="131">
        <f t="shared" si="29"/>
        <v>0</v>
      </c>
      <c r="AH27" s="131">
        <f t="shared" si="30"/>
        <v>0</v>
      </c>
      <c r="AI27" s="133"/>
      <c r="AJ27" s="133"/>
      <c r="AK27" s="133"/>
      <c r="AL27" s="133"/>
      <c r="AM27" s="133"/>
      <c r="AN27" s="133"/>
      <c r="AO27" s="235">
        <f t="shared" si="6"/>
        <v>0</v>
      </c>
      <c r="AP27" s="137"/>
      <c r="AQ27" s="131">
        <f t="shared" si="32"/>
        <v>0</v>
      </c>
      <c r="AR27" s="131">
        <f t="shared" si="7"/>
        <v>0</v>
      </c>
      <c r="AS27" s="133"/>
      <c r="AT27" s="133"/>
      <c r="AU27" s="133"/>
      <c r="AV27" s="133"/>
      <c r="AW27" s="133"/>
      <c r="AX27" s="133"/>
      <c r="AY27" s="235">
        <f t="shared" si="8"/>
        <v>0</v>
      </c>
      <c r="AZ27" s="137"/>
      <c r="BA27" s="131">
        <f t="shared" si="33"/>
        <v>0</v>
      </c>
      <c r="BB27" s="131">
        <f t="shared" si="9"/>
        <v>0</v>
      </c>
      <c r="BC27" s="133"/>
      <c r="BD27" s="133"/>
      <c r="BE27" s="133"/>
      <c r="BF27" s="133"/>
      <c r="BG27" s="133"/>
      <c r="BH27" s="133"/>
      <c r="BI27" s="235">
        <f t="shared" si="10"/>
        <v>0</v>
      </c>
      <c r="BJ27" s="137"/>
      <c r="BK27" s="131">
        <f t="shared" si="18"/>
        <v>0</v>
      </c>
      <c r="BL27" s="131">
        <f t="shared" si="19"/>
        <v>0</v>
      </c>
      <c r="BM27" s="133"/>
      <c r="BN27" s="133"/>
      <c r="BO27" s="133"/>
      <c r="BP27" s="133"/>
      <c r="BQ27" s="133"/>
      <c r="BR27" s="133"/>
      <c r="BS27" s="235">
        <f t="shared" si="20"/>
        <v>0</v>
      </c>
      <c r="BT27" s="324">
        <v>92</v>
      </c>
      <c r="BU27" s="131">
        <f t="shared" si="21"/>
        <v>148997.5</v>
      </c>
      <c r="BV27" s="131">
        <f t="shared" si="22"/>
        <v>1619.5380434782608</v>
      </c>
      <c r="BW27" s="325">
        <v>148997.5</v>
      </c>
      <c r="BX27" s="325"/>
      <c r="BY27" s="325"/>
      <c r="BZ27" s="325"/>
      <c r="CA27" s="325"/>
      <c r="CB27" s="325">
        <v>47306</v>
      </c>
      <c r="CC27" s="357">
        <f t="shared" si="23"/>
        <v>47306</v>
      </c>
    </row>
    <row r="28" spans="1:81" s="77" customFormat="1" ht="15.95" customHeight="1">
      <c r="A28" s="326"/>
      <c r="B28" s="137"/>
      <c r="C28" s="131">
        <f t="shared" si="31"/>
        <v>0</v>
      </c>
      <c r="D28" s="131">
        <f t="shared" si="24"/>
        <v>0</v>
      </c>
      <c r="E28" s="133"/>
      <c r="F28" s="133"/>
      <c r="G28" s="133"/>
      <c r="H28" s="133"/>
      <c r="I28" s="133"/>
      <c r="J28" s="133"/>
      <c r="K28" s="235">
        <f t="shared" si="1"/>
        <v>0</v>
      </c>
      <c r="L28" s="137"/>
      <c r="M28" s="131">
        <f t="shared" si="25"/>
        <v>0</v>
      </c>
      <c r="N28" s="131">
        <f t="shared" si="26"/>
        <v>0</v>
      </c>
      <c r="O28" s="133"/>
      <c r="P28" s="133"/>
      <c r="Q28" s="133"/>
      <c r="R28" s="133"/>
      <c r="S28" s="133"/>
      <c r="T28" s="133"/>
      <c r="U28" s="235">
        <f t="shared" si="3"/>
        <v>0</v>
      </c>
      <c r="V28" s="137"/>
      <c r="W28" s="131">
        <f t="shared" si="27"/>
        <v>0</v>
      </c>
      <c r="X28" s="131">
        <f t="shared" si="28"/>
        <v>0</v>
      </c>
      <c r="Y28" s="133"/>
      <c r="Z28" s="133"/>
      <c r="AA28" s="133"/>
      <c r="AB28" s="133"/>
      <c r="AC28" s="133"/>
      <c r="AD28" s="133"/>
      <c r="AE28" s="235">
        <f t="shared" si="4"/>
        <v>0</v>
      </c>
      <c r="AF28" s="137"/>
      <c r="AG28" s="131">
        <f t="shared" si="29"/>
        <v>0</v>
      </c>
      <c r="AH28" s="131">
        <f t="shared" si="30"/>
        <v>0</v>
      </c>
      <c r="AI28" s="133"/>
      <c r="AJ28" s="133"/>
      <c r="AK28" s="133"/>
      <c r="AL28" s="133"/>
      <c r="AM28" s="133"/>
      <c r="AN28" s="133"/>
      <c r="AO28" s="235">
        <f t="shared" si="6"/>
        <v>0</v>
      </c>
      <c r="AP28" s="137"/>
      <c r="AQ28" s="131">
        <f t="shared" si="32"/>
        <v>0</v>
      </c>
      <c r="AR28" s="131">
        <f t="shared" si="7"/>
        <v>0</v>
      </c>
      <c r="AS28" s="133"/>
      <c r="AT28" s="133"/>
      <c r="AU28" s="133"/>
      <c r="AV28" s="133"/>
      <c r="AW28" s="133"/>
      <c r="AX28" s="133"/>
      <c r="AY28" s="235">
        <f t="shared" si="8"/>
        <v>0</v>
      </c>
      <c r="AZ28" s="137"/>
      <c r="BA28" s="131">
        <f t="shared" si="33"/>
        <v>0</v>
      </c>
      <c r="BB28" s="131">
        <f t="shared" si="9"/>
        <v>0</v>
      </c>
      <c r="BC28" s="133"/>
      <c r="BD28" s="133"/>
      <c r="BE28" s="133"/>
      <c r="BF28" s="133"/>
      <c r="BG28" s="133"/>
      <c r="BH28" s="133"/>
      <c r="BI28" s="235">
        <f t="shared" si="10"/>
        <v>0</v>
      </c>
      <c r="BJ28" s="137"/>
      <c r="BK28" s="131">
        <f t="shared" si="18"/>
        <v>0</v>
      </c>
      <c r="BL28" s="131">
        <f t="shared" si="19"/>
        <v>0</v>
      </c>
      <c r="BM28" s="133"/>
      <c r="BN28" s="133"/>
      <c r="BO28" s="133"/>
      <c r="BP28" s="133"/>
      <c r="BQ28" s="133"/>
      <c r="BR28" s="133"/>
      <c r="BS28" s="235">
        <f t="shared" si="20"/>
        <v>0</v>
      </c>
      <c r="BT28" s="324"/>
      <c r="BU28" s="131">
        <f t="shared" si="21"/>
        <v>0</v>
      </c>
      <c r="BV28" s="131">
        <f t="shared" si="22"/>
        <v>0</v>
      </c>
      <c r="BW28" s="325"/>
      <c r="BX28" s="325"/>
      <c r="BY28" s="325"/>
      <c r="BZ28" s="325"/>
      <c r="CA28" s="325"/>
      <c r="CB28" s="325"/>
      <c r="CC28" s="357">
        <f t="shared" si="23"/>
        <v>0</v>
      </c>
    </row>
    <row r="29" spans="1:81" s="77" customFormat="1" ht="15.95" customHeight="1">
      <c r="A29" s="326"/>
      <c r="B29" s="137"/>
      <c r="C29" s="131">
        <f t="shared" si="31"/>
        <v>0</v>
      </c>
      <c r="D29" s="131">
        <f t="shared" si="24"/>
        <v>0</v>
      </c>
      <c r="E29" s="133"/>
      <c r="F29" s="133"/>
      <c r="G29" s="133"/>
      <c r="H29" s="133"/>
      <c r="I29" s="133"/>
      <c r="J29" s="133"/>
      <c r="K29" s="235">
        <f t="shared" si="1"/>
        <v>0</v>
      </c>
      <c r="L29" s="137"/>
      <c r="M29" s="131">
        <f t="shared" si="25"/>
        <v>0</v>
      </c>
      <c r="N29" s="131">
        <f t="shared" si="26"/>
        <v>0</v>
      </c>
      <c r="O29" s="133"/>
      <c r="P29" s="133"/>
      <c r="Q29" s="133"/>
      <c r="R29" s="133"/>
      <c r="S29" s="133"/>
      <c r="T29" s="133"/>
      <c r="U29" s="235">
        <f t="shared" si="3"/>
        <v>0</v>
      </c>
      <c r="V29" s="137"/>
      <c r="W29" s="131">
        <f t="shared" si="27"/>
        <v>0</v>
      </c>
      <c r="X29" s="131">
        <f t="shared" si="28"/>
        <v>0</v>
      </c>
      <c r="Y29" s="133"/>
      <c r="Z29" s="133"/>
      <c r="AA29" s="133"/>
      <c r="AB29" s="133"/>
      <c r="AC29" s="133"/>
      <c r="AD29" s="133"/>
      <c r="AE29" s="235">
        <f t="shared" si="4"/>
        <v>0</v>
      </c>
      <c r="AF29" s="137"/>
      <c r="AG29" s="131">
        <f t="shared" si="29"/>
        <v>0</v>
      </c>
      <c r="AH29" s="131">
        <f t="shared" si="30"/>
        <v>0</v>
      </c>
      <c r="AI29" s="133"/>
      <c r="AJ29" s="133"/>
      <c r="AK29" s="133"/>
      <c r="AL29" s="133"/>
      <c r="AM29" s="133"/>
      <c r="AN29" s="133"/>
      <c r="AO29" s="235">
        <f t="shared" si="6"/>
        <v>0</v>
      </c>
      <c r="AP29" s="137"/>
      <c r="AQ29" s="131">
        <f t="shared" si="32"/>
        <v>0</v>
      </c>
      <c r="AR29" s="131">
        <f t="shared" si="7"/>
        <v>0</v>
      </c>
      <c r="AS29" s="133"/>
      <c r="AT29" s="133"/>
      <c r="AU29" s="133"/>
      <c r="AV29" s="133"/>
      <c r="AW29" s="133"/>
      <c r="AX29" s="133"/>
      <c r="AY29" s="235">
        <f t="shared" si="8"/>
        <v>0</v>
      </c>
      <c r="AZ29" s="137"/>
      <c r="BA29" s="131">
        <f t="shared" si="33"/>
        <v>0</v>
      </c>
      <c r="BB29" s="131">
        <f t="shared" si="9"/>
        <v>0</v>
      </c>
      <c r="BC29" s="133"/>
      <c r="BD29" s="133"/>
      <c r="BE29" s="133"/>
      <c r="BF29" s="133"/>
      <c r="BG29" s="133"/>
      <c r="BH29" s="133"/>
      <c r="BI29" s="235">
        <f t="shared" si="10"/>
        <v>0</v>
      </c>
      <c r="BJ29" s="137"/>
      <c r="BK29" s="131">
        <f t="shared" si="18"/>
        <v>0</v>
      </c>
      <c r="BL29" s="131">
        <f t="shared" si="19"/>
        <v>0</v>
      </c>
      <c r="BM29" s="133"/>
      <c r="BN29" s="133"/>
      <c r="BO29" s="133"/>
      <c r="BP29" s="133"/>
      <c r="BQ29" s="133"/>
      <c r="BR29" s="133"/>
      <c r="BS29" s="235">
        <f t="shared" si="20"/>
        <v>0</v>
      </c>
      <c r="BT29" s="324"/>
      <c r="BU29" s="131">
        <f t="shared" si="21"/>
        <v>0</v>
      </c>
      <c r="BV29" s="131">
        <f t="shared" si="22"/>
        <v>0</v>
      </c>
      <c r="BW29" s="325"/>
      <c r="BX29" s="325"/>
      <c r="BY29" s="325"/>
      <c r="BZ29" s="325"/>
      <c r="CA29" s="325"/>
      <c r="CB29" s="325"/>
      <c r="CC29" s="357">
        <f t="shared" si="23"/>
        <v>0</v>
      </c>
    </row>
    <row r="30" spans="1:81" s="77" customFormat="1" ht="15.95" customHeight="1">
      <c r="A30" s="326"/>
      <c r="B30" s="137"/>
      <c r="C30" s="131">
        <f t="shared" si="31"/>
        <v>0</v>
      </c>
      <c r="D30" s="131">
        <f t="shared" si="24"/>
        <v>0</v>
      </c>
      <c r="E30" s="133"/>
      <c r="F30" s="133"/>
      <c r="G30" s="133"/>
      <c r="H30" s="133"/>
      <c r="I30" s="133"/>
      <c r="J30" s="133"/>
      <c r="K30" s="235">
        <f t="shared" si="1"/>
        <v>0</v>
      </c>
      <c r="L30" s="137"/>
      <c r="M30" s="131">
        <f t="shared" si="25"/>
        <v>0</v>
      </c>
      <c r="N30" s="131">
        <f t="shared" si="26"/>
        <v>0</v>
      </c>
      <c r="O30" s="133"/>
      <c r="P30" s="133"/>
      <c r="Q30" s="133"/>
      <c r="R30" s="133"/>
      <c r="S30" s="133"/>
      <c r="T30" s="133"/>
      <c r="U30" s="235">
        <f t="shared" si="3"/>
        <v>0</v>
      </c>
      <c r="V30" s="137"/>
      <c r="W30" s="131">
        <f t="shared" si="27"/>
        <v>0</v>
      </c>
      <c r="X30" s="131">
        <f t="shared" si="28"/>
        <v>0</v>
      </c>
      <c r="Y30" s="133"/>
      <c r="Z30" s="133"/>
      <c r="AA30" s="133"/>
      <c r="AB30" s="133"/>
      <c r="AC30" s="133"/>
      <c r="AD30" s="133"/>
      <c r="AE30" s="235">
        <f t="shared" si="4"/>
        <v>0</v>
      </c>
      <c r="AF30" s="137"/>
      <c r="AG30" s="131">
        <f t="shared" si="29"/>
        <v>0</v>
      </c>
      <c r="AH30" s="131">
        <f t="shared" si="30"/>
        <v>0</v>
      </c>
      <c r="AI30" s="133"/>
      <c r="AJ30" s="133"/>
      <c r="AK30" s="133"/>
      <c r="AL30" s="133"/>
      <c r="AM30" s="133"/>
      <c r="AN30" s="133"/>
      <c r="AO30" s="235">
        <f t="shared" si="6"/>
        <v>0</v>
      </c>
      <c r="AP30" s="137"/>
      <c r="AQ30" s="131">
        <f t="shared" si="32"/>
        <v>0</v>
      </c>
      <c r="AR30" s="131">
        <f t="shared" si="7"/>
        <v>0</v>
      </c>
      <c r="AS30" s="133"/>
      <c r="AT30" s="133"/>
      <c r="AU30" s="133"/>
      <c r="AV30" s="133"/>
      <c r="AW30" s="133"/>
      <c r="AX30" s="133"/>
      <c r="AY30" s="235">
        <f t="shared" si="8"/>
        <v>0</v>
      </c>
      <c r="AZ30" s="137"/>
      <c r="BA30" s="131">
        <f t="shared" si="33"/>
        <v>0</v>
      </c>
      <c r="BB30" s="131">
        <f t="shared" si="9"/>
        <v>0</v>
      </c>
      <c r="BC30" s="133"/>
      <c r="BD30" s="133"/>
      <c r="BE30" s="133"/>
      <c r="BF30" s="133"/>
      <c r="BG30" s="133"/>
      <c r="BH30" s="133"/>
      <c r="BI30" s="235">
        <f t="shared" si="10"/>
        <v>0</v>
      </c>
      <c r="BJ30" s="137"/>
      <c r="BK30" s="131">
        <f t="shared" si="18"/>
        <v>0</v>
      </c>
      <c r="BL30" s="131">
        <f t="shared" si="19"/>
        <v>0</v>
      </c>
      <c r="BM30" s="133"/>
      <c r="BN30" s="133"/>
      <c r="BO30" s="133"/>
      <c r="BP30" s="133"/>
      <c r="BQ30" s="133"/>
      <c r="BR30" s="133"/>
      <c r="BS30" s="235">
        <f t="shared" si="20"/>
        <v>0</v>
      </c>
      <c r="BT30" s="324"/>
      <c r="BU30" s="131">
        <f t="shared" si="21"/>
        <v>0</v>
      </c>
      <c r="BV30" s="131">
        <f t="shared" si="22"/>
        <v>0</v>
      </c>
      <c r="BW30" s="325"/>
      <c r="BX30" s="325"/>
      <c r="BY30" s="325"/>
      <c r="BZ30" s="325"/>
      <c r="CA30" s="325"/>
      <c r="CB30" s="325"/>
      <c r="CC30" s="357">
        <f t="shared" si="23"/>
        <v>0</v>
      </c>
    </row>
    <row r="31" spans="1:81" ht="15.95" customHeight="1">
      <c r="A31" s="143" t="s">
        <v>177</v>
      </c>
      <c r="B31" s="136"/>
      <c r="C31" s="126"/>
      <c r="D31" s="126"/>
      <c r="E31" s="128"/>
      <c r="F31" s="128"/>
      <c r="G31" s="128"/>
      <c r="H31" s="128"/>
      <c r="I31" s="128"/>
      <c r="J31" s="128"/>
      <c r="K31" s="240"/>
      <c r="L31" s="136"/>
      <c r="M31" s="126"/>
      <c r="N31" s="126"/>
      <c r="O31" s="128"/>
      <c r="P31" s="128"/>
      <c r="Q31" s="128"/>
      <c r="R31" s="128"/>
      <c r="S31" s="128"/>
      <c r="T31" s="128"/>
      <c r="U31" s="240"/>
      <c r="V31" s="136"/>
      <c r="W31" s="126"/>
      <c r="X31" s="126"/>
      <c r="Y31" s="128"/>
      <c r="Z31" s="128"/>
      <c r="AA31" s="128"/>
      <c r="AB31" s="128"/>
      <c r="AC31" s="128"/>
      <c r="AD31" s="128"/>
      <c r="AE31" s="240"/>
      <c r="AF31" s="136"/>
      <c r="AG31" s="126"/>
      <c r="AH31" s="126"/>
      <c r="AI31" s="128"/>
      <c r="AJ31" s="128"/>
      <c r="AK31" s="128"/>
      <c r="AL31" s="128"/>
      <c r="AM31" s="128"/>
      <c r="AN31" s="128"/>
      <c r="AO31" s="240"/>
      <c r="AP31" s="136"/>
      <c r="AQ31" s="126"/>
      <c r="AR31" s="126"/>
      <c r="AS31" s="128"/>
      <c r="AT31" s="128"/>
      <c r="AU31" s="128"/>
      <c r="AV31" s="128"/>
      <c r="AW31" s="128"/>
      <c r="AX31" s="128"/>
      <c r="AY31" s="240"/>
      <c r="AZ31" s="136"/>
      <c r="BA31" s="126"/>
      <c r="BB31" s="126"/>
      <c r="BC31" s="128"/>
      <c r="BD31" s="128"/>
      <c r="BE31" s="128"/>
      <c r="BF31" s="128"/>
      <c r="BG31" s="128"/>
      <c r="BH31" s="128"/>
      <c r="BI31" s="240"/>
      <c r="BJ31" s="136"/>
      <c r="BK31" s="126"/>
      <c r="BL31" s="126"/>
      <c r="BM31" s="128"/>
      <c r="BN31" s="128"/>
      <c r="BO31" s="128"/>
      <c r="BP31" s="128"/>
      <c r="BQ31" s="128"/>
      <c r="BR31" s="128"/>
      <c r="BS31" s="240"/>
      <c r="BT31" s="136"/>
      <c r="BU31" s="126"/>
      <c r="BV31" s="126"/>
      <c r="BW31" s="128"/>
      <c r="BX31" s="128"/>
      <c r="BY31" s="128"/>
      <c r="BZ31" s="128"/>
      <c r="CA31" s="128"/>
      <c r="CB31" s="128"/>
      <c r="CC31" s="240"/>
    </row>
    <row r="32" spans="1:81" s="77" customFormat="1" ht="15.95" customHeight="1">
      <c r="A32" s="288" t="s">
        <v>69</v>
      </c>
      <c r="B32" s="79">
        <f>SUM(B$10:B31)</f>
        <v>2261</v>
      </c>
      <c r="C32" s="131">
        <f>SUM(C$10:C31)</f>
        <v>7367383</v>
      </c>
      <c r="D32" s="131">
        <f>IFERROR(C32/B32,0)</f>
        <v>3258.4621848739494</v>
      </c>
      <c r="E32" s="132">
        <f>SUM(E$10:E31)</f>
        <v>20833</v>
      </c>
      <c r="F32" s="132">
        <f>SUM(F$10:F31)</f>
        <v>0</v>
      </c>
      <c r="G32" s="132">
        <f>SUM(G$10:G31)</f>
        <v>326391</v>
      </c>
      <c r="H32" s="132">
        <f>SUM(H$10:H31)</f>
        <v>6430366</v>
      </c>
      <c r="I32" s="132">
        <f>SUM(I$10:I31)</f>
        <v>589793</v>
      </c>
      <c r="J32" s="132">
        <f>SUM(J$10:J31)</f>
        <v>4340140</v>
      </c>
      <c r="K32" s="235">
        <f>SUM(K$10:K31)</f>
        <v>20833</v>
      </c>
      <c r="L32" s="79">
        <f>SUM(L$10:L31)</f>
        <v>2189</v>
      </c>
      <c r="M32" s="131">
        <f>SUM(M$10:M31)</f>
        <v>7434910</v>
      </c>
      <c r="N32" s="131">
        <f>IFERROR(M32/L32,0)</f>
        <v>3396.486980356327</v>
      </c>
      <c r="O32" s="132">
        <f>SUM(O$10:O31)</f>
        <v>26568</v>
      </c>
      <c r="P32" s="132">
        <f>SUM(P$10:P31)</f>
        <v>0</v>
      </c>
      <c r="Q32" s="132">
        <f>SUM(Q$10:Q31)</f>
        <v>349273</v>
      </c>
      <c r="R32" s="132">
        <f>SUM(R$10:R31)</f>
        <v>6414935</v>
      </c>
      <c r="S32" s="132">
        <f>SUM(S$10:S31)</f>
        <v>644134</v>
      </c>
      <c r="T32" s="132">
        <f>SUM(T$10:T31)</f>
        <v>4474883</v>
      </c>
      <c r="U32" s="235">
        <f>SUM(U$10:U31)</f>
        <v>26568</v>
      </c>
      <c r="V32" s="79">
        <f>SUM(V$10:V31)</f>
        <v>2173</v>
      </c>
      <c r="W32" s="131">
        <f>SUM(W$10:W31)</f>
        <v>7577079</v>
      </c>
      <c r="X32" s="131">
        <f>IFERROR(W32/V32,0)</f>
        <v>3486.9208467556373</v>
      </c>
      <c r="Y32" s="132">
        <f>SUM(Y$10:Y31)</f>
        <v>10302</v>
      </c>
      <c r="Z32" s="132">
        <f>SUM(Z$10:Z31)</f>
        <v>0</v>
      </c>
      <c r="AA32" s="132">
        <f>SUM(AA$10:AA31)</f>
        <v>335622</v>
      </c>
      <c r="AB32" s="132">
        <f>SUM(AB$10:AB31)</f>
        <v>6336482</v>
      </c>
      <c r="AC32" s="132">
        <f>SUM(AC$10:AC31)</f>
        <v>894673</v>
      </c>
      <c r="AD32" s="132">
        <f>SUM(AD$10:AD31)</f>
        <v>4685933</v>
      </c>
      <c r="AE32" s="235">
        <f>SUM(AE$10:AE31)</f>
        <v>10302</v>
      </c>
      <c r="AF32" s="79">
        <f>SUM(AF$10:AF31)</f>
        <v>2260</v>
      </c>
      <c r="AG32" s="131">
        <f>SUM(AG$10:AG31)</f>
        <v>7652214</v>
      </c>
      <c r="AH32" s="131">
        <f>IFERROR(AG32/AF32,0)</f>
        <v>3385.9353982300886</v>
      </c>
      <c r="AI32" s="132">
        <f>SUM(AI$10:AI31)</f>
        <v>9407</v>
      </c>
      <c r="AJ32" s="132">
        <f>SUM(AJ$10:AJ31)</f>
        <v>0</v>
      </c>
      <c r="AK32" s="132">
        <f>SUM(AK$10:AK31)</f>
        <v>356564</v>
      </c>
      <c r="AL32" s="132">
        <f>SUM(AL$10:AL31)</f>
        <v>5942424</v>
      </c>
      <c r="AM32" s="132">
        <f>SUM(AM$10:AM31)</f>
        <v>1343819</v>
      </c>
      <c r="AN32" s="132">
        <f>SUM(AN$10:AN31)</f>
        <v>4728139</v>
      </c>
      <c r="AO32" s="235">
        <f>SUM(AO$10:AO31)</f>
        <v>9407</v>
      </c>
      <c r="AP32" s="79">
        <f>SUM(AP$10:AP31)</f>
        <v>2647</v>
      </c>
      <c r="AQ32" s="131">
        <f>SUM(AQ$10:AQ31)</f>
        <v>7838521.1899999995</v>
      </c>
      <c r="AR32" s="131">
        <f>IFERROR(AQ32/AP32,0)</f>
        <v>2961.2849225538343</v>
      </c>
      <c r="AS32" s="132">
        <f>SUM(AS$10:AS31)</f>
        <v>6.75</v>
      </c>
      <c r="AT32" s="132">
        <f>SUM(AT$10:AT31)</f>
        <v>0</v>
      </c>
      <c r="AU32" s="132">
        <f>SUM(AU$10:AU31)</f>
        <v>357883.66</v>
      </c>
      <c r="AV32" s="132">
        <f>SUM(AV$10:AV31)</f>
        <v>6079327</v>
      </c>
      <c r="AW32" s="132">
        <f>SUM(AW$10:AW31)</f>
        <v>1401303.78</v>
      </c>
      <c r="AX32" s="132">
        <f>SUM(AX$10:AX31)</f>
        <v>4905900.01</v>
      </c>
      <c r="AY32" s="235">
        <f>SUM(AY$10:AY31)</f>
        <v>6.75</v>
      </c>
      <c r="AZ32" s="79">
        <f>SUM(AZ$10:AZ31)</f>
        <v>2436</v>
      </c>
      <c r="BA32" s="131">
        <f>SUM(BA$10:BA31)</f>
        <v>7460672</v>
      </c>
      <c r="BB32" s="131">
        <f>IFERROR(BA32/AZ32,0)</f>
        <v>3062.6732348111659</v>
      </c>
      <c r="BC32" s="132">
        <f>SUM(BC$10:BC31)</f>
        <v>0</v>
      </c>
      <c r="BD32" s="132">
        <f>SUM(BD$10:BD31)</f>
        <v>0</v>
      </c>
      <c r="BE32" s="132">
        <f>SUM(BE$10:BE31)</f>
        <v>408204</v>
      </c>
      <c r="BF32" s="132">
        <f>SUM(BF$10:BF31)</f>
        <v>5623090</v>
      </c>
      <c r="BG32" s="132">
        <f>SUM(BG$10:BG31)</f>
        <v>1429378</v>
      </c>
      <c r="BH32" s="132">
        <f>SUM(BH$10:BH31)</f>
        <v>4664867</v>
      </c>
      <c r="BI32" s="235">
        <f>SUM(BI$10:BI31)</f>
        <v>0</v>
      </c>
      <c r="BJ32" s="79">
        <f>SUM(BJ$10:BJ31)</f>
        <v>3041</v>
      </c>
      <c r="BK32" s="131">
        <f>SUM(BK$10:BK31)</f>
        <v>9749566</v>
      </c>
      <c r="BL32" s="131">
        <f>IFERROR(BK32/BJ32,0)</f>
        <v>3206.039460703716</v>
      </c>
      <c r="BM32" s="132">
        <f>SUM(BM$10:BM31)</f>
        <v>526</v>
      </c>
      <c r="BN32" s="132">
        <f>SUM(BN$10:BN31)</f>
        <v>0</v>
      </c>
      <c r="BO32" s="132">
        <f>SUM(BO$10:BO31)</f>
        <v>445738</v>
      </c>
      <c r="BP32" s="132">
        <f>SUM(BP$10:BP31)</f>
        <v>7164134</v>
      </c>
      <c r="BQ32" s="132">
        <f>SUM(BQ$10:BQ31)</f>
        <v>2139168</v>
      </c>
      <c r="BR32" s="132">
        <f>SUM(BR$10:BR31)</f>
        <v>5966181</v>
      </c>
      <c r="BS32" s="235">
        <f>SUM(BS$10:BS31)</f>
        <v>526</v>
      </c>
      <c r="BT32" s="79">
        <f>SUM(BT$10:BT31)</f>
        <v>2603</v>
      </c>
      <c r="BU32" s="131">
        <f>SUM(BU$10:BU31)</f>
        <v>8105452.3600000003</v>
      </c>
      <c r="BV32" s="131">
        <f>IFERROR(BU32/BT32,0)</f>
        <v>3113.8887283903191</v>
      </c>
      <c r="BW32" s="132">
        <f>SUM(BW$10:BW31)</f>
        <v>168130.5</v>
      </c>
      <c r="BX32" s="132">
        <f>SUM(BX$10:BX31)</f>
        <v>0</v>
      </c>
      <c r="BY32" s="132">
        <f>SUM(BY$10:BY31)</f>
        <v>484621.9</v>
      </c>
      <c r="BZ32" s="132">
        <f>SUM(BZ$10:BZ31)</f>
        <v>5904460</v>
      </c>
      <c r="CA32" s="132">
        <f>SUM(CA$10:CA31)</f>
        <v>1548239.96</v>
      </c>
      <c r="CB32" s="132">
        <f>SUM(CB$10:CB31)</f>
        <v>4942259.92</v>
      </c>
      <c r="CC32" s="235">
        <f>SUM(CC$10:CC31)</f>
        <v>48794</v>
      </c>
    </row>
    <row r="33" spans="1:81" ht="15.95" customHeight="1">
      <c r="A33" s="285"/>
      <c r="B33" s="136"/>
      <c r="C33" s="126"/>
      <c r="D33" s="126"/>
      <c r="E33" s="128"/>
      <c r="F33" s="128"/>
      <c r="G33" s="128"/>
      <c r="H33" s="128"/>
      <c r="I33" s="128"/>
      <c r="J33" s="128"/>
      <c r="K33" s="240"/>
      <c r="L33" s="136"/>
      <c r="M33" s="126"/>
      <c r="N33" s="126"/>
      <c r="O33" s="128"/>
      <c r="P33" s="128"/>
      <c r="Q33" s="128"/>
      <c r="R33" s="128"/>
      <c r="S33" s="128"/>
      <c r="T33" s="128"/>
      <c r="U33" s="240"/>
      <c r="V33" s="136"/>
      <c r="W33" s="126"/>
      <c r="X33" s="126"/>
      <c r="Y33" s="128"/>
      <c r="Z33" s="128"/>
      <c r="AA33" s="128"/>
      <c r="AB33" s="128"/>
      <c r="AC33" s="128"/>
      <c r="AD33" s="128"/>
      <c r="AE33" s="240"/>
      <c r="AF33" s="136"/>
      <c r="AG33" s="126"/>
      <c r="AH33" s="126"/>
      <c r="AI33" s="128"/>
      <c r="AJ33" s="128"/>
      <c r="AK33" s="128"/>
      <c r="AL33" s="128"/>
      <c r="AM33" s="128"/>
      <c r="AN33" s="128"/>
      <c r="AO33" s="240"/>
      <c r="AP33" s="136"/>
      <c r="AQ33" s="126"/>
      <c r="AR33" s="126"/>
      <c r="AS33" s="128"/>
      <c r="AT33" s="128"/>
      <c r="AU33" s="128"/>
      <c r="AV33" s="128"/>
      <c r="AW33" s="128"/>
      <c r="AX33" s="128"/>
      <c r="AY33" s="240"/>
      <c r="AZ33" s="136"/>
      <c r="BA33" s="126"/>
      <c r="BB33" s="126"/>
      <c r="BC33" s="128"/>
      <c r="BD33" s="128"/>
      <c r="BE33" s="128"/>
      <c r="BF33" s="128"/>
      <c r="BG33" s="128"/>
      <c r="BH33" s="128"/>
      <c r="BI33" s="240"/>
      <c r="BJ33" s="136"/>
      <c r="BK33" s="126"/>
      <c r="BL33" s="126"/>
      <c r="BM33" s="128"/>
      <c r="BN33" s="128"/>
      <c r="BO33" s="128"/>
      <c r="BP33" s="128"/>
      <c r="BQ33" s="128"/>
      <c r="BR33" s="128"/>
      <c r="BS33" s="240"/>
      <c r="BT33" s="136"/>
      <c r="BU33" s="126"/>
      <c r="BV33" s="126"/>
      <c r="BW33" s="128"/>
      <c r="BX33" s="128"/>
      <c r="BY33" s="128"/>
      <c r="BZ33" s="128"/>
      <c r="CA33" s="128"/>
      <c r="CB33" s="128"/>
      <c r="CC33" s="240"/>
    </row>
    <row r="34" spans="1:81" ht="15.95" customHeight="1">
      <c r="A34" s="286" t="s">
        <v>70</v>
      </c>
      <c r="B34" s="136"/>
      <c r="C34" s="126"/>
      <c r="D34" s="126"/>
      <c r="E34" s="128"/>
      <c r="F34" s="128"/>
      <c r="G34" s="128"/>
      <c r="H34" s="128"/>
      <c r="I34" s="128"/>
      <c r="J34" s="128"/>
      <c r="K34" s="240"/>
      <c r="L34" s="136"/>
      <c r="M34" s="126"/>
      <c r="N34" s="126"/>
      <c r="O34" s="128"/>
      <c r="P34" s="128"/>
      <c r="Q34" s="128"/>
      <c r="R34" s="128"/>
      <c r="S34" s="128"/>
      <c r="T34" s="128"/>
      <c r="U34" s="240"/>
      <c r="V34" s="136"/>
      <c r="W34" s="126"/>
      <c r="X34" s="126"/>
      <c r="Y34" s="128"/>
      <c r="Z34" s="128"/>
      <c r="AA34" s="128"/>
      <c r="AB34" s="128"/>
      <c r="AC34" s="128"/>
      <c r="AD34" s="128"/>
      <c r="AE34" s="240"/>
      <c r="AF34" s="136"/>
      <c r="AG34" s="126"/>
      <c r="AH34" s="126"/>
      <c r="AI34" s="128"/>
      <c r="AJ34" s="128"/>
      <c r="AK34" s="128"/>
      <c r="AL34" s="128"/>
      <c r="AM34" s="128"/>
      <c r="AN34" s="128"/>
      <c r="AO34" s="240"/>
      <c r="AP34" s="136"/>
      <c r="AQ34" s="126"/>
      <c r="AR34" s="126"/>
      <c r="AS34" s="128"/>
      <c r="AT34" s="128"/>
      <c r="AU34" s="128"/>
      <c r="AV34" s="128"/>
      <c r="AW34" s="128"/>
      <c r="AX34" s="128"/>
      <c r="AY34" s="240"/>
      <c r="AZ34" s="136"/>
      <c r="BA34" s="126"/>
      <c r="BB34" s="126"/>
      <c r="BC34" s="128"/>
      <c r="BD34" s="128"/>
      <c r="BE34" s="128"/>
      <c r="BF34" s="128"/>
      <c r="BG34" s="128"/>
      <c r="BH34" s="128"/>
      <c r="BI34" s="240"/>
      <c r="BJ34" s="136"/>
      <c r="BK34" s="126"/>
      <c r="BL34" s="126"/>
      <c r="BM34" s="128"/>
      <c r="BN34" s="128"/>
      <c r="BO34" s="128"/>
      <c r="BP34" s="128"/>
      <c r="BQ34" s="128"/>
      <c r="BR34" s="128"/>
      <c r="BS34" s="240"/>
      <c r="BT34" s="136"/>
      <c r="BU34" s="126"/>
      <c r="BV34" s="126"/>
      <c r="BW34" s="128"/>
      <c r="BX34" s="128"/>
      <c r="BY34" s="128"/>
      <c r="BZ34" s="128"/>
      <c r="CA34" s="128"/>
      <c r="CB34" s="128"/>
      <c r="CC34" s="240"/>
    </row>
    <row r="35" spans="1:81" ht="15.95" customHeight="1">
      <c r="A35" s="287" t="s">
        <v>171</v>
      </c>
      <c r="B35" s="136"/>
      <c r="C35" s="126"/>
      <c r="D35" s="126"/>
      <c r="E35" s="128"/>
      <c r="F35" s="128"/>
      <c r="G35" s="128"/>
      <c r="H35" s="128"/>
      <c r="I35" s="128"/>
      <c r="J35" s="128"/>
      <c r="K35" s="235">
        <f t="shared" ref="K35:K59" si="34">IF(J35=0,0,(IF(E35&lt;=J35,E35,J35)))</f>
        <v>0</v>
      </c>
      <c r="L35" s="136">
        <v>20</v>
      </c>
      <c r="M35" s="131">
        <f>SUM(O35:S35)</f>
        <v>43825</v>
      </c>
      <c r="N35" s="131">
        <f>IFERROR(M35/L35,0)</f>
        <v>2191.25</v>
      </c>
      <c r="O35" s="128"/>
      <c r="P35" s="128">
        <v>43825</v>
      </c>
      <c r="Q35" s="128"/>
      <c r="R35" s="128"/>
      <c r="S35" s="128"/>
      <c r="T35" s="128">
        <v>25964</v>
      </c>
      <c r="U35" s="235">
        <f t="shared" ref="U35:U59" si="35">IF(T35=0,0,(IF(O35&lt;=T35,O35,T35)))</f>
        <v>0</v>
      </c>
      <c r="V35" s="136">
        <v>25</v>
      </c>
      <c r="W35" s="131">
        <f>SUM(Y35:AC35)</f>
        <v>50899</v>
      </c>
      <c r="X35" s="131">
        <f>IFERROR(W35/V35,0)</f>
        <v>2035.96</v>
      </c>
      <c r="Y35" s="128"/>
      <c r="Z35" s="128">
        <v>50899</v>
      </c>
      <c r="AA35" s="128"/>
      <c r="AB35" s="128"/>
      <c r="AC35" s="128"/>
      <c r="AD35" s="128">
        <v>22372</v>
      </c>
      <c r="AE35" s="235">
        <f t="shared" ref="AE35:AE59" si="36">IF(AD35=0,0,(IF(Y35&lt;=AD35,Y35,AD35)))</f>
        <v>0</v>
      </c>
      <c r="AF35" s="136">
        <v>15</v>
      </c>
      <c r="AG35" s="131">
        <f t="shared" ref="AG35:AG49" si="37">SUM(AI35:AM35)</f>
        <v>43540</v>
      </c>
      <c r="AH35" s="131">
        <f t="shared" ref="AH35:AH49" si="38">IFERROR(AG35/AF35,0)</f>
        <v>2902.6666666666665</v>
      </c>
      <c r="AI35" s="128"/>
      <c r="AJ35" s="128">
        <v>43540</v>
      </c>
      <c r="AK35" s="128"/>
      <c r="AL35" s="128"/>
      <c r="AM35" s="128"/>
      <c r="AN35" s="128">
        <v>20595</v>
      </c>
      <c r="AO35" s="235">
        <f t="shared" ref="AO35:AO59" si="39">IF(AN35=0,0,(IF(AI35&lt;=AN35,AI35,AN35)))</f>
        <v>0</v>
      </c>
      <c r="AP35" s="136">
        <v>10</v>
      </c>
      <c r="AQ35" s="131">
        <f t="shared" ref="AQ35:AQ59" si="40">SUM(AS35:AW35)</f>
        <v>22739.29</v>
      </c>
      <c r="AR35" s="131">
        <f t="shared" ref="AR35:AR59" si="41">IFERROR(AQ35/AP35,0)</f>
        <v>2273.9290000000001</v>
      </c>
      <c r="AS35" s="128"/>
      <c r="AT35" s="128">
        <v>22739.29</v>
      </c>
      <c r="AU35" s="128"/>
      <c r="AV35" s="128"/>
      <c r="AW35" s="128"/>
      <c r="AX35" s="128">
        <v>13155.01</v>
      </c>
      <c r="AY35" s="235">
        <f t="shared" ref="AY35:AY59" si="42">IF(AX35=0,0,(IF(AS35&lt;=AX35,AS35,AX35)))</f>
        <v>0</v>
      </c>
      <c r="AZ35" s="136">
        <v>18</v>
      </c>
      <c r="BA35" s="131">
        <f t="shared" ref="BA35:BA59" si="43">SUM(BC35:BG35)</f>
        <v>23970</v>
      </c>
      <c r="BB35" s="131">
        <f t="shared" ref="BB35:BB59" si="44">IFERROR(BA35/AZ35,0)</f>
        <v>1331.6666666666667</v>
      </c>
      <c r="BC35" s="128"/>
      <c r="BD35" s="128">
        <v>23970</v>
      </c>
      <c r="BE35" s="128"/>
      <c r="BF35" s="128"/>
      <c r="BG35" s="128"/>
      <c r="BH35" s="128">
        <v>9530</v>
      </c>
      <c r="BI35" s="235">
        <f t="shared" ref="BI35:BI59" si="45">IF(BH35=0,0,(IF(BC35&lt;=BH35,BC35,BH35)))</f>
        <v>0</v>
      </c>
      <c r="BJ35" s="137">
        <v>7</v>
      </c>
      <c r="BK35" s="131">
        <f t="shared" ref="BK35:BK59" si="46">SUM(BM35:BQ35)</f>
        <v>14687</v>
      </c>
      <c r="BL35" s="131">
        <f t="shared" ref="BL35:BL59" si="47">IFERROR(BK35/BJ35,0)</f>
        <v>2098.1428571428573</v>
      </c>
      <c r="BM35" s="133"/>
      <c r="BN35" s="133">
        <v>14687</v>
      </c>
      <c r="BO35" s="133"/>
      <c r="BP35" s="133"/>
      <c r="BQ35" s="133"/>
      <c r="BR35" s="133">
        <v>5340</v>
      </c>
      <c r="BS35" s="235">
        <f t="shared" ref="BS35:BS59" si="48">IF(BR35=0,0,(IF(BM35&lt;=BR35,BM35,BR35)))</f>
        <v>0</v>
      </c>
      <c r="BT35" s="324">
        <v>1</v>
      </c>
      <c r="BU35" s="131">
        <f t="shared" ref="BU35:BU59" si="49">SUM(BW35:CA35)</f>
        <v>500</v>
      </c>
      <c r="BV35" s="131">
        <f t="shared" ref="BV35:BV59" si="50">IFERROR(BU35/BT35,0)</f>
        <v>500</v>
      </c>
      <c r="BW35" s="325"/>
      <c r="BX35" s="325">
        <v>500</v>
      </c>
      <c r="BY35" s="325"/>
      <c r="BZ35" s="325"/>
      <c r="CA35" s="325"/>
      <c r="CB35" s="325">
        <v>500</v>
      </c>
      <c r="CC35" s="357">
        <f t="shared" ref="CC35:CC59" si="51">IF(CB35=0,0,(IF(BW35&lt;=CB35,BW35,CB35)))</f>
        <v>0</v>
      </c>
    </row>
    <row r="36" spans="1:81" s="77" customFormat="1" ht="15.95" customHeight="1">
      <c r="A36" s="287" t="s">
        <v>71</v>
      </c>
      <c r="B36" s="137">
        <v>104</v>
      </c>
      <c r="C36" s="131">
        <f t="shared" ref="C36:C47" si="52">SUM(E36:I36)</f>
        <v>452727</v>
      </c>
      <c r="D36" s="131">
        <f t="shared" ref="D36:D47" si="53">IFERROR(C36/B36,0)</f>
        <v>4353.1442307692305</v>
      </c>
      <c r="E36" s="133">
        <v>452727</v>
      </c>
      <c r="F36" s="133"/>
      <c r="G36" s="133"/>
      <c r="H36" s="133"/>
      <c r="I36" s="133"/>
      <c r="J36" s="133">
        <v>452727</v>
      </c>
      <c r="K36" s="235">
        <f t="shared" si="34"/>
        <v>452727</v>
      </c>
      <c r="L36" s="137">
        <v>96</v>
      </c>
      <c r="M36" s="131">
        <f t="shared" ref="M36:M47" si="54">SUM(O36:S36)</f>
        <v>438240</v>
      </c>
      <c r="N36" s="131">
        <f t="shared" ref="N36:N47" si="55">IFERROR(M36/L36,0)</f>
        <v>4565</v>
      </c>
      <c r="O36" s="133">
        <v>438240</v>
      </c>
      <c r="P36" s="133"/>
      <c r="Q36" s="133"/>
      <c r="R36" s="133"/>
      <c r="S36" s="133"/>
      <c r="T36" s="133">
        <v>438240</v>
      </c>
      <c r="U36" s="235">
        <f t="shared" si="35"/>
        <v>438240</v>
      </c>
      <c r="V36" s="137">
        <v>93</v>
      </c>
      <c r="W36" s="131">
        <f t="shared" ref="W36:W49" si="56">SUM(Y36:AC36)</f>
        <v>441868</v>
      </c>
      <c r="X36" s="131">
        <f t="shared" ref="X36:X49" si="57">IFERROR(W36/V36,0)</f>
        <v>4751.2688172043008</v>
      </c>
      <c r="Y36" s="133">
        <v>441868</v>
      </c>
      <c r="Z36" s="133"/>
      <c r="AA36" s="133"/>
      <c r="AB36" s="133"/>
      <c r="AC36" s="133"/>
      <c r="AD36" s="133">
        <v>441868</v>
      </c>
      <c r="AE36" s="235">
        <f t="shared" si="36"/>
        <v>441868</v>
      </c>
      <c r="AF36" s="137">
        <v>84</v>
      </c>
      <c r="AG36" s="131">
        <f t="shared" si="37"/>
        <v>417897</v>
      </c>
      <c r="AH36" s="131">
        <f t="shared" si="38"/>
        <v>4974.9642857142853</v>
      </c>
      <c r="AI36" s="133">
        <v>417897</v>
      </c>
      <c r="AJ36" s="133"/>
      <c r="AK36" s="133"/>
      <c r="AL36" s="133"/>
      <c r="AM36" s="133"/>
      <c r="AN36" s="133">
        <v>417897</v>
      </c>
      <c r="AO36" s="235">
        <f t="shared" si="39"/>
        <v>417897</v>
      </c>
      <c r="AP36" s="137">
        <v>87</v>
      </c>
      <c r="AQ36" s="131">
        <f t="shared" si="40"/>
        <v>458106</v>
      </c>
      <c r="AR36" s="131">
        <f t="shared" si="41"/>
        <v>5265.5862068965516</v>
      </c>
      <c r="AS36" s="133">
        <v>458106</v>
      </c>
      <c r="AT36" s="133"/>
      <c r="AU36" s="133"/>
      <c r="AV36" s="133"/>
      <c r="AW36" s="133"/>
      <c r="AX36" s="133">
        <v>458106</v>
      </c>
      <c r="AY36" s="235">
        <f t="shared" si="42"/>
        <v>458106</v>
      </c>
      <c r="AZ36" s="137">
        <v>93</v>
      </c>
      <c r="BA36" s="131">
        <f t="shared" si="43"/>
        <v>494388</v>
      </c>
      <c r="BB36" s="131">
        <f t="shared" si="44"/>
        <v>5316</v>
      </c>
      <c r="BC36" s="133">
        <v>494388</v>
      </c>
      <c r="BD36" s="133"/>
      <c r="BE36" s="133"/>
      <c r="BF36" s="133"/>
      <c r="BG36" s="133"/>
      <c r="BH36" s="133">
        <v>494388</v>
      </c>
      <c r="BI36" s="235">
        <f t="shared" si="45"/>
        <v>494388</v>
      </c>
      <c r="BJ36" s="137">
        <v>89</v>
      </c>
      <c r="BK36" s="131">
        <f t="shared" si="46"/>
        <v>464628</v>
      </c>
      <c r="BL36" s="131">
        <f t="shared" si="47"/>
        <v>5220.5393258426966</v>
      </c>
      <c r="BM36" s="133">
        <v>464628</v>
      </c>
      <c r="BN36" s="133"/>
      <c r="BO36" s="133"/>
      <c r="BP36" s="133"/>
      <c r="BQ36" s="133"/>
      <c r="BR36" s="133">
        <v>464628</v>
      </c>
      <c r="BS36" s="235">
        <f t="shared" si="48"/>
        <v>464628</v>
      </c>
      <c r="BT36" s="324">
        <v>59</v>
      </c>
      <c r="BU36" s="131">
        <f t="shared" si="49"/>
        <v>284208</v>
      </c>
      <c r="BV36" s="131">
        <f t="shared" si="50"/>
        <v>4817.0847457627115</v>
      </c>
      <c r="BW36" s="325">
        <v>284208</v>
      </c>
      <c r="BX36" s="325"/>
      <c r="BY36" s="325"/>
      <c r="BZ36" s="325"/>
      <c r="CA36" s="325"/>
      <c r="CB36" s="325">
        <v>284208</v>
      </c>
      <c r="CC36" s="357">
        <f t="shared" si="51"/>
        <v>284208</v>
      </c>
    </row>
    <row r="37" spans="1:81" s="77" customFormat="1" ht="15.95" customHeight="1">
      <c r="A37" s="287" t="s">
        <v>72</v>
      </c>
      <c r="B37" s="137">
        <v>3</v>
      </c>
      <c r="C37" s="131">
        <f t="shared" si="52"/>
        <v>13323</v>
      </c>
      <c r="D37" s="131">
        <f t="shared" si="53"/>
        <v>4441</v>
      </c>
      <c r="E37" s="133">
        <v>13323</v>
      </c>
      <c r="F37" s="133"/>
      <c r="G37" s="133"/>
      <c r="H37" s="133"/>
      <c r="I37" s="133"/>
      <c r="J37" s="133">
        <v>9027</v>
      </c>
      <c r="K37" s="235">
        <f t="shared" si="34"/>
        <v>9027</v>
      </c>
      <c r="L37" s="137">
        <v>8</v>
      </c>
      <c r="M37" s="131">
        <f t="shared" si="54"/>
        <v>30720</v>
      </c>
      <c r="N37" s="131">
        <f t="shared" si="55"/>
        <v>3840</v>
      </c>
      <c r="O37" s="133">
        <v>30720</v>
      </c>
      <c r="P37" s="133"/>
      <c r="Q37" s="133"/>
      <c r="R37" s="133"/>
      <c r="S37" s="133"/>
      <c r="T37" s="133">
        <v>11200</v>
      </c>
      <c r="U37" s="235">
        <f t="shared" si="35"/>
        <v>11200</v>
      </c>
      <c r="V37" s="137">
        <v>7</v>
      </c>
      <c r="W37" s="131">
        <f t="shared" si="56"/>
        <v>31820</v>
      </c>
      <c r="X37" s="131">
        <f t="shared" si="57"/>
        <v>4545.7142857142853</v>
      </c>
      <c r="Y37" s="133">
        <v>31820</v>
      </c>
      <c r="Z37" s="133"/>
      <c r="AA37" s="133"/>
      <c r="AB37" s="133"/>
      <c r="AC37" s="133"/>
      <c r="AD37" s="133">
        <v>21844</v>
      </c>
      <c r="AE37" s="235">
        <f t="shared" si="36"/>
        <v>21844</v>
      </c>
      <c r="AF37" s="137">
        <v>5</v>
      </c>
      <c r="AG37" s="131">
        <f t="shared" si="37"/>
        <v>25310</v>
      </c>
      <c r="AH37" s="131">
        <f t="shared" si="38"/>
        <v>5062</v>
      </c>
      <c r="AI37" s="133">
        <v>25310</v>
      </c>
      <c r="AJ37" s="133"/>
      <c r="AK37" s="133"/>
      <c r="AL37" s="133"/>
      <c r="AM37" s="133"/>
      <c r="AN37" s="133">
        <v>10089</v>
      </c>
      <c r="AO37" s="235">
        <f t="shared" si="39"/>
        <v>10089</v>
      </c>
      <c r="AP37" s="137">
        <v>4</v>
      </c>
      <c r="AQ37" s="131">
        <f t="shared" si="40"/>
        <v>20327.009999999998</v>
      </c>
      <c r="AR37" s="131">
        <f t="shared" si="41"/>
        <v>5081.7524999999996</v>
      </c>
      <c r="AS37" s="133">
        <v>20327.009999999998</v>
      </c>
      <c r="AT37" s="133"/>
      <c r="AU37" s="133"/>
      <c r="AV37" s="133"/>
      <c r="AW37" s="133"/>
      <c r="AX37" s="133">
        <v>15609</v>
      </c>
      <c r="AY37" s="235">
        <f t="shared" si="42"/>
        <v>15609</v>
      </c>
      <c r="AZ37" s="137">
        <v>4</v>
      </c>
      <c r="BA37" s="131">
        <f t="shared" si="43"/>
        <v>15810</v>
      </c>
      <c r="BB37" s="131">
        <f t="shared" si="44"/>
        <v>3952.5</v>
      </c>
      <c r="BC37" s="133">
        <v>15810</v>
      </c>
      <c r="BD37" s="133"/>
      <c r="BE37" s="133"/>
      <c r="BF37" s="133"/>
      <c r="BG37" s="133"/>
      <c r="BH37" s="133">
        <v>15810</v>
      </c>
      <c r="BI37" s="235">
        <f t="shared" si="45"/>
        <v>15810</v>
      </c>
      <c r="BJ37" s="137">
        <v>3</v>
      </c>
      <c r="BK37" s="131">
        <f t="shared" si="46"/>
        <v>15810</v>
      </c>
      <c r="BL37" s="131">
        <f t="shared" si="47"/>
        <v>5270</v>
      </c>
      <c r="BM37" s="133">
        <v>15810</v>
      </c>
      <c r="BN37" s="133"/>
      <c r="BO37" s="133"/>
      <c r="BP37" s="133"/>
      <c r="BQ37" s="133"/>
      <c r="BR37" s="133">
        <v>15810</v>
      </c>
      <c r="BS37" s="235">
        <f t="shared" si="48"/>
        <v>15810</v>
      </c>
      <c r="BT37" s="324">
        <v>5</v>
      </c>
      <c r="BU37" s="131">
        <f t="shared" si="49"/>
        <v>24927</v>
      </c>
      <c r="BV37" s="131">
        <f t="shared" si="50"/>
        <v>4985.3999999999996</v>
      </c>
      <c r="BW37" s="325">
        <v>24927</v>
      </c>
      <c r="BX37" s="325"/>
      <c r="BY37" s="325"/>
      <c r="BZ37" s="325"/>
      <c r="CA37" s="325"/>
      <c r="CB37" s="325">
        <v>10230</v>
      </c>
      <c r="CC37" s="357">
        <f t="shared" si="51"/>
        <v>10230</v>
      </c>
    </row>
    <row r="38" spans="1:81" s="77" customFormat="1" ht="15.95" customHeight="1">
      <c r="A38" s="287" t="s">
        <v>73</v>
      </c>
      <c r="B38" s="137">
        <f>3</f>
        <v>3</v>
      </c>
      <c r="C38" s="131">
        <f t="shared" si="52"/>
        <v>2400</v>
      </c>
      <c r="D38" s="131">
        <f t="shared" si="53"/>
        <v>800</v>
      </c>
      <c r="E38" s="133">
        <v>2400</v>
      </c>
      <c r="F38" s="133"/>
      <c r="G38" s="133"/>
      <c r="H38" s="133"/>
      <c r="I38" s="133"/>
      <c r="J38" s="133">
        <f>1800</f>
        <v>1800</v>
      </c>
      <c r="K38" s="235">
        <f t="shared" si="34"/>
        <v>1800</v>
      </c>
      <c r="L38" s="137">
        <v>7</v>
      </c>
      <c r="M38" s="131">
        <f t="shared" si="54"/>
        <v>7200</v>
      </c>
      <c r="N38" s="131">
        <f t="shared" si="55"/>
        <v>1028.5714285714287</v>
      </c>
      <c r="O38" s="133">
        <v>1800</v>
      </c>
      <c r="P38" s="133"/>
      <c r="Q38" s="133"/>
      <c r="R38" s="133"/>
      <c r="S38" s="133">
        <v>5400</v>
      </c>
      <c r="T38" s="133">
        <v>3000</v>
      </c>
      <c r="U38" s="235">
        <f t="shared" si="35"/>
        <v>1800</v>
      </c>
      <c r="V38" s="137">
        <v>4</v>
      </c>
      <c r="W38" s="131">
        <f t="shared" si="56"/>
        <v>6600</v>
      </c>
      <c r="X38" s="131">
        <f t="shared" si="57"/>
        <v>1650</v>
      </c>
      <c r="Y38" s="133">
        <v>3600</v>
      </c>
      <c r="Z38" s="133"/>
      <c r="AA38" s="133"/>
      <c r="AB38" s="133"/>
      <c r="AC38" s="133">
        <v>3000</v>
      </c>
      <c r="AD38" s="133">
        <v>3600</v>
      </c>
      <c r="AE38" s="235">
        <f t="shared" si="36"/>
        <v>3600</v>
      </c>
      <c r="AF38" s="137">
        <v>6</v>
      </c>
      <c r="AG38" s="131">
        <f t="shared" si="37"/>
        <v>4007</v>
      </c>
      <c r="AH38" s="131">
        <f t="shared" si="38"/>
        <v>667.83333333333337</v>
      </c>
      <c r="AI38" s="133">
        <v>4007</v>
      </c>
      <c r="AJ38" s="133"/>
      <c r="AK38" s="133"/>
      <c r="AL38" s="133"/>
      <c r="AM38" s="133"/>
      <c r="AN38" s="133">
        <v>1800</v>
      </c>
      <c r="AO38" s="235">
        <f t="shared" si="39"/>
        <v>1800</v>
      </c>
      <c r="AP38" s="137">
        <v>4</v>
      </c>
      <c r="AQ38" s="131">
        <f t="shared" si="40"/>
        <v>4200</v>
      </c>
      <c r="AR38" s="131">
        <f t="shared" si="41"/>
        <v>1050</v>
      </c>
      <c r="AS38" s="133">
        <v>4200</v>
      </c>
      <c r="AT38" s="133"/>
      <c r="AU38" s="133"/>
      <c r="AV38" s="133"/>
      <c r="AW38" s="133"/>
      <c r="AX38" s="133">
        <v>1200</v>
      </c>
      <c r="AY38" s="235">
        <f t="shared" si="42"/>
        <v>1200</v>
      </c>
      <c r="AZ38" s="137">
        <v>5</v>
      </c>
      <c r="BA38" s="131">
        <f t="shared" si="43"/>
        <v>3600</v>
      </c>
      <c r="BB38" s="131">
        <f t="shared" si="44"/>
        <v>720</v>
      </c>
      <c r="BC38" s="133">
        <v>3600</v>
      </c>
      <c r="BD38" s="133"/>
      <c r="BE38" s="133"/>
      <c r="BF38" s="133"/>
      <c r="BG38" s="133"/>
      <c r="BH38" s="133">
        <v>2400</v>
      </c>
      <c r="BI38" s="235">
        <f t="shared" si="45"/>
        <v>2400</v>
      </c>
      <c r="BJ38" s="137">
        <v>2</v>
      </c>
      <c r="BK38" s="131">
        <f t="shared" si="46"/>
        <v>2100</v>
      </c>
      <c r="BL38" s="131">
        <f t="shared" si="47"/>
        <v>1050</v>
      </c>
      <c r="BM38" s="133">
        <v>2100</v>
      </c>
      <c r="BN38" s="133"/>
      <c r="BO38" s="133"/>
      <c r="BP38" s="133"/>
      <c r="BQ38" s="133"/>
      <c r="BR38" s="133">
        <v>2100</v>
      </c>
      <c r="BS38" s="235">
        <f t="shared" si="48"/>
        <v>2100</v>
      </c>
      <c r="BT38" s="324">
        <v>1</v>
      </c>
      <c r="BU38" s="131">
        <f t="shared" si="49"/>
        <v>1200</v>
      </c>
      <c r="BV38" s="131">
        <f t="shared" si="50"/>
        <v>1200</v>
      </c>
      <c r="BW38" s="325">
        <v>1200</v>
      </c>
      <c r="BX38" s="325"/>
      <c r="BY38" s="325"/>
      <c r="BZ38" s="325"/>
      <c r="CA38" s="325"/>
      <c r="CB38" s="325">
        <v>0</v>
      </c>
      <c r="CC38" s="357">
        <f t="shared" si="51"/>
        <v>0</v>
      </c>
    </row>
    <row r="39" spans="1:81" s="77" customFormat="1" ht="15.95" customHeight="1">
      <c r="A39" s="287" t="s">
        <v>74</v>
      </c>
      <c r="B39" s="137">
        <v>552</v>
      </c>
      <c r="C39" s="131">
        <f t="shared" si="52"/>
        <v>571318</v>
      </c>
      <c r="D39" s="131">
        <f t="shared" si="53"/>
        <v>1034.9963768115942</v>
      </c>
      <c r="E39" s="133"/>
      <c r="F39" s="133"/>
      <c r="G39" s="133"/>
      <c r="H39" s="133"/>
      <c r="I39" s="133">
        <v>571318</v>
      </c>
      <c r="J39" s="133">
        <v>333838</v>
      </c>
      <c r="K39" s="235">
        <f t="shared" si="34"/>
        <v>0</v>
      </c>
      <c r="L39" s="137">
        <v>540</v>
      </c>
      <c r="M39" s="131">
        <f t="shared" si="54"/>
        <v>529800</v>
      </c>
      <c r="N39" s="131">
        <f t="shared" si="55"/>
        <v>981.11111111111109</v>
      </c>
      <c r="O39" s="133"/>
      <c r="P39" s="133"/>
      <c r="Q39" s="133"/>
      <c r="R39" s="133"/>
      <c r="S39" s="133">
        <v>529800</v>
      </c>
      <c r="T39" s="133">
        <v>309214</v>
      </c>
      <c r="U39" s="235">
        <f t="shared" si="35"/>
        <v>0</v>
      </c>
      <c r="V39" s="137">
        <v>464</v>
      </c>
      <c r="W39" s="131">
        <f t="shared" si="56"/>
        <v>367362</v>
      </c>
      <c r="X39" s="131">
        <f t="shared" si="57"/>
        <v>791.72844827586209</v>
      </c>
      <c r="Y39" s="133"/>
      <c r="Z39" s="133"/>
      <c r="AA39" s="133"/>
      <c r="AB39" s="133"/>
      <c r="AC39" s="133">
        <v>367362</v>
      </c>
      <c r="AD39" s="133">
        <v>221847</v>
      </c>
      <c r="AE39" s="235">
        <f t="shared" si="36"/>
        <v>0</v>
      </c>
      <c r="AF39" s="137">
        <v>481</v>
      </c>
      <c r="AG39" s="131">
        <f t="shared" si="37"/>
        <v>473720</v>
      </c>
      <c r="AH39" s="131">
        <f t="shared" si="38"/>
        <v>984.8648648648649</v>
      </c>
      <c r="AI39" s="133"/>
      <c r="AJ39" s="133"/>
      <c r="AK39" s="133"/>
      <c r="AL39" s="133"/>
      <c r="AM39" s="133">
        <v>473720</v>
      </c>
      <c r="AN39" s="133">
        <v>290956</v>
      </c>
      <c r="AO39" s="235">
        <f t="shared" si="39"/>
        <v>0</v>
      </c>
      <c r="AP39" s="137">
        <v>483</v>
      </c>
      <c r="AQ39" s="131">
        <f t="shared" si="40"/>
        <v>504743.48</v>
      </c>
      <c r="AR39" s="131">
        <f t="shared" si="41"/>
        <v>1045.0175569358178</v>
      </c>
      <c r="AS39" s="133"/>
      <c r="AT39" s="133"/>
      <c r="AU39" s="133"/>
      <c r="AV39" s="133"/>
      <c r="AW39" s="133">
        <v>504743.48</v>
      </c>
      <c r="AX39" s="133">
        <v>321376.59000000003</v>
      </c>
      <c r="AY39" s="235">
        <f t="shared" si="42"/>
        <v>0</v>
      </c>
      <c r="AZ39" s="137">
        <v>505</v>
      </c>
      <c r="BA39" s="131">
        <f t="shared" si="43"/>
        <v>573561</v>
      </c>
      <c r="BB39" s="131">
        <f t="shared" si="44"/>
        <v>1135.7643564356435</v>
      </c>
      <c r="BC39" s="133"/>
      <c r="BD39" s="133"/>
      <c r="BE39" s="133"/>
      <c r="BF39" s="133"/>
      <c r="BG39" s="133">
        <v>573561</v>
      </c>
      <c r="BH39" s="133">
        <v>496502</v>
      </c>
      <c r="BI39" s="235">
        <f t="shared" si="45"/>
        <v>0</v>
      </c>
      <c r="BJ39" s="137">
        <v>541</v>
      </c>
      <c r="BK39" s="131">
        <f t="shared" si="46"/>
        <v>551804</v>
      </c>
      <c r="BL39" s="131">
        <f t="shared" si="47"/>
        <v>1019.9704251386322</v>
      </c>
      <c r="BM39" s="133"/>
      <c r="BN39" s="133"/>
      <c r="BO39" s="133"/>
      <c r="BP39" s="133"/>
      <c r="BQ39" s="133">
        <v>551804</v>
      </c>
      <c r="BR39" s="133">
        <v>750662</v>
      </c>
      <c r="BS39" s="235">
        <f t="shared" si="48"/>
        <v>0</v>
      </c>
      <c r="BT39" s="324">
        <v>634</v>
      </c>
      <c r="BU39" s="131">
        <f t="shared" si="49"/>
        <v>858111.36</v>
      </c>
      <c r="BV39" s="131">
        <f t="shared" si="50"/>
        <v>1353.487949526814</v>
      </c>
      <c r="BW39" s="325"/>
      <c r="BX39" s="325"/>
      <c r="BY39" s="325"/>
      <c r="BZ39" s="325"/>
      <c r="CA39" s="325">
        <v>858111.36</v>
      </c>
      <c r="CB39" s="325">
        <v>451338.86</v>
      </c>
      <c r="CC39" s="357">
        <f t="shared" si="51"/>
        <v>0</v>
      </c>
    </row>
    <row r="40" spans="1:81" s="77" customFormat="1" ht="15.95" customHeight="1">
      <c r="A40" s="287" t="s">
        <v>75</v>
      </c>
      <c r="B40" s="137">
        <f>1+2</f>
        <v>3</v>
      </c>
      <c r="C40" s="131">
        <f t="shared" si="52"/>
        <v>9792</v>
      </c>
      <c r="D40" s="131">
        <f t="shared" si="53"/>
        <v>3264</v>
      </c>
      <c r="E40" s="133">
        <f>5049+4743</f>
        <v>9792</v>
      </c>
      <c r="F40" s="133"/>
      <c r="G40" s="133"/>
      <c r="H40" s="133"/>
      <c r="I40" s="133"/>
      <c r="J40" s="133">
        <v>9792</v>
      </c>
      <c r="K40" s="235">
        <f t="shared" si="34"/>
        <v>9792</v>
      </c>
      <c r="L40" s="137">
        <v>3</v>
      </c>
      <c r="M40" s="131">
        <f t="shared" si="54"/>
        <v>6960</v>
      </c>
      <c r="N40" s="131">
        <f t="shared" si="55"/>
        <v>2320</v>
      </c>
      <c r="O40" s="133">
        <v>6960</v>
      </c>
      <c r="P40" s="133"/>
      <c r="Q40" s="133"/>
      <c r="R40" s="133"/>
      <c r="S40" s="133"/>
      <c r="T40" s="133">
        <v>6960</v>
      </c>
      <c r="U40" s="235">
        <f t="shared" si="35"/>
        <v>6960</v>
      </c>
      <c r="V40" s="137">
        <v>3</v>
      </c>
      <c r="W40" s="131">
        <f t="shared" si="56"/>
        <v>7912</v>
      </c>
      <c r="X40" s="131">
        <f t="shared" si="57"/>
        <v>2637.3333333333335</v>
      </c>
      <c r="Y40" s="133">
        <v>7912</v>
      </c>
      <c r="Z40" s="133"/>
      <c r="AA40" s="133"/>
      <c r="AB40" s="133"/>
      <c r="AC40" s="133"/>
      <c r="AD40" s="133">
        <v>7912</v>
      </c>
      <c r="AE40" s="235">
        <f t="shared" si="36"/>
        <v>7912</v>
      </c>
      <c r="AF40" s="137">
        <v>3</v>
      </c>
      <c r="AG40" s="131">
        <f t="shared" si="37"/>
        <v>7611</v>
      </c>
      <c r="AH40" s="131">
        <f t="shared" si="38"/>
        <v>2537</v>
      </c>
      <c r="AI40" s="133">
        <v>7611</v>
      </c>
      <c r="AJ40" s="133"/>
      <c r="AK40" s="133"/>
      <c r="AL40" s="133"/>
      <c r="AM40" s="133"/>
      <c r="AN40" s="133">
        <v>7611</v>
      </c>
      <c r="AO40" s="235">
        <f t="shared" si="39"/>
        <v>7611</v>
      </c>
      <c r="AP40" s="137">
        <v>2</v>
      </c>
      <c r="AQ40" s="131">
        <f t="shared" si="40"/>
        <v>4356</v>
      </c>
      <c r="AR40" s="131">
        <f t="shared" si="41"/>
        <v>2178</v>
      </c>
      <c r="AS40" s="133">
        <v>4356</v>
      </c>
      <c r="AT40" s="133"/>
      <c r="AU40" s="133"/>
      <c r="AV40" s="133"/>
      <c r="AW40" s="133"/>
      <c r="AX40" s="133">
        <v>4356</v>
      </c>
      <c r="AY40" s="235">
        <f t="shared" si="42"/>
        <v>4356</v>
      </c>
      <c r="AZ40" s="137">
        <v>2</v>
      </c>
      <c r="BA40" s="131">
        <f t="shared" si="43"/>
        <v>7626</v>
      </c>
      <c r="BB40" s="131">
        <f t="shared" si="44"/>
        <v>3813</v>
      </c>
      <c r="BC40" s="133">
        <v>7626</v>
      </c>
      <c r="BD40" s="133"/>
      <c r="BE40" s="133"/>
      <c r="BF40" s="133"/>
      <c r="BG40" s="133"/>
      <c r="BH40" s="133">
        <v>7626</v>
      </c>
      <c r="BI40" s="235">
        <f t="shared" si="45"/>
        <v>7626</v>
      </c>
      <c r="BJ40" s="137">
        <v>2</v>
      </c>
      <c r="BK40" s="131">
        <f t="shared" si="46"/>
        <v>8091</v>
      </c>
      <c r="BL40" s="131">
        <f t="shared" si="47"/>
        <v>4045.5</v>
      </c>
      <c r="BM40" s="133">
        <v>8091</v>
      </c>
      <c r="BN40" s="133"/>
      <c r="BO40" s="133"/>
      <c r="BP40" s="133"/>
      <c r="BQ40" s="133"/>
      <c r="BR40" s="133">
        <v>8091</v>
      </c>
      <c r="BS40" s="235">
        <f t="shared" si="48"/>
        <v>8091</v>
      </c>
      <c r="BT40" s="324">
        <v>0</v>
      </c>
      <c r="BU40" s="131">
        <f t="shared" si="49"/>
        <v>0</v>
      </c>
      <c r="BV40" s="131">
        <f t="shared" si="50"/>
        <v>0</v>
      </c>
      <c r="BW40" s="325"/>
      <c r="BX40" s="325"/>
      <c r="BY40" s="325"/>
      <c r="BZ40" s="325"/>
      <c r="CA40" s="325"/>
      <c r="CB40" s="325"/>
      <c r="CC40" s="357">
        <f t="shared" si="51"/>
        <v>0</v>
      </c>
    </row>
    <row r="41" spans="1:81" s="77" customFormat="1" ht="15.95" customHeight="1">
      <c r="A41" s="287" t="s">
        <v>76</v>
      </c>
      <c r="B41" s="137">
        <v>47</v>
      </c>
      <c r="C41" s="131">
        <f t="shared" si="52"/>
        <v>32314</v>
      </c>
      <c r="D41" s="131">
        <f t="shared" si="53"/>
        <v>687.531914893617</v>
      </c>
      <c r="E41" s="133"/>
      <c r="F41" s="133">
        <v>32314</v>
      </c>
      <c r="G41" s="133"/>
      <c r="H41" s="133"/>
      <c r="I41" s="133"/>
      <c r="J41" s="133">
        <v>13650</v>
      </c>
      <c r="K41" s="235">
        <f t="shared" si="34"/>
        <v>0</v>
      </c>
      <c r="L41" s="137">
        <v>64</v>
      </c>
      <c r="M41" s="131">
        <f t="shared" si="54"/>
        <v>32200</v>
      </c>
      <c r="N41" s="131">
        <f t="shared" si="55"/>
        <v>503.125</v>
      </c>
      <c r="O41" s="133"/>
      <c r="P41" s="133">
        <v>32200</v>
      </c>
      <c r="Q41" s="133"/>
      <c r="R41" s="133"/>
      <c r="S41" s="133"/>
      <c r="T41" s="133">
        <v>18500</v>
      </c>
      <c r="U41" s="235">
        <f t="shared" si="35"/>
        <v>0</v>
      </c>
      <c r="V41" s="137">
        <v>91</v>
      </c>
      <c r="W41" s="131">
        <f t="shared" si="56"/>
        <v>47250</v>
      </c>
      <c r="X41" s="131">
        <f t="shared" si="57"/>
        <v>519.23076923076928</v>
      </c>
      <c r="Y41" s="133"/>
      <c r="Z41" s="133">
        <v>47250</v>
      </c>
      <c r="AA41" s="133"/>
      <c r="AB41" s="133"/>
      <c r="AC41" s="133"/>
      <c r="AD41" s="133">
        <v>29350</v>
      </c>
      <c r="AE41" s="235">
        <f t="shared" si="36"/>
        <v>0</v>
      </c>
      <c r="AF41" s="137">
        <v>175</v>
      </c>
      <c r="AG41" s="131">
        <f t="shared" si="37"/>
        <v>89350</v>
      </c>
      <c r="AH41" s="131">
        <f t="shared" si="38"/>
        <v>510.57142857142856</v>
      </c>
      <c r="AI41" s="133"/>
      <c r="AJ41" s="133">
        <v>89350</v>
      </c>
      <c r="AK41" s="133"/>
      <c r="AL41" s="133"/>
      <c r="AM41" s="133"/>
      <c r="AN41" s="133">
        <v>59900</v>
      </c>
      <c r="AO41" s="235">
        <f t="shared" si="39"/>
        <v>0</v>
      </c>
      <c r="AP41" s="137">
        <v>234</v>
      </c>
      <c r="AQ41" s="131">
        <f t="shared" si="40"/>
        <v>171985.38999999998</v>
      </c>
      <c r="AR41" s="131">
        <f t="shared" si="41"/>
        <v>734.98029914529911</v>
      </c>
      <c r="AS41" s="133">
        <v>62072.02</v>
      </c>
      <c r="AT41" s="133">
        <v>109913.37</v>
      </c>
      <c r="AU41" s="133"/>
      <c r="AV41" s="133"/>
      <c r="AW41" s="133"/>
      <c r="AX41" s="133">
        <v>132290.01</v>
      </c>
      <c r="AY41" s="235">
        <f t="shared" si="42"/>
        <v>62072.02</v>
      </c>
      <c r="AZ41" s="137">
        <v>129</v>
      </c>
      <c r="BA41" s="131">
        <f t="shared" si="43"/>
        <v>176737</v>
      </c>
      <c r="BB41" s="131">
        <f t="shared" si="44"/>
        <v>1370.0542635658915</v>
      </c>
      <c r="BC41" s="133">
        <v>122387</v>
      </c>
      <c r="BD41" s="133">
        <v>54350</v>
      </c>
      <c r="BE41" s="133"/>
      <c r="BF41" s="133"/>
      <c r="BG41" s="133"/>
      <c r="BH41" s="133">
        <v>126830</v>
      </c>
      <c r="BI41" s="235">
        <f t="shared" si="45"/>
        <v>122387</v>
      </c>
      <c r="BJ41" s="137">
        <v>94</v>
      </c>
      <c r="BK41" s="131">
        <f t="shared" si="46"/>
        <v>198388</v>
      </c>
      <c r="BL41" s="131">
        <f t="shared" si="47"/>
        <v>2110.5106382978724</v>
      </c>
      <c r="BM41" s="133">
        <v>166238</v>
      </c>
      <c r="BN41" s="133">
        <v>32150</v>
      </c>
      <c r="BO41" s="133"/>
      <c r="BP41" s="133"/>
      <c r="BQ41" s="133"/>
      <c r="BR41" s="133">
        <v>147198</v>
      </c>
      <c r="BS41" s="235">
        <f t="shared" si="48"/>
        <v>147198</v>
      </c>
      <c r="BT41" s="324">
        <v>70</v>
      </c>
      <c r="BU41" s="131">
        <f t="shared" si="49"/>
        <v>232423.5</v>
      </c>
      <c r="BV41" s="131">
        <f t="shared" si="50"/>
        <v>3320.3357142857144</v>
      </c>
      <c r="BW41" s="325">
        <v>215713.5</v>
      </c>
      <c r="BX41" s="325">
        <v>16710</v>
      </c>
      <c r="BY41" s="325"/>
      <c r="BZ41" s="325"/>
      <c r="CA41" s="325"/>
      <c r="CB41" s="325">
        <v>154557.5</v>
      </c>
      <c r="CC41" s="357">
        <f t="shared" si="51"/>
        <v>154557.5</v>
      </c>
    </row>
    <row r="42" spans="1:81" s="77" customFormat="1" ht="15.95" customHeight="1">
      <c r="A42" s="287" t="s">
        <v>77</v>
      </c>
      <c r="B42" s="137">
        <v>186</v>
      </c>
      <c r="C42" s="131">
        <f t="shared" si="52"/>
        <v>629595</v>
      </c>
      <c r="D42" s="131">
        <f t="shared" si="53"/>
        <v>3384.9193548387098</v>
      </c>
      <c r="E42" s="133">
        <v>629595</v>
      </c>
      <c r="F42" s="133"/>
      <c r="G42" s="133"/>
      <c r="H42" s="133"/>
      <c r="I42" s="133"/>
      <c r="J42" s="133">
        <v>240287</v>
      </c>
      <c r="K42" s="235">
        <f t="shared" si="34"/>
        <v>240287</v>
      </c>
      <c r="L42" s="137">
        <v>126</v>
      </c>
      <c r="M42" s="131">
        <f t="shared" si="54"/>
        <v>474760</v>
      </c>
      <c r="N42" s="131">
        <f t="shared" si="55"/>
        <v>3767.936507936508</v>
      </c>
      <c r="O42" s="133">
        <v>474760</v>
      </c>
      <c r="P42" s="133"/>
      <c r="Q42" s="133"/>
      <c r="R42" s="133"/>
      <c r="S42" s="133"/>
      <c r="T42" s="133">
        <v>178080</v>
      </c>
      <c r="U42" s="235">
        <f t="shared" si="35"/>
        <v>178080</v>
      </c>
      <c r="V42" s="137">
        <v>74</v>
      </c>
      <c r="W42" s="131">
        <f t="shared" si="56"/>
        <v>303542</v>
      </c>
      <c r="X42" s="131">
        <f t="shared" si="57"/>
        <v>4101.9189189189192</v>
      </c>
      <c r="Y42" s="133">
        <v>303542</v>
      </c>
      <c r="Z42" s="133"/>
      <c r="AA42" s="133"/>
      <c r="AB42" s="133"/>
      <c r="AC42" s="133"/>
      <c r="AD42" s="133">
        <v>115025</v>
      </c>
      <c r="AE42" s="235">
        <f t="shared" si="36"/>
        <v>115025</v>
      </c>
      <c r="AF42" s="137">
        <v>36</v>
      </c>
      <c r="AG42" s="131">
        <f t="shared" si="37"/>
        <v>157566</v>
      </c>
      <c r="AH42" s="131">
        <f t="shared" si="38"/>
        <v>4376.833333333333</v>
      </c>
      <c r="AI42" s="133">
        <v>157566</v>
      </c>
      <c r="AJ42" s="133"/>
      <c r="AK42" s="133"/>
      <c r="AL42" s="133"/>
      <c r="AM42" s="133"/>
      <c r="AN42" s="133">
        <v>63455</v>
      </c>
      <c r="AO42" s="235">
        <f t="shared" si="39"/>
        <v>63455</v>
      </c>
      <c r="AP42" s="137">
        <v>112</v>
      </c>
      <c r="AQ42" s="131">
        <f t="shared" si="40"/>
        <v>284790.7</v>
      </c>
      <c r="AR42" s="131">
        <f t="shared" si="41"/>
        <v>2542.7741071428572</v>
      </c>
      <c r="AS42" s="133">
        <v>284790.7</v>
      </c>
      <c r="AT42" s="133"/>
      <c r="AU42" s="133"/>
      <c r="AV42" s="133"/>
      <c r="AW42" s="133"/>
      <c r="AX42" s="133">
        <v>93527.92</v>
      </c>
      <c r="AY42" s="235">
        <f t="shared" si="42"/>
        <v>93527.92</v>
      </c>
      <c r="AZ42" s="137">
        <v>0</v>
      </c>
      <c r="BA42" s="131">
        <f t="shared" si="43"/>
        <v>0</v>
      </c>
      <c r="BB42" s="131">
        <f t="shared" si="44"/>
        <v>0</v>
      </c>
      <c r="BC42" s="133"/>
      <c r="BD42" s="133"/>
      <c r="BE42" s="133"/>
      <c r="BF42" s="133"/>
      <c r="BG42" s="133"/>
      <c r="BH42" s="133"/>
      <c r="BI42" s="235">
        <f t="shared" si="45"/>
        <v>0</v>
      </c>
      <c r="BJ42" s="137">
        <v>0</v>
      </c>
      <c r="BK42" s="131">
        <f t="shared" si="46"/>
        <v>0</v>
      </c>
      <c r="BL42" s="131">
        <f t="shared" si="47"/>
        <v>0</v>
      </c>
      <c r="BM42" s="133"/>
      <c r="BN42" s="133"/>
      <c r="BO42" s="133"/>
      <c r="BP42" s="133"/>
      <c r="BQ42" s="133"/>
      <c r="BR42" s="133"/>
      <c r="BS42" s="235">
        <f t="shared" si="48"/>
        <v>0</v>
      </c>
      <c r="BT42" s="324">
        <v>12</v>
      </c>
      <c r="BU42" s="131">
        <f t="shared" si="49"/>
        <v>44248.5</v>
      </c>
      <c r="BV42" s="131">
        <f t="shared" si="50"/>
        <v>3687.375</v>
      </c>
      <c r="BW42" s="325">
        <v>44248.5</v>
      </c>
      <c r="BX42" s="325"/>
      <c r="BY42" s="325"/>
      <c r="BZ42" s="325"/>
      <c r="CA42" s="325"/>
      <c r="CB42" s="325">
        <v>44248.5</v>
      </c>
      <c r="CC42" s="357">
        <f t="shared" si="51"/>
        <v>44248.5</v>
      </c>
    </row>
    <row r="43" spans="1:81" s="77" customFormat="1" ht="15.95" customHeight="1">
      <c r="A43" s="287" t="s">
        <v>190</v>
      </c>
      <c r="B43" s="137"/>
      <c r="C43" s="131"/>
      <c r="D43" s="131"/>
      <c r="E43" s="133"/>
      <c r="F43" s="133"/>
      <c r="G43" s="133"/>
      <c r="H43" s="133"/>
      <c r="I43" s="133"/>
      <c r="J43" s="133"/>
      <c r="K43" s="235">
        <f t="shared" si="34"/>
        <v>0</v>
      </c>
      <c r="L43" s="137"/>
      <c r="M43" s="131"/>
      <c r="N43" s="131"/>
      <c r="O43" s="133"/>
      <c r="P43" s="133"/>
      <c r="Q43" s="133"/>
      <c r="R43" s="133"/>
      <c r="S43" s="133"/>
      <c r="T43" s="133"/>
      <c r="U43" s="235">
        <f t="shared" si="35"/>
        <v>0</v>
      </c>
      <c r="V43" s="137">
        <v>39</v>
      </c>
      <c r="W43" s="131">
        <f t="shared" si="56"/>
        <v>91437</v>
      </c>
      <c r="X43" s="131">
        <f t="shared" si="57"/>
        <v>2344.5384615384614</v>
      </c>
      <c r="Y43" s="133">
        <v>91437</v>
      </c>
      <c r="Z43" s="133"/>
      <c r="AA43" s="133"/>
      <c r="AB43" s="133"/>
      <c r="AC43" s="133"/>
      <c r="AD43" s="133">
        <v>57114</v>
      </c>
      <c r="AE43" s="235">
        <f t="shared" si="36"/>
        <v>57114</v>
      </c>
      <c r="AF43" s="137">
        <v>75</v>
      </c>
      <c r="AG43" s="131">
        <f t="shared" si="37"/>
        <v>128158</v>
      </c>
      <c r="AH43" s="131">
        <f t="shared" si="38"/>
        <v>1708.7733333333333</v>
      </c>
      <c r="AI43" s="133">
        <v>128158</v>
      </c>
      <c r="AJ43" s="133"/>
      <c r="AK43" s="133"/>
      <c r="AL43" s="133"/>
      <c r="AM43" s="133"/>
      <c r="AN43" s="133">
        <v>45750</v>
      </c>
      <c r="AO43" s="235">
        <f t="shared" si="39"/>
        <v>45750</v>
      </c>
      <c r="AP43" s="137">
        <v>33</v>
      </c>
      <c r="AQ43" s="131">
        <f t="shared" si="40"/>
        <v>65134.5</v>
      </c>
      <c r="AR43" s="131">
        <f t="shared" si="41"/>
        <v>1973.7727272727273</v>
      </c>
      <c r="AS43" s="133">
        <v>65134.5</v>
      </c>
      <c r="AT43" s="133"/>
      <c r="AU43" s="133"/>
      <c r="AV43" s="133"/>
      <c r="AW43" s="133"/>
      <c r="AX43" s="133">
        <v>10500</v>
      </c>
      <c r="AY43" s="235">
        <f t="shared" si="42"/>
        <v>10500</v>
      </c>
      <c r="AZ43" s="137">
        <v>41</v>
      </c>
      <c r="BA43" s="131">
        <f t="shared" si="43"/>
        <v>81599</v>
      </c>
      <c r="BB43" s="131">
        <f t="shared" si="44"/>
        <v>1990.219512195122</v>
      </c>
      <c r="BC43" s="133">
        <v>81599</v>
      </c>
      <c r="BD43" s="133"/>
      <c r="BE43" s="133"/>
      <c r="BF43" s="133"/>
      <c r="BG43" s="133"/>
      <c r="BH43" s="133">
        <v>26446</v>
      </c>
      <c r="BI43" s="235">
        <f t="shared" si="45"/>
        <v>26446</v>
      </c>
      <c r="BJ43" s="137">
        <v>10</v>
      </c>
      <c r="BK43" s="131">
        <f t="shared" si="46"/>
        <v>15398</v>
      </c>
      <c r="BL43" s="131">
        <f t="shared" si="47"/>
        <v>1539.8</v>
      </c>
      <c r="BM43" s="133">
        <v>15398</v>
      </c>
      <c r="BN43" s="133"/>
      <c r="BO43" s="133"/>
      <c r="BP43" s="133"/>
      <c r="BQ43" s="133"/>
      <c r="BR43" s="133">
        <v>2750</v>
      </c>
      <c r="BS43" s="235">
        <f t="shared" si="48"/>
        <v>2750</v>
      </c>
      <c r="BT43" s="324">
        <v>0</v>
      </c>
      <c r="BU43" s="131">
        <f t="shared" si="49"/>
        <v>0</v>
      </c>
      <c r="BV43" s="131">
        <f t="shared" si="50"/>
        <v>0</v>
      </c>
      <c r="BW43" s="325"/>
      <c r="BX43" s="325"/>
      <c r="BY43" s="325"/>
      <c r="BZ43" s="325"/>
      <c r="CA43" s="325"/>
      <c r="CB43" s="325"/>
      <c r="CC43" s="357">
        <f t="shared" si="51"/>
        <v>0</v>
      </c>
    </row>
    <row r="44" spans="1:81" s="77" customFormat="1" ht="15.95" customHeight="1">
      <c r="A44" s="287" t="s">
        <v>78</v>
      </c>
      <c r="B44" s="137">
        <v>50</v>
      </c>
      <c r="C44" s="131">
        <f t="shared" si="52"/>
        <v>206550</v>
      </c>
      <c r="D44" s="131">
        <f t="shared" si="53"/>
        <v>4131</v>
      </c>
      <c r="E44" s="133">
        <v>206550</v>
      </c>
      <c r="F44" s="133"/>
      <c r="G44" s="133"/>
      <c r="H44" s="133"/>
      <c r="I44" s="133"/>
      <c r="J44" s="133">
        <v>206550</v>
      </c>
      <c r="K44" s="235">
        <f t="shared" si="34"/>
        <v>206550</v>
      </c>
      <c r="L44" s="137">
        <v>46</v>
      </c>
      <c r="M44" s="131">
        <f t="shared" si="54"/>
        <v>196160</v>
      </c>
      <c r="N44" s="131">
        <f t="shared" si="55"/>
        <v>4264.347826086957</v>
      </c>
      <c r="O44" s="133">
        <v>196160</v>
      </c>
      <c r="P44" s="133"/>
      <c r="Q44" s="133"/>
      <c r="R44" s="133"/>
      <c r="S44" s="133"/>
      <c r="T44" s="133">
        <v>196160</v>
      </c>
      <c r="U44" s="235">
        <f t="shared" si="35"/>
        <v>196160</v>
      </c>
      <c r="V44" s="137">
        <v>48</v>
      </c>
      <c r="W44" s="131">
        <f t="shared" si="56"/>
        <v>226008</v>
      </c>
      <c r="X44" s="131">
        <f t="shared" si="57"/>
        <v>4708.5</v>
      </c>
      <c r="Y44" s="133">
        <v>226008</v>
      </c>
      <c r="Z44" s="133"/>
      <c r="AA44" s="133"/>
      <c r="AB44" s="133"/>
      <c r="AC44" s="133"/>
      <c r="AD44" s="133">
        <v>226008</v>
      </c>
      <c r="AE44" s="235">
        <f t="shared" si="36"/>
        <v>226008</v>
      </c>
      <c r="AF44" s="137">
        <v>55</v>
      </c>
      <c r="AG44" s="131">
        <f t="shared" si="37"/>
        <v>260898</v>
      </c>
      <c r="AH44" s="131">
        <f t="shared" si="38"/>
        <v>4743.6000000000004</v>
      </c>
      <c r="AI44" s="133">
        <v>260898</v>
      </c>
      <c r="AJ44" s="133"/>
      <c r="AK44" s="133"/>
      <c r="AL44" s="133"/>
      <c r="AM44" s="133"/>
      <c r="AN44" s="133">
        <v>260898</v>
      </c>
      <c r="AO44" s="235">
        <f t="shared" si="39"/>
        <v>260898</v>
      </c>
      <c r="AP44" s="137">
        <v>51</v>
      </c>
      <c r="AQ44" s="131">
        <f t="shared" si="40"/>
        <v>245932.5</v>
      </c>
      <c r="AR44" s="131">
        <f t="shared" si="41"/>
        <v>4822.2058823529414</v>
      </c>
      <c r="AS44" s="133">
        <v>245932.5</v>
      </c>
      <c r="AT44" s="133"/>
      <c r="AU44" s="133"/>
      <c r="AV44" s="133"/>
      <c r="AW44" s="133"/>
      <c r="AX44" s="133">
        <v>245932.5</v>
      </c>
      <c r="AY44" s="235">
        <f t="shared" si="42"/>
        <v>245932.5</v>
      </c>
      <c r="AZ44" s="137">
        <v>55</v>
      </c>
      <c r="BA44" s="131">
        <f t="shared" si="43"/>
        <v>282720</v>
      </c>
      <c r="BB44" s="131">
        <f t="shared" si="44"/>
        <v>5140.363636363636</v>
      </c>
      <c r="BC44" s="133">
        <v>282720</v>
      </c>
      <c r="BD44" s="133"/>
      <c r="BE44" s="133"/>
      <c r="BF44" s="133"/>
      <c r="BG44" s="133"/>
      <c r="BH44" s="133">
        <v>282720</v>
      </c>
      <c r="BI44" s="235">
        <f t="shared" si="45"/>
        <v>282720</v>
      </c>
      <c r="BJ44" s="137">
        <v>58</v>
      </c>
      <c r="BK44" s="131">
        <f t="shared" si="46"/>
        <v>291834</v>
      </c>
      <c r="BL44" s="131">
        <f t="shared" si="47"/>
        <v>5031.6206896551721</v>
      </c>
      <c r="BM44" s="133">
        <v>291834</v>
      </c>
      <c r="BN44" s="133"/>
      <c r="BO44" s="133"/>
      <c r="BP44" s="133"/>
      <c r="BQ44" s="133"/>
      <c r="BR44" s="133">
        <v>291834</v>
      </c>
      <c r="BS44" s="235">
        <f t="shared" si="48"/>
        <v>291834</v>
      </c>
      <c r="BT44" s="324">
        <v>65</v>
      </c>
      <c r="BU44" s="131">
        <f t="shared" si="49"/>
        <v>337962</v>
      </c>
      <c r="BV44" s="131">
        <f t="shared" si="50"/>
        <v>5199.4153846153849</v>
      </c>
      <c r="BW44" s="325">
        <v>337962</v>
      </c>
      <c r="BX44" s="325"/>
      <c r="BY44" s="325"/>
      <c r="BZ44" s="325"/>
      <c r="CA44" s="325"/>
      <c r="CB44" s="325">
        <v>337962</v>
      </c>
      <c r="CC44" s="357">
        <f t="shared" si="51"/>
        <v>337962</v>
      </c>
    </row>
    <row r="45" spans="1:81" s="77" customFormat="1" ht="15.95" customHeight="1">
      <c r="A45" s="287" t="s">
        <v>188</v>
      </c>
      <c r="B45" s="137"/>
      <c r="C45" s="131"/>
      <c r="D45" s="131"/>
      <c r="E45" s="133"/>
      <c r="F45" s="133"/>
      <c r="G45" s="133"/>
      <c r="H45" s="133"/>
      <c r="I45" s="133"/>
      <c r="J45" s="133"/>
      <c r="K45" s="235">
        <f t="shared" si="34"/>
        <v>0</v>
      </c>
      <c r="L45" s="137">
        <v>0</v>
      </c>
      <c r="M45" s="131">
        <v>0</v>
      </c>
      <c r="N45" s="131">
        <v>0</v>
      </c>
      <c r="O45" s="133"/>
      <c r="P45" s="133"/>
      <c r="Q45" s="133"/>
      <c r="R45" s="133"/>
      <c r="S45" s="133"/>
      <c r="T45" s="133"/>
      <c r="U45" s="235">
        <f t="shared" si="35"/>
        <v>0</v>
      </c>
      <c r="V45" s="137">
        <v>6</v>
      </c>
      <c r="W45" s="131">
        <f t="shared" si="56"/>
        <v>30100</v>
      </c>
      <c r="X45" s="131">
        <f t="shared" si="57"/>
        <v>5016.666666666667</v>
      </c>
      <c r="Y45" s="133">
        <v>30100</v>
      </c>
      <c r="Z45" s="133"/>
      <c r="AA45" s="133"/>
      <c r="AB45" s="133"/>
      <c r="AC45" s="133"/>
      <c r="AD45" s="133">
        <v>30100</v>
      </c>
      <c r="AE45" s="235">
        <f t="shared" si="36"/>
        <v>30100</v>
      </c>
      <c r="AF45" s="137">
        <v>11</v>
      </c>
      <c r="AG45" s="131">
        <f t="shared" si="37"/>
        <v>56285</v>
      </c>
      <c r="AH45" s="131">
        <f t="shared" si="38"/>
        <v>5116.818181818182</v>
      </c>
      <c r="AI45" s="133">
        <v>56285</v>
      </c>
      <c r="AJ45" s="133"/>
      <c r="AK45" s="133"/>
      <c r="AL45" s="133"/>
      <c r="AM45" s="133"/>
      <c r="AN45" s="133">
        <v>56285</v>
      </c>
      <c r="AO45" s="235">
        <f t="shared" si="39"/>
        <v>56285</v>
      </c>
      <c r="AP45" s="137">
        <v>13</v>
      </c>
      <c r="AQ45" s="131">
        <f t="shared" si="40"/>
        <v>62254.01</v>
      </c>
      <c r="AR45" s="131">
        <f t="shared" si="41"/>
        <v>4788.7700000000004</v>
      </c>
      <c r="AS45" s="133">
        <v>62254.01</v>
      </c>
      <c r="AT45" s="133"/>
      <c r="AU45" s="133"/>
      <c r="AV45" s="133"/>
      <c r="AW45" s="133"/>
      <c r="AX45" s="133">
        <v>62254.01</v>
      </c>
      <c r="AY45" s="235">
        <f t="shared" si="42"/>
        <v>62254.01</v>
      </c>
      <c r="AZ45" s="137">
        <v>12</v>
      </c>
      <c r="BA45" s="131">
        <f t="shared" si="43"/>
        <v>57102</v>
      </c>
      <c r="BB45" s="131">
        <f t="shared" si="44"/>
        <v>4758.5</v>
      </c>
      <c r="BC45" s="133">
        <v>57102</v>
      </c>
      <c r="BD45" s="133"/>
      <c r="BE45" s="133"/>
      <c r="BF45" s="133"/>
      <c r="BG45" s="133"/>
      <c r="BH45" s="133">
        <v>57102</v>
      </c>
      <c r="BI45" s="235">
        <f t="shared" si="45"/>
        <v>57102</v>
      </c>
      <c r="BJ45" s="137">
        <v>11</v>
      </c>
      <c r="BK45" s="131">
        <f t="shared" si="46"/>
        <v>60450</v>
      </c>
      <c r="BL45" s="131">
        <f t="shared" si="47"/>
        <v>5495.454545454545</v>
      </c>
      <c r="BM45" s="133">
        <v>60450</v>
      </c>
      <c r="BN45" s="133"/>
      <c r="BO45" s="133"/>
      <c r="BP45" s="133"/>
      <c r="BQ45" s="133"/>
      <c r="BR45" s="133">
        <v>60450</v>
      </c>
      <c r="BS45" s="235">
        <f t="shared" si="48"/>
        <v>60450</v>
      </c>
      <c r="BT45" s="324">
        <v>11</v>
      </c>
      <c r="BU45" s="131">
        <f t="shared" si="49"/>
        <v>54126</v>
      </c>
      <c r="BV45" s="131">
        <f t="shared" si="50"/>
        <v>4920.545454545455</v>
      </c>
      <c r="BW45" s="325">
        <v>54126</v>
      </c>
      <c r="BX45" s="325"/>
      <c r="BY45" s="325"/>
      <c r="BZ45" s="325"/>
      <c r="CA45" s="325"/>
      <c r="CB45" s="325">
        <v>54126</v>
      </c>
      <c r="CC45" s="357">
        <f t="shared" si="51"/>
        <v>54126</v>
      </c>
    </row>
    <row r="46" spans="1:81" s="77" customFormat="1" ht="15.95" customHeight="1">
      <c r="A46" s="287" t="s">
        <v>79</v>
      </c>
      <c r="B46" s="137">
        <v>98</v>
      </c>
      <c r="C46" s="131">
        <f t="shared" si="52"/>
        <v>221088</v>
      </c>
      <c r="D46" s="131">
        <f t="shared" si="53"/>
        <v>2256</v>
      </c>
      <c r="E46" s="133">
        <v>221088</v>
      </c>
      <c r="F46" s="133"/>
      <c r="G46" s="133"/>
      <c r="H46" s="133"/>
      <c r="I46" s="133"/>
      <c r="J46" s="133">
        <v>135941</v>
      </c>
      <c r="K46" s="235">
        <f t="shared" si="34"/>
        <v>135941</v>
      </c>
      <c r="L46" s="137">
        <v>58</v>
      </c>
      <c r="M46" s="131">
        <f t="shared" si="54"/>
        <v>139286</v>
      </c>
      <c r="N46" s="131">
        <f t="shared" si="55"/>
        <v>2401.4827586206898</v>
      </c>
      <c r="O46" s="133">
        <v>139286</v>
      </c>
      <c r="P46" s="133"/>
      <c r="Q46" s="133"/>
      <c r="R46" s="133"/>
      <c r="S46" s="133"/>
      <c r="T46" s="133">
        <v>89440</v>
      </c>
      <c r="U46" s="235">
        <f t="shared" si="35"/>
        <v>89440</v>
      </c>
      <c r="V46" s="137">
        <v>30</v>
      </c>
      <c r="W46" s="131">
        <f t="shared" si="56"/>
        <v>70692</v>
      </c>
      <c r="X46" s="131">
        <f t="shared" si="57"/>
        <v>2356.4</v>
      </c>
      <c r="Y46" s="133">
        <v>70692</v>
      </c>
      <c r="Z46" s="133"/>
      <c r="AA46" s="133"/>
      <c r="AB46" s="133"/>
      <c r="AC46" s="133"/>
      <c r="AD46" s="133">
        <v>43946</v>
      </c>
      <c r="AE46" s="235">
        <f t="shared" si="36"/>
        <v>43946</v>
      </c>
      <c r="AF46" s="137">
        <v>18</v>
      </c>
      <c r="AG46" s="131">
        <f t="shared" si="37"/>
        <v>43983</v>
      </c>
      <c r="AH46" s="131">
        <f t="shared" si="38"/>
        <v>2443.5</v>
      </c>
      <c r="AI46" s="133">
        <v>43983</v>
      </c>
      <c r="AJ46" s="133"/>
      <c r="AK46" s="133"/>
      <c r="AL46" s="133"/>
      <c r="AM46" s="133"/>
      <c r="AN46" s="133">
        <v>27435</v>
      </c>
      <c r="AO46" s="235">
        <f t="shared" si="39"/>
        <v>27435</v>
      </c>
      <c r="AP46" s="137">
        <v>44</v>
      </c>
      <c r="AQ46" s="131">
        <f t="shared" si="40"/>
        <v>132530.72</v>
      </c>
      <c r="AR46" s="131">
        <f t="shared" si="41"/>
        <v>3012.0618181818181</v>
      </c>
      <c r="AS46" s="133">
        <v>132530.72</v>
      </c>
      <c r="AT46" s="133"/>
      <c r="AU46" s="133"/>
      <c r="AV46" s="133"/>
      <c r="AW46" s="133"/>
      <c r="AX46" s="133">
        <v>72087</v>
      </c>
      <c r="AY46" s="235">
        <f t="shared" si="42"/>
        <v>72087</v>
      </c>
      <c r="AZ46" s="137">
        <v>51</v>
      </c>
      <c r="BA46" s="131">
        <f t="shared" si="43"/>
        <v>156419</v>
      </c>
      <c r="BB46" s="131">
        <f t="shared" si="44"/>
        <v>3067.0392156862745</v>
      </c>
      <c r="BC46" s="133">
        <v>156419</v>
      </c>
      <c r="BD46" s="133"/>
      <c r="BE46" s="133"/>
      <c r="BF46" s="133"/>
      <c r="BG46" s="133"/>
      <c r="BH46" s="133">
        <v>73005</v>
      </c>
      <c r="BI46" s="235">
        <f t="shared" si="45"/>
        <v>73005</v>
      </c>
      <c r="BJ46" s="137">
        <v>98</v>
      </c>
      <c r="BK46" s="131">
        <f t="shared" si="46"/>
        <v>260481</v>
      </c>
      <c r="BL46" s="131">
        <f t="shared" si="47"/>
        <v>2657.9693877551022</v>
      </c>
      <c r="BM46" s="133">
        <v>260481</v>
      </c>
      <c r="BN46" s="133"/>
      <c r="BO46" s="133"/>
      <c r="BP46" s="133"/>
      <c r="BQ46" s="133"/>
      <c r="BR46" s="133">
        <v>131967</v>
      </c>
      <c r="BS46" s="235">
        <f t="shared" si="48"/>
        <v>131967</v>
      </c>
      <c r="BT46" s="324">
        <v>73</v>
      </c>
      <c r="BU46" s="131">
        <f t="shared" si="49"/>
        <v>214411</v>
      </c>
      <c r="BV46" s="131">
        <f t="shared" si="50"/>
        <v>2937.1369863013697</v>
      </c>
      <c r="BW46" s="325">
        <v>214411</v>
      </c>
      <c r="BX46" s="325"/>
      <c r="BY46" s="325"/>
      <c r="BZ46" s="325"/>
      <c r="CA46" s="325"/>
      <c r="CB46" s="325">
        <v>108205</v>
      </c>
      <c r="CC46" s="357">
        <f t="shared" si="51"/>
        <v>108205</v>
      </c>
    </row>
    <row r="47" spans="1:81" s="77" customFormat="1" ht="15.95" customHeight="1">
      <c r="A47" s="287" t="s">
        <v>67</v>
      </c>
      <c r="B47" s="137">
        <f>300+59+2</f>
        <v>361</v>
      </c>
      <c r="C47" s="131">
        <f t="shared" si="52"/>
        <v>682349</v>
      </c>
      <c r="D47" s="131">
        <f t="shared" si="53"/>
        <v>1890.1634349030471</v>
      </c>
      <c r="E47" s="133"/>
      <c r="F47" s="133"/>
      <c r="G47" s="133">
        <v>1434</v>
      </c>
      <c r="H47" s="133">
        <v>1998</v>
      </c>
      <c r="I47" s="133">
        <f>584419+94498</f>
        <v>678917</v>
      </c>
      <c r="J47" s="133">
        <f>397721+94498+4832</f>
        <v>497051</v>
      </c>
      <c r="K47" s="235">
        <f t="shared" si="34"/>
        <v>0</v>
      </c>
      <c r="L47" s="137">
        <v>339</v>
      </c>
      <c r="M47" s="131">
        <f t="shared" si="54"/>
        <v>695940</v>
      </c>
      <c r="N47" s="131">
        <f t="shared" si="55"/>
        <v>2052.9203539823011</v>
      </c>
      <c r="O47" s="133"/>
      <c r="P47" s="133"/>
      <c r="Q47" s="133">
        <v>5152</v>
      </c>
      <c r="R47" s="133"/>
      <c r="S47" s="133">
        <v>690788</v>
      </c>
      <c r="T47" s="133">
        <v>674048</v>
      </c>
      <c r="U47" s="235">
        <f t="shared" si="35"/>
        <v>0</v>
      </c>
      <c r="V47" s="77">
        <v>307</v>
      </c>
      <c r="W47" s="131">
        <f t="shared" si="56"/>
        <v>701815</v>
      </c>
      <c r="X47" s="131">
        <f t="shared" si="57"/>
        <v>2286.0423452768728</v>
      </c>
      <c r="Y47" s="133"/>
      <c r="Z47" s="133"/>
      <c r="AA47" s="133">
        <v>17593</v>
      </c>
      <c r="AB47" s="133"/>
      <c r="AC47" s="133">
        <v>684222</v>
      </c>
      <c r="AD47" s="133">
        <v>473701</v>
      </c>
      <c r="AE47" s="235">
        <f t="shared" si="36"/>
        <v>0</v>
      </c>
      <c r="AF47" s="137">
        <v>29</v>
      </c>
      <c r="AG47" s="131">
        <f t="shared" si="37"/>
        <v>46998</v>
      </c>
      <c r="AH47" s="131">
        <f t="shared" si="38"/>
        <v>1620.6206896551723</v>
      </c>
      <c r="AI47" s="133"/>
      <c r="AJ47" s="133"/>
      <c r="AK47" s="133"/>
      <c r="AL47" s="133"/>
      <c r="AM47" s="133">
        <v>46998</v>
      </c>
      <c r="AN47" s="133">
        <v>43853</v>
      </c>
      <c r="AO47" s="235">
        <f t="shared" si="39"/>
        <v>0</v>
      </c>
      <c r="AP47" s="137">
        <v>51</v>
      </c>
      <c r="AQ47" s="131">
        <f t="shared" si="40"/>
        <v>116795.7</v>
      </c>
      <c r="AR47" s="131">
        <f t="shared" si="41"/>
        <v>2290.1117647058823</v>
      </c>
      <c r="AS47" s="133"/>
      <c r="AT47" s="133"/>
      <c r="AU47" s="133"/>
      <c r="AV47" s="133"/>
      <c r="AW47" s="133">
        <v>116795.7</v>
      </c>
      <c r="AX47" s="133">
        <v>111108.7</v>
      </c>
      <c r="AY47" s="235">
        <f t="shared" si="42"/>
        <v>0</v>
      </c>
      <c r="AZ47" s="137">
        <v>39</v>
      </c>
      <c r="BA47" s="131">
        <f t="shared" si="43"/>
        <v>66314</v>
      </c>
      <c r="BB47" s="131">
        <f t="shared" si="44"/>
        <v>1700.3589743589744</v>
      </c>
      <c r="BC47" s="133"/>
      <c r="BD47" s="133"/>
      <c r="BE47" s="133"/>
      <c r="BF47" s="133"/>
      <c r="BG47" s="133">
        <v>66314</v>
      </c>
      <c r="BH47" s="133">
        <v>50814</v>
      </c>
      <c r="BI47" s="235">
        <f t="shared" si="45"/>
        <v>0</v>
      </c>
      <c r="BJ47" s="137">
        <v>46</v>
      </c>
      <c r="BK47" s="131">
        <f t="shared" si="46"/>
        <v>93672</v>
      </c>
      <c r="BL47" s="131">
        <f t="shared" si="47"/>
        <v>2036.3478260869565</v>
      </c>
      <c r="BM47" s="133"/>
      <c r="BN47" s="133"/>
      <c r="BO47" s="133"/>
      <c r="BP47" s="133"/>
      <c r="BQ47" s="133">
        <v>93672</v>
      </c>
      <c r="BR47" s="133">
        <v>82370</v>
      </c>
      <c r="BS47" s="235">
        <f t="shared" si="48"/>
        <v>0</v>
      </c>
      <c r="BT47" s="324">
        <v>38</v>
      </c>
      <c r="BU47" s="131">
        <f t="shared" si="49"/>
        <v>87035.21</v>
      </c>
      <c r="BV47" s="131">
        <f t="shared" si="50"/>
        <v>2290.4002631578951</v>
      </c>
      <c r="BW47" s="325"/>
      <c r="BX47" s="325"/>
      <c r="BY47" s="325"/>
      <c r="BZ47" s="325"/>
      <c r="CA47" s="325">
        <v>87035.21</v>
      </c>
      <c r="CB47" s="325">
        <v>63546</v>
      </c>
      <c r="CC47" s="357">
        <f t="shared" si="51"/>
        <v>0</v>
      </c>
    </row>
    <row r="48" spans="1:81" s="77" customFormat="1" ht="15.95" customHeight="1">
      <c r="A48" s="287" t="s">
        <v>189</v>
      </c>
      <c r="B48" s="137"/>
      <c r="C48" s="131">
        <f>SUM(E48:I48)</f>
        <v>0</v>
      </c>
      <c r="D48" s="131">
        <f>IFERROR(C48/B48,0)</f>
        <v>0</v>
      </c>
      <c r="E48" s="133"/>
      <c r="F48" s="133"/>
      <c r="G48" s="133"/>
      <c r="H48" s="133"/>
      <c r="I48" s="133"/>
      <c r="J48" s="133"/>
      <c r="K48" s="235">
        <f t="shared" si="34"/>
        <v>0</v>
      </c>
      <c r="L48" s="137"/>
      <c r="M48" s="131">
        <f>SUM(O48:S48)</f>
        <v>0</v>
      </c>
      <c r="N48" s="131">
        <f>IFERROR(M48/L48,0)</f>
        <v>0</v>
      </c>
      <c r="O48" s="133"/>
      <c r="P48" s="133"/>
      <c r="Q48" s="133"/>
      <c r="R48" s="133"/>
      <c r="S48" s="133"/>
      <c r="T48" s="133"/>
      <c r="U48" s="235">
        <f t="shared" si="35"/>
        <v>0</v>
      </c>
      <c r="V48" s="77">
        <v>5</v>
      </c>
      <c r="W48" s="131">
        <f t="shared" si="56"/>
        <v>23736</v>
      </c>
      <c r="X48" s="131">
        <f t="shared" si="57"/>
        <v>4747.2</v>
      </c>
      <c r="Y48" s="133">
        <v>23736</v>
      </c>
      <c r="Z48" s="133"/>
      <c r="AA48" s="133"/>
      <c r="AB48" s="133"/>
      <c r="AC48" s="133"/>
      <c r="AD48" s="133">
        <v>20984</v>
      </c>
      <c r="AE48" s="235">
        <f t="shared" si="36"/>
        <v>20984</v>
      </c>
      <c r="AF48" s="137">
        <v>1</v>
      </c>
      <c r="AG48" s="131">
        <f t="shared" si="37"/>
        <v>5664</v>
      </c>
      <c r="AH48" s="131">
        <f t="shared" si="38"/>
        <v>5664</v>
      </c>
      <c r="AI48" s="133">
        <v>5664</v>
      </c>
      <c r="AJ48" s="133"/>
      <c r="AK48" s="133"/>
      <c r="AL48" s="133"/>
      <c r="AM48" s="133"/>
      <c r="AN48" s="133">
        <v>5664</v>
      </c>
      <c r="AO48" s="235">
        <f t="shared" si="39"/>
        <v>5664</v>
      </c>
      <c r="AP48" s="137">
        <v>1</v>
      </c>
      <c r="AQ48" s="131">
        <f t="shared" si="40"/>
        <v>5445</v>
      </c>
      <c r="AR48" s="131">
        <f t="shared" si="41"/>
        <v>5445</v>
      </c>
      <c r="AS48" s="133">
        <v>5445</v>
      </c>
      <c r="AT48" s="133"/>
      <c r="AU48" s="133"/>
      <c r="AV48" s="133"/>
      <c r="AW48" s="133"/>
      <c r="AX48" s="133">
        <v>5445</v>
      </c>
      <c r="AY48" s="235">
        <f t="shared" si="42"/>
        <v>5445</v>
      </c>
      <c r="AZ48" s="137">
        <v>1</v>
      </c>
      <c r="BA48" s="131">
        <f t="shared" si="43"/>
        <v>5766</v>
      </c>
      <c r="BB48" s="131">
        <f t="shared" si="44"/>
        <v>5766</v>
      </c>
      <c r="BC48" s="133">
        <v>5766</v>
      </c>
      <c r="BD48" s="133"/>
      <c r="BE48" s="133"/>
      <c r="BF48" s="133"/>
      <c r="BG48" s="133"/>
      <c r="BH48" s="133">
        <v>5766</v>
      </c>
      <c r="BI48" s="235">
        <f t="shared" si="45"/>
        <v>5766</v>
      </c>
      <c r="BJ48" s="137">
        <v>0</v>
      </c>
      <c r="BK48" s="131">
        <f t="shared" si="46"/>
        <v>0</v>
      </c>
      <c r="BL48" s="131">
        <f t="shared" si="47"/>
        <v>0</v>
      </c>
      <c r="BM48" s="133"/>
      <c r="BN48" s="133"/>
      <c r="BO48" s="133"/>
      <c r="BP48" s="133"/>
      <c r="BQ48" s="133"/>
      <c r="BR48" s="133"/>
      <c r="BS48" s="235">
        <f t="shared" si="48"/>
        <v>0</v>
      </c>
      <c r="BT48" s="324">
        <v>0</v>
      </c>
      <c r="BU48" s="131">
        <f t="shared" si="49"/>
        <v>0</v>
      </c>
      <c r="BV48" s="131">
        <f t="shared" si="50"/>
        <v>0</v>
      </c>
      <c r="BW48" s="325"/>
      <c r="BX48" s="325"/>
      <c r="BY48" s="325"/>
      <c r="BZ48" s="325"/>
      <c r="CA48" s="325"/>
      <c r="CB48" s="325"/>
      <c r="CC48" s="357">
        <f t="shared" si="51"/>
        <v>0</v>
      </c>
    </row>
    <row r="49" spans="1:81" s="77" customFormat="1" ht="15.95" customHeight="1">
      <c r="A49" s="287" t="s">
        <v>200</v>
      </c>
      <c r="B49" s="137"/>
      <c r="C49" s="131">
        <f>SUM(E49:I49)</f>
        <v>0</v>
      </c>
      <c r="D49" s="131">
        <f>IFERROR(C49/B49,0)</f>
        <v>0</v>
      </c>
      <c r="E49" s="133"/>
      <c r="F49" s="133"/>
      <c r="G49" s="133"/>
      <c r="H49" s="133"/>
      <c r="I49" s="133"/>
      <c r="J49" s="133"/>
      <c r="K49" s="235">
        <f t="shared" si="34"/>
        <v>0</v>
      </c>
      <c r="L49" s="137"/>
      <c r="M49" s="131">
        <f>SUM(O49:S49)</f>
        <v>0</v>
      </c>
      <c r="N49" s="131">
        <f>IFERROR(M49/L49,0)</f>
        <v>0</v>
      </c>
      <c r="O49" s="133"/>
      <c r="P49" s="133"/>
      <c r="Q49" s="133"/>
      <c r="R49" s="133"/>
      <c r="S49" s="133"/>
      <c r="T49" s="133"/>
      <c r="U49" s="235">
        <f t="shared" si="35"/>
        <v>0</v>
      </c>
      <c r="V49" s="137"/>
      <c r="W49" s="131">
        <f t="shared" si="56"/>
        <v>0</v>
      </c>
      <c r="X49" s="131">
        <f t="shared" si="57"/>
        <v>0</v>
      </c>
      <c r="Y49" s="133"/>
      <c r="Z49" s="133"/>
      <c r="AA49" s="133"/>
      <c r="AB49" s="133"/>
      <c r="AC49" s="133"/>
      <c r="AD49" s="133"/>
      <c r="AE49" s="235">
        <f t="shared" si="36"/>
        <v>0</v>
      </c>
      <c r="AF49" s="137">
        <v>66</v>
      </c>
      <c r="AG49" s="131">
        <f t="shared" si="37"/>
        <v>87567</v>
      </c>
      <c r="AH49" s="131">
        <f t="shared" si="38"/>
        <v>1326.7727272727273</v>
      </c>
      <c r="AI49" s="133">
        <v>87567</v>
      </c>
      <c r="AJ49" s="133"/>
      <c r="AK49" s="133"/>
      <c r="AL49" s="133"/>
      <c r="AM49" s="133"/>
      <c r="AN49" s="133">
        <v>33651</v>
      </c>
      <c r="AO49" s="235">
        <f t="shared" si="39"/>
        <v>33651</v>
      </c>
      <c r="AP49" s="137">
        <v>118</v>
      </c>
      <c r="AQ49" s="131">
        <f t="shared" si="40"/>
        <v>154327.19</v>
      </c>
      <c r="AR49" s="131">
        <f t="shared" si="41"/>
        <v>1307.8575423728814</v>
      </c>
      <c r="AS49" s="133">
        <v>154327.19</v>
      </c>
      <c r="AT49" s="133"/>
      <c r="AU49" s="133"/>
      <c r="AV49" s="133"/>
      <c r="AW49" s="133"/>
      <c r="AX49" s="133">
        <v>67224.53</v>
      </c>
      <c r="AY49" s="235">
        <f t="shared" si="42"/>
        <v>67224.53</v>
      </c>
      <c r="AZ49" s="137">
        <v>2</v>
      </c>
      <c r="BA49" s="131">
        <f t="shared" si="43"/>
        <v>2336</v>
      </c>
      <c r="BB49" s="131">
        <f t="shared" si="44"/>
        <v>1168</v>
      </c>
      <c r="BC49" s="133">
        <v>2336</v>
      </c>
      <c r="BD49" s="133"/>
      <c r="BE49" s="133"/>
      <c r="BF49" s="133"/>
      <c r="BG49" s="133"/>
      <c r="BH49" s="133"/>
      <c r="BI49" s="235">
        <f t="shared" si="45"/>
        <v>0</v>
      </c>
      <c r="BJ49" s="137">
        <v>0</v>
      </c>
      <c r="BK49" s="131">
        <f t="shared" si="46"/>
        <v>0</v>
      </c>
      <c r="BL49" s="131">
        <f t="shared" si="47"/>
        <v>0</v>
      </c>
      <c r="BM49" s="133"/>
      <c r="BN49" s="133"/>
      <c r="BO49" s="133"/>
      <c r="BP49" s="133"/>
      <c r="BQ49" s="133"/>
      <c r="BR49" s="133"/>
      <c r="BS49" s="235">
        <f t="shared" si="48"/>
        <v>0</v>
      </c>
      <c r="BT49" s="324">
        <v>56</v>
      </c>
      <c r="BU49" s="131">
        <f t="shared" si="49"/>
        <v>73133</v>
      </c>
      <c r="BV49" s="131">
        <f t="shared" si="50"/>
        <v>1305.9464285714287</v>
      </c>
      <c r="BW49" s="325">
        <v>73133</v>
      </c>
      <c r="BX49" s="325"/>
      <c r="BY49" s="325"/>
      <c r="BZ49" s="325"/>
      <c r="CA49" s="325"/>
      <c r="CB49" s="325">
        <v>28766.5</v>
      </c>
      <c r="CC49" s="357">
        <f t="shared" si="51"/>
        <v>28766.5</v>
      </c>
    </row>
    <row r="50" spans="1:81" s="77" customFormat="1" ht="15.95" customHeight="1">
      <c r="A50" s="287" t="s">
        <v>206</v>
      </c>
      <c r="B50" s="137"/>
      <c r="C50" s="131">
        <f>SUM(E50:I50)</f>
        <v>0</v>
      </c>
      <c r="D50" s="131">
        <f t="shared" ref="D50:D59" si="58">IFERROR(C50/B50,0)</f>
        <v>0</v>
      </c>
      <c r="E50" s="133"/>
      <c r="F50" s="133"/>
      <c r="G50" s="133"/>
      <c r="H50" s="133"/>
      <c r="I50" s="133"/>
      <c r="J50" s="133"/>
      <c r="K50" s="235">
        <f t="shared" si="34"/>
        <v>0</v>
      </c>
      <c r="L50" s="137"/>
      <c r="M50" s="131">
        <f t="shared" ref="M50:M59" si="59">SUM(O50:S50)</f>
        <v>0</v>
      </c>
      <c r="N50" s="131">
        <f t="shared" ref="N50:N59" si="60">IFERROR(M50/L50,0)</f>
        <v>0</v>
      </c>
      <c r="O50" s="133"/>
      <c r="P50" s="133"/>
      <c r="Q50" s="133"/>
      <c r="R50" s="133"/>
      <c r="S50" s="133"/>
      <c r="T50" s="133"/>
      <c r="U50" s="235">
        <f t="shared" si="35"/>
        <v>0</v>
      </c>
      <c r="V50" s="137"/>
      <c r="W50" s="131">
        <f t="shared" ref="W50:W59" si="61">SUM(Y50:AC50)</f>
        <v>0</v>
      </c>
      <c r="X50" s="131">
        <f t="shared" ref="X50:X59" si="62">IFERROR(W50/V50,0)</f>
        <v>0</v>
      </c>
      <c r="Y50" s="133"/>
      <c r="Z50" s="133"/>
      <c r="AA50" s="133"/>
      <c r="AB50" s="133"/>
      <c r="AC50" s="133"/>
      <c r="AD50" s="133"/>
      <c r="AE50" s="235">
        <f t="shared" si="36"/>
        <v>0</v>
      </c>
      <c r="AF50" s="137"/>
      <c r="AG50" s="131">
        <f t="shared" ref="AG50:AG59" si="63">SUM(AI50:AM50)</f>
        <v>0</v>
      </c>
      <c r="AH50" s="131">
        <f t="shared" ref="AH50:AH59" si="64">IFERROR(AG50/AF50,0)</f>
        <v>0</v>
      </c>
      <c r="AI50" s="133"/>
      <c r="AJ50" s="133"/>
      <c r="AK50" s="133"/>
      <c r="AL50" s="133"/>
      <c r="AM50" s="133"/>
      <c r="AN50" s="133"/>
      <c r="AO50" s="235">
        <f t="shared" si="39"/>
        <v>0</v>
      </c>
      <c r="AP50" s="137">
        <v>1</v>
      </c>
      <c r="AQ50" s="131">
        <f t="shared" si="40"/>
        <v>2994.75</v>
      </c>
      <c r="AR50" s="131">
        <f t="shared" si="41"/>
        <v>2994.75</v>
      </c>
      <c r="AS50" s="133">
        <v>2994.75</v>
      </c>
      <c r="AT50" s="133"/>
      <c r="AU50" s="133"/>
      <c r="AV50" s="133"/>
      <c r="AW50" s="133"/>
      <c r="AX50" s="133">
        <v>2994.75</v>
      </c>
      <c r="AY50" s="235">
        <f t="shared" si="42"/>
        <v>2994.75</v>
      </c>
      <c r="AZ50" s="137"/>
      <c r="BA50" s="131">
        <f t="shared" si="43"/>
        <v>0</v>
      </c>
      <c r="BB50" s="131">
        <f t="shared" si="44"/>
        <v>0</v>
      </c>
      <c r="BC50" s="133"/>
      <c r="BD50" s="133"/>
      <c r="BE50" s="133"/>
      <c r="BF50" s="133"/>
      <c r="BG50" s="133"/>
      <c r="BH50" s="133"/>
      <c r="BI50" s="235">
        <f t="shared" si="45"/>
        <v>0</v>
      </c>
      <c r="BJ50" s="137">
        <v>0</v>
      </c>
      <c r="BK50" s="131">
        <f t="shared" si="46"/>
        <v>0</v>
      </c>
      <c r="BL50" s="131">
        <f t="shared" si="47"/>
        <v>0</v>
      </c>
      <c r="BM50" s="133"/>
      <c r="BN50" s="133"/>
      <c r="BO50" s="133"/>
      <c r="BP50" s="133"/>
      <c r="BQ50" s="133"/>
      <c r="BR50" s="133"/>
      <c r="BS50" s="235">
        <f t="shared" si="48"/>
        <v>0</v>
      </c>
      <c r="BT50" s="324">
        <v>0</v>
      </c>
      <c r="BU50" s="131">
        <f t="shared" si="49"/>
        <v>0</v>
      </c>
      <c r="BV50" s="131">
        <f t="shared" si="50"/>
        <v>0</v>
      </c>
      <c r="BW50" s="325"/>
      <c r="BX50" s="325"/>
      <c r="BY50" s="325"/>
      <c r="BZ50" s="325"/>
      <c r="CA50" s="325"/>
      <c r="CB50" s="325"/>
      <c r="CC50" s="357">
        <f t="shared" si="51"/>
        <v>0</v>
      </c>
    </row>
    <row r="51" spans="1:81" s="77" customFormat="1" ht="15.95" customHeight="1">
      <c r="A51" s="287" t="s">
        <v>229</v>
      </c>
      <c r="B51" s="137"/>
      <c r="C51" s="131">
        <f t="shared" ref="C51:C59" si="65">SUM(E51:I51)</f>
        <v>0</v>
      </c>
      <c r="D51" s="131">
        <f t="shared" si="58"/>
        <v>0</v>
      </c>
      <c r="E51" s="133"/>
      <c r="F51" s="133"/>
      <c r="G51" s="133"/>
      <c r="H51" s="133"/>
      <c r="I51" s="133"/>
      <c r="J51" s="133"/>
      <c r="K51" s="235">
        <f t="shared" si="34"/>
        <v>0</v>
      </c>
      <c r="L51" s="137"/>
      <c r="M51" s="131">
        <f t="shared" si="59"/>
        <v>0</v>
      </c>
      <c r="N51" s="131">
        <f t="shared" si="60"/>
        <v>0</v>
      </c>
      <c r="O51" s="133"/>
      <c r="P51" s="133"/>
      <c r="Q51" s="133"/>
      <c r="R51" s="133"/>
      <c r="S51" s="133"/>
      <c r="T51" s="133"/>
      <c r="U51" s="235">
        <f t="shared" si="35"/>
        <v>0</v>
      </c>
      <c r="V51" s="137"/>
      <c r="W51" s="131">
        <f t="shared" si="61"/>
        <v>0</v>
      </c>
      <c r="X51" s="131">
        <f t="shared" si="62"/>
        <v>0</v>
      </c>
      <c r="Y51" s="133"/>
      <c r="Z51" s="133"/>
      <c r="AA51" s="133"/>
      <c r="AB51" s="133"/>
      <c r="AC51" s="133"/>
      <c r="AD51" s="133"/>
      <c r="AE51" s="235">
        <f t="shared" si="36"/>
        <v>0</v>
      </c>
      <c r="AF51" s="137"/>
      <c r="AG51" s="131">
        <f t="shared" si="63"/>
        <v>0</v>
      </c>
      <c r="AH51" s="131">
        <f t="shared" si="64"/>
        <v>0</v>
      </c>
      <c r="AI51" s="133"/>
      <c r="AJ51" s="133"/>
      <c r="AK51" s="133"/>
      <c r="AL51" s="133"/>
      <c r="AM51" s="133"/>
      <c r="AN51" s="133"/>
      <c r="AO51" s="235">
        <f t="shared" si="39"/>
        <v>0</v>
      </c>
      <c r="AP51" s="137"/>
      <c r="AQ51" s="131">
        <f t="shared" si="40"/>
        <v>0</v>
      </c>
      <c r="AR51" s="131">
        <f t="shared" si="41"/>
        <v>0</v>
      </c>
      <c r="AS51" s="133"/>
      <c r="AT51" s="133"/>
      <c r="AU51" s="133"/>
      <c r="AV51" s="133"/>
      <c r="AW51" s="133"/>
      <c r="AX51" s="133"/>
      <c r="AY51" s="235">
        <f t="shared" si="42"/>
        <v>0</v>
      </c>
      <c r="AZ51" s="137">
        <f>117+120</f>
        <v>237</v>
      </c>
      <c r="BA51" s="131">
        <f>347686+152314</f>
        <v>500000</v>
      </c>
      <c r="BB51" s="131">
        <f t="shared" si="44"/>
        <v>2109.7046413502107</v>
      </c>
      <c r="BC51" s="133"/>
      <c r="BD51" s="133"/>
      <c r="BE51" s="133"/>
      <c r="BF51" s="133"/>
      <c r="BG51" s="133">
        <f>347686+152314</f>
        <v>500000</v>
      </c>
      <c r="BH51" s="133">
        <f>103788+54227</f>
        <v>158015</v>
      </c>
      <c r="BI51" s="235">
        <f>IF(BH51=0,0,(IF(BC51&lt;=BH51,BC51,BH51)))</f>
        <v>0</v>
      </c>
      <c r="BJ51" s="137">
        <v>239</v>
      </c>
      <c r="BK51" s="131">
        <f t="shared" si="46"/>
        <v>560000</v>
      </c>
      <c r="BL51" s="131">
        <f t="shared" si="47"/>
        <v>2343.0962343096235</v>
      </c>
      <c r="BM51" s="133"/>
      <c r="BN51" s="133"/>
      <c r="BO51" s="133"/>
      <c r="BP51" s="133"/>
      <c r="BQ51" s="133">
        <v>560000</v>
      </c>
      <c r="BR51" s="133">
        <v>129239</v>
      </c>
      <c r="BS51" s="235">
        <f t="shared" si="48"/>
        <v>0</v>
      </c>
      <c r="BT51" s="324">
        <v>107</v>
      </c>
      <c r="BU51" s="131">
        <f t="shared" si="49"/>
        <v>321767.5</v>
      </c>
      <c r="BV51" s="131">
        <f t="shared" si="50"/>
        <v>3007.1728971962616</v>
      </c>
      <c r="BW51" s="325"/>
      <c r="BX51" s="325"/>
      <c r="BY51" s="325"/>
      <c r="BZ51" s="325"/>
      <c r="CA51" s="325">
        <v>321767.5</v>
      </c>
      <c r="CB51" s="325">
        <v>61600</v>
      </c>
      <c r="CC51" s="357">
        <f t="shared" si="51"/>
        <v>0</v>
      </c>
    </row>
    <row r="52" spans="1:81" s="77" customFormat="1" ht="15.95" customHeight="1">
      <c r="A52" s="287" t="s">
        <v>246</v>
      </c>
      <c r="B52" s="137"/>
      <c r="C52" s="131">
        <f t="shared" si="65"/>
        <v>0</v>
      </c>
      <c r="D52" s="131">
        <f t="shared" si="58"/>
        <v>0</v>
      </c>
      <c r="E52" s="133"/>
      <c r="F52" s="133"/>
      <c r="G52" s="133"/>
      <c r="H52" s="133"/>
      <c r="I52" s="133"/>
      <c r="J52" s="133"/>
      <c r="K52" s="235">
        <f t="shared" si="34"/>
        <v>0</v>
      </c>
      <c r="L52" s="137"/>
      <c r="M52" s="131">
        <f t="shared" si="59"/>
        <v>0</v>
      </c>
      <c r="N52" s="131">
        <f t="shared" si="60"/>
        <v>0</v>
      </c>
      <c r="O52" s="133"/>
      <c r="P52" s="133"/>
      <c r="Q52" s="133"/>
      <c r="R52" s="133"/>
      <c r="S52" s="133"/>
      <c r="T52" s="133"/>
      <c r="U52" s="235">
        <f t="shared" si="35"/>
        <v>0</v>
      </c>
      <c r="V52" s="137"/>
      <c r="W52" s="131">
        <f t="shared" si="61"/>
        <v>0</v>
      </c>
      <c r="X52" s="131">
        <f t="shared" si="62"/>
        <v>0</v>
      </c>
      <c r="Y52" s="133"/>
      <c r="Z52" s="133"/>
      <c r="AA52" s="133"/>
      <c r="AB52" s="133"/>
      <c r="AC52" s="133"/>
      <c r="AD52" s="133"/>
      <c r="AE52" s="235">
        <f t="shared" si="36"/>
        <v>0</v>
      </c>
      <c r="AF52" s="137"/>
      <c r="AG52" s="131">
        <f t="shared" si="63"/>
        <v>0</v>
      </c>
      <c r="AH52" s="131">
        <f t="shared" si="64"/>
        <v>0</v>
      </c>
      <c r="AI52" s="133"/>
      <c r="AJ52" s="133"/>
      <c r="AK52" s="133"/>
      <c r="AL52" s="133"/>
      <c r="AM52" s="133"/>
      <c r="AN52" s="133"/>
      <c r="AO52" s="235">
        <f t="shared" si="39"/>
        <v>0</v>
      </c>
      <c r="AP52" s="137"/>
      <c r="AQ52" s="131">
        <f t="shared" si="40"/>
        <v>0</v>
      </c>
      <c r="AR52" s="131">
        <f t="shared" si="41"/>
        <v>0</v>
      </c>
      <c r="AS52" s="133"/>
      <c r="AT52" s="133"/>
      <c r="AU52" s="133"/>
      <c r="AV52" s="133"/>
      <c r="AW52" s="133"/>
      <c r="AX52" s="133"/>
      <c r="AY52" s="235">
        <f t="shared" si="42"/>
        <v>0</v>
      </c>
      <c r="AZ52" s="324">
        <v>90</v>
      </c>
      <c r="BA52" s="131">
        <f t="shared" si="43"/>
        <v>314500</v>
      </c>
      <c r="BB52" s="131">
        <f t="shared" si="44"/>
        <v>3494.4444444444443</v>
      </c>
      <c r="BC52" s="325"/>
      <c r="BD52" s="325"/>
      <c r="BE52" s="325">
        <v>314500</v>
      </c>
      <c r="BF52" s="325"/>
      <c r="BG52" s="325"/>
      <c r="BH52" s="325"/>
      <c r="BI52" s="235">
        <f t="shared" si="45"/>
        <v>0</v>
      </c>
      <c r="BJ52" s="324">
        <v>178</v>
      </c>
      <c r="BK52" s="131">
        <f t="shared" si="46"/>
        <v>665087</v>
      </c>
      <c r="BL52" s="131">
        <f t="shared" si="47"/>
        <v>3736.4438202247193</v>
      </c>
      <c r="BM52" s="325"/>
      <c r="BN52" s="325"/>
      <c r="BO52" s="325">
        <v>665087</v>
      </c>
      <c r="BP52" s="325"/>
      <c r="BQ52" s="325"/>
      <c r="BR52" s="325">
        <v>386937</v>
      </c>
      <c r="BS52" s="235">
        <f t="shared" si="48"/>
        <v>0</v>
      </c>
      <c r="BT52" s="324">
        <v>226</v>
      </c>
      <c r="BU52" s="131">
        <f t="shared" si="49"/>
        <v>978896</v>
      </c>
      <c r="BV52" s="131">
        <f t="shared" si="50"/>
        <v>4331.3982300884954</v>
      </c>
      <c r="BW52" s="325"/>
      <c r="BX52" s="325"/>
      <c r="BY52" s="325">
        <v>978896</v>
      </c>
      <c r="BZ52" s="325"/>
      <c r="CA52" s="325"/>
      <c r="CB52" s="325">
        <v>580392.5</v>
      </c>
      <c r="CC52" s="357">
        <f t="shared" si="51"/>
        <v>0</v>
      </c>
    </row>
    <row r="53" spans="1:81" s="77" customFormat="1" ht="15.95" customHeight="1">
      <c r="A53" s="326" t="s">
        <v>248</v>
      </c>
      <c r="B53" s="137"/>
      <c r="C53" s="131">
        <f t="shared" si="65"/>
        <v>0</v>
      </c>
      <c r="D53" s="131">
        <f t="shared" si="58"/>
        <v>0</v>
      </c>
      <c r="E53" s="133"/>
      <c r="F53" s="133"/>
      <c r="G53" s="133"/>
      <c r="H53" s="133"/>
      <c r="I53" s="133"/>
      <c r="J53" s="133"/>
      <c r="K53" s="235">
        <f t="shared" si="34"/>
        <v>0</v>
      </c>
      <c r="L53" s="137"/>
      <c r="M53" s="131">
        <f t="shared" si="59"/>
        <v>0</v>
      </c>
      <c r="N53" s="131">
        <f t="shared" si="60"/>
        <v>0</v>
      </c>
      <c r="O53" s="133"/>
      <c r="P53" s="133"/>
      <c r="Q53" s="133"/>
      <c r="R53" s="133"/>
      <c r="S53" s="133"/>
      <c r="T53" s="133"/>
      <c r="U53" s="235">
        <f t="shared" si="35"/>
        <v>0</v>
      </c>
      <c r="V53" s="137"/>
      <c r="W53" s="131">
        <f t="shared" si="61"/>
        <v>0</v>
      </c>
      <c r="X53" s="131">
        <f t="shared" si="62"/>
        <v>0</v>
      </c>
      <c r="Y53" s="133"/>
      <c r="Z53" s="133"/>
      <c r="AA53" s="133"/>
      <c r="AB53" s="133"/>
      <c r="AC53" s="133"/>
      <c r="AD53" s="133"/>
      <c r="AE53" s="235">
        <f t="shared" si="36"/>
        <v>0</v>
      </c>
      <c r="AF53" s="137"/>
      <c r="AG53" s="131">
        <f t="shared" si="63"/>
        <v>0</v>
      </c>
      <c r="AH53" s="131">
        <f t="shared" si="64"/>
        <v>0</v>
      </c>
      <c r="AI53" s="133"/>
      <c r="AJ53" s="133"/>
      <c r="AK53" s="133"/>
      <c r="AL53" s="133"/>
      <c r="AM53" s="133"/>
      <c r="AN53" s="133"/>
      <c r="AO53" s="235">
        <f t="shared" si="39"/>
        <v>0</v>
      </c>
      <c r="AP53" s="137"/>
      <c r="AQ53" s="131">
        <f t="shared" si="40"/>
        <v>0</v>
      </c>
      <c r="AR53" s="131">
        <f t="shared" si="41"/>
        <v>0</v>
      </c>
      <c r="AS53" s="133"/>
      <c r="AT53" s="133"/>
      <c r="AU53" s="133"/>
      <c r="AV53" s="133"/>
      <c r="AW53" s="133"/>
      <c r="AX53" s="133"/>
      <c r="AY53" s="235">
        <f t="shared" si="42"/>
        <v>0</v>
      </c>
      <c r="AZ53" s="137"/>
      <c r="BA53" s="131">
        <f t="shared" si="43"/>
        <v>0</v>
      </c>
      <c r="BB53" s="131">
        <f t="shared" si="44"/>
        <v>0</v>
      </c>
      <c r="BC53" s="133"/>
      <c r="BD53" s="133"/>
      <c r="BE53" s="133"/>
      <c r="BF53" s="133"/>
      <c r="BG53" s="133"/>
      <c r="BH53" s="133"/>
      <c r="BI53" s="235">
        <f t="shared" si="45"/>
        <v>0</v>
      </c>
      <c r="BJ53" s="137"/>
      <c r="BK53" s="131">
        <f t="shared" si="46"/>
        <v>0</v>
      </c>
      <c r="BL53" s="131">
        <f t="shared" si="47"/>
        <v>0</v>
      </c>
      <c r="BM53" s="133"/>
      <c r="BN53" s="133"/>
      <c r="BO53" s="133"/>
      <c r="BP53" s="133"/>
      <c r="BQ53" s="133"/>
      <c r="BR53" s="133"/>
      <c r="BS53" s="235">
        <f t="shared" si="48"/>
        <v>0</v>
      </c>
      <c r="BT53" s="324">
        <v>124</v>
      </c>
      <c r="BU53" s="131">
        <f t="shared" si="49"/>
        <v>173000</v>
      </c>
      <c r="BV53" s="131">
        <f t="shared" si="50"/>
        <v>1395.1612903225807</v>
      </c>
      <c r="BW53" s="325">
        <v>173000</v>
      </c>
      <c r="BX53" s="325"/>
      <c r="BY53" s="325"/>
      <c r="BZ53" s="325"/>
      <c r="CA53" s="325"/>
      <c r="CB53" s="325">
        <v>33518.5</v>
      </c>
      <c r="CC53" s="357">
        <f t="shared" si="51"/>
        <v>33518.5</v>
      </c>
    </row>
    <row r="54" spans="1:81" s="77" customFormat="1" ht="15.95" customHeight="1">
      <c r="A54" s="326" t="s">
        <v>249</v>
      </c>
      <c r="B54" s="137"/>
      <c r="C54" s="131">
        <f t="shared" si="65"/>
        <v>0</v>
      </c>
      <c r="D54" s="131">
        <f t="shared" si="58"/>
        <v>0</v>
      </c>
      <c r="E54" s="133"/>
      <c r="F54" s="133"/>
      <c r="G54" s="133"/>
      <c r="H54" s="133"/>
      <c r="I54" s="133"/>
      <c r="J54" s="133"/>
      <c r="K54" s="235">
        <f t="shared" si="34"/>
        <v>0</v>
      </c>
      <c r="L54" s="137"/>
      <c r="M54" s="131">
        <f t="shared" si="59"/>
        <v>0</v>
      </c>
      <c r="N54" s="131">
        <f t="shared" si="60"/>
        <v>0</v>
      </c>
      <c r="O54" s="133"/>
      <c r="P54" s="133"/>
      <c r="Q54" s="133"/>
      <c r="R54" s="133"/>
      <c r="S54" s="133"/>
      <c r="T54" s="133"/>
      <c r="U54" s="235">
        <f t="shared" si="35"/>
        <v>0</v>
      </c>
      <c r="V54" s="137"/>
      <c r="W54" s="131">
        <f t="shared" si="61"/>
        <v>0</v>
      </c>
      <c r="X54" s="131">
        <f t="shared" si="62"/>
        <v>0</v>
      </c>
      <c r="Y54" s="133"/>
      <c r="Z54" s="133"/>
      <c r="AA54" s="133"/>
      <c r="AB54" s="133"/>
      <c r="AC54" s="133"/>
      <c r="AD54" s="133"/>
      <c r="AE54" s="235">
        <f t="shared" si="36"/>
        <v>0</v>
      </c>
      <c r="AF54" s="137"/>
      <c r="AG54" s="131">
        <f t="shared" si="63"/>
        <v>0</v>
      </c>
      <c r="AH54" s="131">
        <f t="shared" si="64"/>
        <v>0</v>
      </c>
      <c r="AI54" s="133"/>
      <c r="AJ54" s="133"/>
      <c r="AK54" s="133"/>
      <c r="AL54" s="133"/>
      <c r="AM54" s="133"/>
      <c r="AN54" s="133"/>
      <c r="AO54" s="235">
        <f t="shared" si="39"/>
        <v>0</v>
      </c>
      <c r="AP54" s="137"/>
      <c r="AQ54" s="131">
        <f t="shared" si="40"/>
        <v>0</v>
      </c>
      <c r="AR54" s="131">
        <f t="shared" si="41"/>
        <v>0</v>
      </c>
      <c r="AS54" s="133"/>
      <c r="AT54" s="133"/>
      <c r="AU54" s="133"/>
      <c r="AV54" s="133"/>
      <c r="AW54" s="133"/>
      <c r="AX54" s="133"/>
      <c r="AY54" s="235">
        <f t="shared" si="42"/>
        <v>0</v>
      </c>
      <c r="AZ54" s="137"/>
      <c r="BA54" s="131">
        <f t="shared" si="43"/>
        <v>0</v>
      </c>
      <c r="BB54" s="131">
        <f t="shared" si="44"/>
        <v>0</v>
      </c>
      <c r="BC54" s="133"/>
      <c r="BD54" s="133"/>
      <c r="BE54" s="133"/>
      <c r="BF54" s="133"/>
      <c r="BG54" s="133"/>
      <c r="BH54" s="133"/>
      <c r="BI54" s="235">
        <f t="shared" si="45"/>
        <v>0</v>
      </c>
      <c r="BJ54" s="137"/>
      <c r="BK54" s="131">
        <f t="shared" si="46"/>
        <v>0</v>
      </c>
      <c r="BL54" s="131">
        <f t="shared" si="47"/>
        <v>0</v>
      </c>
      <c r="BM54" s="133"/>
      <c r="BN54" s="133"/>
      <c r="BO54" s="133"/>
      <c r="BP54" s="133"/>
      <c r="BQ54" s="133"/>
      <c r="BR54" s="133"/>
      <c r="BS54" s="235">
        <f t="shared" si="48"/>
        <v>0</v>
      </c>
      <c r="BT54" s="324">
        <v>4</v>
      </c>
      <c r="BU54" s="131">
        <f t="shared" si="49"/>
        <v>9765</v>
      </c>
      <c r="BV54" s="131">
        <f t="shared" si="50"/>
        <v>2441.25</v>
      </c>
      <c r="BW54" s="325">
        <v>9765</v>
      </c>
      <c r="BX54" s="325"/>
      <c r="BY54" s="325"/>
      <c r="BZ54" s="325"/>
      <c r="CA54" s="325"/>
      <c r="CB54" s="325">
        <v>9765</v>
      </c>
      <c r="CC54" s="357">
        <f t="shared" si="51"/>
        <v>9765</v>
      </c>
    </row>
    <row r="55" spans="1:81" s="77" customFormat="1" ht="15.95" customHeight="1">
      <c r="A55" s="326"/>
      <c r="B55" s="137"/>
      <c r="C55" s="131">
        <f t="shared" si="65"/>
        <v>0</v>
      </c>
      <c r="D55" s="131">
        <f t="shared" si="58"/>
        <v>0</v>
      </c>
      <c r="E55" s="133"/>
      <c r="F55" s="133"/>
      <c r="G55" s="133"/>
      <c r="H55" s="133"/>
      <c r="I55" s="133"/>
      <c r="J55" s="133"/>
      <c r="K55" s="235">
        <f t="shared" si="34"/>
        <v>0</v>
      </c>
      <c r="L55" s="137"/>
      <c r="M55" s="131">
        <f t="shared" si="59"/>
        <v>0</v>
      </c>
      <c r="N55" s="131">
        <f t="shared" si="60"/>
        <v>0</v>
      </c>
      <c r="O55" s="133"/>
      <c r="P55" s="133"/>
      <c r="Q55" s="133"/>
      <c r="R55" s="133"/>
      <c r="S55" s="133"/>
      <c r="T55" s="133"/>
      <c r="U55" s="235">
        <f t="shared" si="35"/>
        <v>0</v>
      </c>
      <c r="V55" s="137"/>
      <c r="W55" s="131">
        <f t="shared" si="61"/>
        <v>0</v>
      </c>
      <c r="X55" s="131">
        <f t="shared" si="62"/>
        <v>0</v>
      </c>
      <c r="Y55" s="133"/>
      <c r="Z55" s="133"/>
      <c r="AA55" s="133"/>
      <c r="AB55" s="133"/>
      <c r="AC55" s="133"/>
      <c r="AD55" s="133"/>
      <c r="AE55" s="235">
        <f t="shared" si="36"/>
        <v>0</v>
      </c>
      <c r="AF55" s="137"/>
      <c r="AG55" s="131">
        <f t="shared" si="63"/>
        <v>0</v>
      </c>
      <c r="AH55" s="131">
        <f t="shared" si="64"/>
        <v>0</v>
      </c>
      <c r="AI55" s="133"/>
      <c r="AJ55" s="133"/>
      <c r="AK55" s="133"/>
      <c r="AL55" s="133"/>
      <c r="AM55" s="133"/>
      <c r="AN55" s="133"/>
      <c r="AO55" s="235">
        <f t="shared" si="39"/>
        <v>0</v>
      </c>
      <c r="AP55" s="137"/>
      <c r="AQ55" s="131">
        <f t="shared" si="40"/>
        <v>0</v>
      </c>
      <c r="AR55" s="131">
        <f t="shared" si="41"/>
        <v>0</v>
      </c>
      <c r="AS55" s="133"/>
      <c r="AT55" s="133"/>
      <c r="AU55" s="133"/>
      <c r="AV55" s="133"/>
      <c r="AW55" s="133"/>
      <c r="AX55" s="133"/>
      <c r="AY55" s="235">
        <f t="shared" si="42"/>
        <v>0</v>
      </c>
      <c r="AZ55" s="137"/>
      <c r="BA55" s="131">
        <f t="shared" si="43"/>
        <v>0</v>
      </c>
      <c r="BB55" s="131">
        <f t="shared" si="44"/>
        <v>0</v>
      </c>
      <c r="BC55" s="133"/>
      <c r="BD55" s="133"/>
      <c r="BE55" s="133"/>
      <c r="BF55" s="133"/>
      <c r="BG55" s="133"/>
      <c r="BH55" s="133"/>
      <c r="BI55" s="235">
        <f t="shared" si="45"/>
        <v>0</v>
      </c>
      <c r="BJ55" s="137"/>
      <c r="BK55" s="131">
        <f t="shared" si="46"/>
        <v>0</v>
      </c>
      <c r="BL55" s="131">
        <f t="shared" si="47"/>
        <v>0</v>
      </c>
      <c r="BM55" s="133"/>
      <c r="BN55" s="133"/>
      <c r="BO55" s="133"/>
      <c r="BP55" s="133"/>
      <c r="BQ55" s="133"/>
      <c r="BR55" s="133"/>
      <c r="BS55" s="235">
        <f t="shared" si="48"/>
        <v>0</v>
      </c>
      <c r="BT55" s="324"/>
      <c r="BU55" s="131">
        <f t="shared" si="49"/>
        <v>0</v>
      </c>
      <c r="BV55" s="131">
        <f t="shared" si="50"/>
        <v>0</v>
      </c>
      <c r="BW55" s="325"/>
      <c r="BX55" s="325"/>
      <c r="BY55" s="325"/>
      <c r="BZ55" s="325"/>
      <c r="CA55" s="325"/>
      <c r="CB55" s="325"/>
      <c r="CC55" s="357">
        <f t="shared" si="51"/>
        <v>0</v>
      </c>
    </row>
    <row r="56" spans="1:81" s="77" customFormat="1" ht="15.95" customHeight="1">
      <c r="A56" s="326"/>
      <c r="B56" s="137"/>
      <c r="C56" s="131">
        <f t="shared" si="65"/>
        <v>0</v>
      </c>
      <c r="D56" s="131">
        <f t="shared" si="58"/>
        <v>0</v>
      </c>
      <c r="E56" s="133"/>
      <c r="F56" s="133"/>
      <c r="G56" s="133"/>
      <c r="H56" s="133"/>
      <c r="I56" s="133"/>
      <c r="J56" s="133"/>
      <c r="K56" s="235">
        <f t="shared" si="34"/>
        <v>0</v>
      </c>
      <c r="L56" s="137"/>
      <c r="M56" s="131">
        <f t="shared" si="59"/>
        <v>0</v>
      </c>
      <c r="N56" s="131">
        <f t="shared" si="60"/>
        <v>0</v>
      </c>
      <c r="O56" s="133"/>
      <c r="P56" s="133"/>
      <c r="Q56" s="133"/>
      <c r="R56" s="133"/>
      <c r="S56" s="133"/>
      <c r="T56" s="133"/>
      <c r="U56" s="235">
        <f t="shared" si="35"/>
        <v>0</v>
      </c>
      <c r="V56" s="137"/>
      <c r="W56" s="131">
        <f t="shared" si="61"/>
        <v>0</v>
      </c>
      <c r="X56" s="131">
        <f t="shared" si="62"/>
        <v>0</v>
      </c>
      <c r="Y56" s="133"/>
      <c r="Z56" s="133"/>
      <c r="AA56" s="133"/>
      <c r="AB56" s="133"/>
      <c r="AC56" s="133"/>
      <c r="AD56" s="133"/>
      <c r="AE56" s="235">
        <f t="shared" si="36"/>
        <v>0</v>
      </c>
      <c r="AF56" s="137"/>
      <c r="AG56" s="131">
        <f t="shared" si="63"/>
        <v>0</v>
      </c>
      <c r="AH56" s="131">
        <f t="shared" si="64"/>
        <v>0</v>
      </c>
      <c r="AI56" s="133"/>
      <c r="AJ56" s="133"/>
      <c r="AK56" s="133"/>
      <c r="AL56" s="133"/>
      <c r="AM56" s="133"/>
      <c r="AN56" s="133"/>
      <c r="AO56" s="235">
        <f t="shared" si="39"/>
        <v>0</v>
      </c>
      <c r="AP56" s="137"/>
      <c r="AQ56" s="131">
        <f t="shared" si="40"/>
        <v>0</v>
      </c>
      <c r="AR56" s="131">
        <f t="shared" si="41"/>
        <v>0</v>
      </c>
      <c r="AS56" s="133"/>
      <c r="AT56" s="133"/>
      <c r="AU56" s="133"/>
      <c r="AV56" s="133"/>
      <c r="AW56" s="133"/>
      <c r="AX56" s="133"/>
      <c r="AY56" s="235">
        <f t="shared" si="42"/>
        <v>0</v>
      </c>
      <c r="AZ56" s="137"/>
      <c r="BA56" s="131">
        <f t="shared" si="43"/>
        <v>0</v>
      </c>
      <c r="BB56" s="131">
        <f t="shared" si="44"/>
        <v>0</v>
      </c>
      <c r="BC56" s="133"/>
      <c r="BD56" s="133"/>
      <c r="BE56" s="133"/>
      <c r="BF56" s="133"/>
      <c r="BG56" s="133"/>
      <c r="BH56" s="133"/>
      <c r="BI56" s="235">
        <f t="shared" si="45"/>
        <v>0</v>
      </c>
      <c r="BJ56" s="137"/>
      <c r="BK56" s="131">
        <f t="shared" si="46"/>
        <v>0</v>
      </c>
      <c r="BL56" s="131">
        <f t="shared" si="47"/>
        <v>0</v>
      </c>
      <c r="BM56" s="133"/>
      <c r="BN56" s="133"/>
      <c r="BO56" s="133"/>
      <c r="BP56" s="133"/>
      <c r="BQ56" s="133"/>
      <c r="BR56" s="133"/>
      <c r="BS56" s="235">
        <f t="shared" si="48"/>
        <v>0</v>
      </c>
      <c r="BT56" s="324"/>
      <c r="BU56" s="131">
        <f t="shared" si="49"/>
        <v>0</v>
      </c>
      <c r="BV56" s="131">
        <f t="shared" si="50"/>
        <v>0</v>
      </c>
      <c r="BW56" s="325"/>
      <c r="BX56" s="325"/>
      <c r="BY56" s="325"/>
      <c r="BZ56" s="325"/>
      <c r="CA56" s="325"/>
      <c r="CB56" s="325"/>
      <c r="CC56" s="357">
        <f t="shared" si="51"/>
        <v>0</v>
      </c>
    </row>
    <row r="57" spans="1:81" s="77" customFormat="1" ht="15.95" customHeight="1">
      <c r="A57" s="326"/>
      <c r="B57" s="137"/>
      <c r="C57" s="131">
        <f t="shared" si="65"/>
        <v>0</v>
      </c>
      <c r="D57" s="131">
        <f t="shared" si="58"/>
        <v>0</v>
      </c>
      <c r="E57" s="133"/>
      <c r="F57" s="133"/>
      <c r="G57" s="133"/>
      <c r="H57" s="133"/>
      <c r="I57" s="133"/>
      <c r="J57" s="133"/>
      <c r="K57" s="235">
        <f t="shared" si="34"/>
        <v>0</v>
      </c>
      <c r="L57" s="137"/>
      <c r="M57" s="131">
        <f t="shared" si="59"/>
        <v>0</v>
      </c>
      <c r="N57" s="131">
        <f t="shared" si="60"/>
        <v>0</v>
      </c>
      <c r="O57" s="133"/>
      <c r="P57" s="133"/>
      <c r="Q57" s="133"/>
      <c r="R57" s="133"/>
      <c r="S57" s="133"/>
      <c r="T57" s="133"/>
      <c r="U57" s="235">
        <f t="shared" si="35"/>
        <v>0</v>
      </c>
      <c r="V57" s="137"/>
      <c r="W57" s="131">
        <f t="shared" si="61"/>
        <v>0</v>
      </c>
      <c r="X57" s="131">
        <f t="shared" si="62"/>
        <v>0</v>
      </c>
      <c r="Y57" s="133"/>
      <c r="Z57" s="133"/>
      <c r="AA57" s="133"/>
      <c r="AB57" s="133"/>
      <c r="AC57" s="133"/>
      <c r="AD57" s="133"/>
      <c r="AE57" s="235">
        <f t="shared" si="36"/>
        <v>0</v>
      </c>
      <c r="AF57" s="137"/>
      <c r="AG57" s="131">
        <f t="shared" si="63"/>
        <v>0</v>
      </c>
      <c r="AH57" s="131">
        <f t="shared" si="64"/>
        <v>0</v>
      </c>
      <c r="AI57" s="133"/>
      <c r="AJ57" s="133"/>
      <c r="AK57" s="133"/>
      <c r="AL57" s="133"/>
      <c r="AM57" s="133"/>
      <c r="AN57" s="133"/>
      <c r="AO57" s="235">
        <f t="shared" si="39"/>
        <v>0</v>
      </c>
      <c r="AP57" s="137"/>
      <c r="AQ57" s="131">
        <f t="shared" si="40"/>
        <v>0</v>
      </c>
      <c r="AR57" s="131">
        <f t="shared" si="41"/>
        <v>0</v>
      </c>
      <c r="AS57" s="133"/>
      <c r="AT57" s="133"/>
      <c r="AU57" s="133"/>
      <c r="AV57" s="133"/>
      <c r="AW57" s="133"/>
      <c r="AX57" s="133"/>
      <c r="AY57" s="235">
        <f t="shared" si="42"/>
        <v>0</v>
      </c>
      <c r="AZ57" s="137"/>
      <c r="BA57" s="131">
        <f t="shared" si="43"/>
        <v>0</v>
      </c>
      <c r="BB57" s="131">
        <f t="shared" si="44"/>
        <v>0</v>
      </c>
      <c r="BC57" s="133"/>
      <c r="BD57" s="133"/>
      <c r="BE57" s="133"/>
      <c r="BF57" s="133"/>
      <c r="BG57" s="133"/>
      <c r="BH57" s="133"/>
      <c r="BI57" s="235">
        <f t="shared" si="45"/>
        <v>0</v>
      </c>
      <c r="BJ57" s="137"/>
      <c r="BK57" s="131">
        <f t="shared" si="46"/>
        <v>0</v>
      </c>
      <c r="BL57" s="131">
        <f t="shared" si="47"/>
        <v>0</v>
      </c>
      <c r="BM57" s="133"/>
      <c r="BN57" s="133"/>
      <c r="BO57" s="133"/>
      <c r="BP57" s="133"/>
      <c r="BQ57" s="133"/>
      <c r="BR57" s="133"/>
      <c r="BS57" s="235">
        <f t="shared" si="48"/>
        <v>0</v>
      </c>
      <c r="BT57" s="324"/>
      <c r="BU57" s="131">
        <f t="shared" si="49"/>
        <v>0</v>
      </c>
      <c r="BV57" s="131">
        <f t="shared" si="50"/>
        <v>0</v>
      </c>
      <c r="BW57" s="325"/>
      <c r="BX57" s="325"/>
      <c r="BY57" s="325"/>
      <c r="BZ57" s="325"/>
      <c r="CA57" s="325"/>
      <c r="CB57" s="325"/>
      <c r="CC57" s="357">
        <f t="shared" si="51"/>
        <v>0</v>
      </c>
    </row>
    <row r="58" spans="1:81" s="77" customFormat="1" ht="15.95" customHeight="1">
      <c r="A58" s="326"/>
      <c r="B58" s="137"/>
      <c r="C58" s="131">
        <f t="shared" si="65"/>
        <v>0</v>
      </c>
      <c r="D58" s="131">
        <f t="shared" si="58"/>
        <v>0</v>
      </c>
      <c r="E58" s="133"/>
      <c r="F58" s="133"/>
      <c r="G58" s="133"/>
      <c r="H58" s="133"/>
      <c r="I58" s="133"/>
      <c r="J58" s="133"/>
      <c r="K58" s="235">
        <f t="shared" si="34"/>
        <v>0</v>
      </c>
      <c r="L58" s="137"/>
      <c r="M58" s="131">
        <f t="shared" si="59"/>
        <v>0</v>
      </c>
      <c r="N58" s="131">
        <f t="shared" si="60"/>
        <v>0</v>
      </c>
      <c r="O58" s="133"/>
      <c r="P58" s="133"/>
      <c r="Q58" s="133"/>
      <c r="R58" s="133"/>
      <c r="S58" s="133"/>
      <c r="T58" s="133"/>
      <c r="U58" s="235">
        <f t="shared" si="35"/>
        <v>0</v>
      </c>
      <c r="V58" s="137"/>
      <c r="W58" s="131">
        <f t="shared" si="61"/>
        <v>0</v>
      </c>
      <c r="X58" s="131">
        <f t="shared" si="62"/>
        <v>0</v>
      </c>
      <c r="Y58" s="133"/>
      <c r="Z58" s="133"/>
      <c r="AA58" s="133"/>
      <c r="AB58" s="133"/>
      <c r="AC58" s="133"/>
      <c r="AD58" s="133"/>
      <c r="AE58" s="235">
        <f t="shared" si="36"/>
        <v>0</v>
      </c>
      <c r="AF58" s="137"/>
      <c r="AG58" s="131">
        <f t="shared" si="63"/>
        <v>0</v>
      </c>
      <c r="AH58" s="131">
        <f t="shared" si="64"/>
        <v>0</v>
      </c>
      <c r="AI58" s="133"/>
      <c r="AJ58" s="133"/>
      <c r="AK58" s="133"/>
      <c r="AL58" s="133"/>
      <c r="AM58" s="133"/>
      <c r="AN58" s="133"/>
      <c r="AO58" s="235">
        <f t="shared" si="39"/>
        <v>0</v>
      </c>
      <c r="AP58" s="137"/>
      <c r="AQ58" s="131">
        <f t="shared" si="40"/>
        <v>0</v>
      </c>
      <c r="AR58" s="131">
        <f t="shared" si="41"/>
        <v>0</v>
      </c>
      <c r="AS58" s="133"/>
      <c r="AT58" s="133"/>
      <c r="AU58" s="133"/>
      <c r="AV58" s="133"/>
      <c r="AW58" s="133"/>
      <c r="AX58" s="133"/>
      <c r="AY58" s="235">
        <f t="shared" si="42"/>
        <v>0</v>
      </c>
      <c r="AZ58" s="137"/>
      <c r="BA58" s="131">
        <f t="shared" si="43"/>
        <v>0</v>
      </c>
      <c r="BB58" s="131">
        <f t="shared" si="44"/>
        <v>0</v>
      </c>
      <c r="BC58" s="133"/>
      <c r="BD58" s="133"/>
      <c r="BE58" s="133"/>
      <c r="BF58" s="133"/>
      <c r="BG58" s="133"/>
      <c r="BH58" s="133"/>
      <c r="BI58" s="235">
        <f t="shared" si="45"/>
        <v>0</v>
      </c>
      <c r="BJ58" s="137"/>
      <c r="BK58" s="131">
        <f t="shared" si="46"/>
        <v>0</v>
      </c>
      <c r="BL58" s="131">
        <f t="shared" si="47"/>
        <v>0</v>
      </c>
      <c r="BM58" s="133"/>
      <c r="BN58" s="133"/>
      <c r="BO58" s="133"/>
      <c r="BP58" s="133"/>
      <c r="BQ58" s="133"/>
      <c r="BR58" s="133"/>
      <c r="BS58" s="235">
        <f t="shared" si="48"/>
        <v>0</v>
      </c>
      <c r="BT58" s="324"/>
      <c r="BU58" s="131">
        <f t="shared" si="49"/>
        <v>0</v>
      </c>
      <c r="BV58" s="131">
        <f t="shared" si="50"/>
        <v>0</v>
      </c>
      <c r="BW58" s="325"/>
      <c r="BX58" s="325"/>
      <c r="BY58" s="325"/>
      <c r="BZ58" s="325"/>
      <c r="CA58" s="325"/>
      <c r="CB58" s="325"/>
      <c r="CC58" s="357">
        <f t="shared" si="51"/>
        <v>0</v>
      </c>
    </row>
    <row r="59" spans="1:81" s="77" customFormat="1" ht="15.95" customHeight="1">
      <c r="A59" s="326"/>
      <c r="B59" s="137"/>
      <c r="C59" s="131">
        <f t="shared" si="65"/>
        <v>0</v>
      </c>
      <c r="D59" s="131">
        <f t="shared" si="58"/>
        <v>0</v>
      </c>
      <c r="E59" s="133"/>
      <c r="F59" s="133"/>
      <c r="G59" s="133"/>
      <c r="H59" s="133"/>
      <c r="I59" s="133"/>
      <c r="J59" s="133"/>
      <c r="K59" s="235">
        <f t="shared" si="34"/>
        <v>0</v>
      </c>
      <c r="L59" s="137"/>
      <c r="M59" s="131">
        <f t="shared" si="59"/>
        <v>0</v>
      </c>
      <c r="N59" s="131">
        <f t="shared" si="60"/>
        <v>0</v>
      </c>
      <c r="O59" s="133"/>
      <c r="P59" s="133"/>
      <c r="Q59" s="133"/>
      <c r="R59" s="133"/>
      <c r="S59" s="133"/>
      <c r="T59" s="133"/>
      <c r="U59" s="235">
        <f t="shared" si="35"/>
        <v>0</v>
      </c>
      <c r="V59" s="137"/>
      <c r="W59" s="131">
        <f t="shared" si="61"/>
        <v>0</v>
      </c>
      <c r="X59" s="131">
        <f t="shared" si="62"/>
        <v>0</v>
      </c>
      <c r="Y59" s="133"/>
      <c r="Z59" s="133"/>
      <c r="AA59" s="133"/>
      <c r="AB59" s="133"/>
      <c r="AC59" s="133"/>
      <c r="AD59" s="133"/>
      <c r="AE59" s="235">
        <f t="shared" si="36"/>
        <v>0</v>
      </c>
      <c r="AF59" s="137"/>
      <c r="AG59" s="131">
        <f t="shared" si="63"/>
        <v>0</v>
      </c>
      <c r="AH59" s="131">
        <f t="shared" si="64"/>
        <v>0</v>
      </c>
      <c r="AI59" s="133"/>
      <c r="AJ59" s="133"/>
      <c r="AK59" s="133"/>
      <c r="AL59" s="133"/>
      <c r="AM59" s="133"/>
      <c r="AN59" s="133"/>
      <c r="AO59" s="235">
        <f t="shared" si="39"/>
        <v>0</v>
      </c>
      <c r="AP59" s="137"/>
      <c r="AQ59" s="131">
        <f t="shared" si="40"/>
        <v>0</v>
      </c>
      <c r="AR59" s="131">
        <f t="shared" si="41"/>
        <v>0</v>
      </c>
      <c r="AS59" s="133"/>
      <c r="AT59" s="133"/>
      <c r="AU59" s="133"/>
      <c r="AV59" s="133"/>
      <c r="AW59" s="133"/>
      <c r="AX59" s="133"/>
      <c r="AY59" s="235">
        <f t="shared" si="42"/>
        <v>0</v>
      </c>
      <c r="AZ59" s="137"/>
      <c r="BA59" s="131">
        <f t="shared" si="43"/>
        <v>0</v>
      </c>
      <c r="BB59" s="131">
        <f t="shared" si="44"/>
        <v>0</v>
      </c>
      <c r="BC59" s="133"/>
      <c r="BD59" s="133"/>
      <c r="BE59" s="133"/>
      <c r="BF59" s="133"/>
      <c r="BG59" s="133"/>
      <c r="BH59" s="133"/>
      <c r="BI59" s="235">
        <f t="shared" si="45"/>
        <v>0</v>
      </c>
      <c r="BJ59" s="137"/>
      <c r="BK59" s="131">
        <f t="shared" si="46"/>
        <v>0</v>
      </c>
      <c r="BL59" s="131">
        <f t="shared" si="47"/>
        <v>0</v>
      </c>
      <c r="BM59" s="133"/>
      <c r="BN59" s="133"/>
      <c r="BO59" s="133"/>
      <c r="BP59" s="133"/>
      <c r="BQ59" s="133"/>
      <c r="BR59" s="133"/>
      <c r="BS59" s="235">
        <f t="shared" si="48"/>
        <v>0</v>
      </c>
      <c r="BT59" s="324"/>
      <c r="BU59" s="131">
        <f t="shared" si="49"/>
        <v>0</v>
      </c>
      <c r="BV59" s="131">
        <f t="shared" si="50"/>
        <v>0</v>
      </c>
      <c r="BW59" s="325"/>
      <c r="BX59" s="325"/>
      <c r="BY59" s="325"/>
      <c r="BZ59" s="325"/>
      <c r="CA59" s="325"/>
      <c r="CB59" s="325"/>
      <c r="CC59" s="357">
        <f t="shared" si="51"/>
        <v>0</v>
      </c>
    </row>
    <row r="60" spans="1:81" ht="15.95" customHeight="1">
      <c r="A60" s="293" t="s">
        <v>177</v>
      </c>
      <c r="B60" s="136"/>
      <c r="C60" s="126"/>
      <c r="D60" s="126"/>
      <c r="E60" s="128"/>
      <c r="F60" s="128"/>
      <c r="G60" s="128"/>
      <c r="H60" s="128"/>
      <c r="I60" s="128"/>
      <c r="J60" s="128"/>
      <c r="K60" s="240"/>
      <c r="L60" s="136"/>
      <c r="M60" s="126"/>
      <c r="N60" s="126"/>
      <c r="O60" s="128"/>
      <c r="P60" s="128"/>
      <c r="Q60" s="128"/>
      <c r="R60" s="128"/>
      <c r="S60" s="128"/>
      <c r="T60" s="128"/>
      <c r="U60" s="240"/>
      <c r="V60" s="136"/>
      <c r="W60" s="126"/>
      <c r="X60" s="126"/>
      <c r="Y60" s="128"/>
      <c r="Z60" s="128"/>
      <c r="AA60" s="128"/>
      <c r="AB60" s="128"/>
      <c r="AC60" s="128"/>
      <c r="AD60" s="128"/>
      <c r="AE60" s="240"/>
      <c r="AF60" s="136"/>
      <c r="AG60" s="126"/>
      <c r="AH60" s="126"/>
      <c r="AI60" s="128"/>
      <c r="AJ60" s="128"/>
      <c r="AK60" s="128"/>
      <c r="AL60" s="128"/>
      <c r="AM60" s="128"/>
      <c r="AN60" s="128"/>
      <c r="AO60" s="240"/>
      <c r="AP60" s="136"/>
      <c r="AQ60" s="126"/>
      <c r="AR60" s="126"/>
      <c r="AS60" s="128"/>
      <c r="AT60" s="128"/>
      <c r="AU60" s="128"/>
      <c r="AV60" s="128"/>
      <c r="AW60" s="128"/>
      <c r="AX60" s="128"/>
      <c r="AY60" s="240"/>
      <c r="AZ60" s="136"/>
      <c r="BA60" s="126"/>
      <c r="BB60" s="126"/>
      <c r="BC60" s="128"/>
      <c r="BD60" s="128"/>
      <c r="BE60" s="128"/>
      <c r="BF60" s="128"/>
      <c r="BG60" s="128"/>
      <c r="BH60" s="128"/>
      <c r="BI60" s="240"/>
      <c r="BJ60" s="136"/>
      <c r="BK60" s="126"/>
      <c r="BL60" s="126"/>
      <c r="BM60" s="128"/>
      <c r="BN60" s="128"/>
      <c r="BO60" s="128"/>
      <c r="BP60" s="128"/>
      <c r="BQ60" s="128"/>
      <c r="BR60" s="128"/>
      <c r="BS60" s="240"/>
      <c r="BT60" s="136"/>
      <c r="BU60" s="126"/>
      <c r="BV60" s="126"/>
      <c r="BW60" s="128"/>
      <c r="BX60" s="128"/>
      <c r="BY60" s="128"/>
      <c r="BZ60" s="128"/>
      <c r="CA60" s="128"/>
      <c r="CB60" s="128"/>
      <c r="CC60" s="240"/>
    </row>
    <row r="61" spans="1:81" s="77" customFormat="1" ht="15.95" customHeight="1">
      <c r="A61" s="288" t="s">
        <v>80</v>
      </c>
      <c r="B61" s="79">
        <f>SUM(B$34:B60)</f>
        <v>1407</v>
      </c>
      <c r="C61" s="131">
        <f>SUM(C$34:C60)</f>
        <v>2821456</v>
      </c>
      <c r="D61" s="131">
        <f>IFERROR(C61/B61,0)</f>
        <v>2005.2992181947407</v>
      </c>
      <c r="E61" s="132">
        <f>SUM(E$34:E60)</f>
        <v>1535475</v>
      </c>
      <c r="F61" s="132">
        <f>SUM(F$34:F60)</f>
        <v>32314</v>
      </c>
      <c r="G61" s="132">
        <f>SUM(G$34:G60)</f>
        <v>1434</v>
      </c>
      <c r="H61" s="132">
        <f>SUM(H$34:H60)</f>
        <v>1998</v>
      </c>
      <c r="I61" s="132">
        <f>SUM(I$34:I60)</f>
        <v>1250235</v>
      </c>
      <c r="J61" s="132">
        <f>SUM(J$34:J60)</f>
        <v>1900663</v>
      </c>
      <c r="K61" s="235">
        <f>SUM(K$34:K60)</f>
        <v>1056124</v>
      </c>
      <c r="L61" s="79">
        <f>SUM(L$34:L60)</f>
        <v>1307</v>
      </c>
      <c r="M61" s="131">
        <f>SUM(M$34:M60)</f>
        <v>2595091</v>
      </c>
      <c r="N61" s="131">
        <f>IFERROR(M61/L61,0)</f>
        <v>1985.5325172149962</v>
      </c>
      <c r="O61" s="132">
        <f>SUM(O$34:O60)</f>
        <v>1287926</v>
      </c>
      <c r="P61" s="132">
        <f>SUM(P$34:P60)</f>
        <v>76025</v>
      </c>
      <c r="Q61" s="132">
        <f>SUM(Q$34:Q60)</f>
        <v>5152</v>
      </c>
      <c r="R61" s="132">
        <f>SUM(R$34:R60)</f>
        <v>0</v>
      </c>
      <c r="S61" s="132">
        <f>SUM(S$34:S60)</f>
        <v>1225988</v>
      </c>
      <c r="T61" s="132">
        <f>SUM(T$34:T60)</f>
        <v>1950806</v>
      </c>
      <c r="U61" s="235">
        <f>SUM(U$34:U60)</f>
        <v>921880</v>
      </c>
      <c r="V61" s="79">
        <f>SUM(V$34:V60)</f>
        <v>1196</v>
      </c>
      <c r="W61" s="131">
        <f>SUM(W$34:W60)</f>
        <v>2401041</v>
      </c>
      <c r="X61" s="131">
        <f>IFERROR(W61/V61,0)</f>
        <v>2007.5593645484951</v>
      </c>
      <c r="Y61" s="132">
        <f>SUM(Y$34:Y60)</f>
        <v>1230715</v>
      </c>
      <c r="Z61" s="132">
        <f>SUM(Z$34:Z60)</f>
        <v>98149</v>
      </c>
      <c r="AA61" s="132">
        <f>SUM(AA$34:AA60)</f>
        <v>17593</v>
      </c>
      <c r="AB61" s="132">
        <f>SUM(AB$34:AB60)</f>
        <v>0</v>
      </c>
      <c r="AC61" s="132">
        <f>SUM(AC$34:AC60)</f>
        <v>1054584</v>
      </c>
      <c r="AD61" s="132">
        <f>SUM(AD$34:AD60)</f>
        <v>1715671</v>
      </c>
      <c r="AE61" s="235">
        <f>SUM(AE$34:AE60)</f>
        <v>968401</v>
      </c>
      <c r="AF61" s="79">
        <f>SUM(AF$34:AF60)</f>
        <v>1060</v>
      </c>
      <c r="AG61" s="131">
        <f>SUM(AG$34:AG60)</f>
        <v>1848554</v>
      </c>
      <c r="AH61" s="131">
        <f>IFERROR(AG61/AF61,0)</f>
        <v>1743.9188679245283</v>
      </c>
      <c r="AI61" s="132">
        <f>SUM(AI$34:AI60)</f>
        <v>1194946</v>
      </c>
      <c r="AJ61" s="132">
        <f>SUM(AJ$34:AJ60)</f>
        <v>132890</v>
      </c>
      <c r="AK61" s="132">
        <f>SUM(AK$34:AK60)</f>
        <v>0</v>
      </c>
      <c r="AL61" s="132">
        <f>SUM(AL$34:AL60)</f>
        <v>0</v>
      </c>
      <c r="AM61" s="132">
        <f>SUM(AM$34:AM60)</f>
        <v>520718</v>
      </c>
      <c r="AN61" s="132">
        <f>SUM(AN$34:AN60)</f>
        <v>1345839</v>
      </c>
      <c r="AO61" s="235">
        <f>SUM(AO$34:AO60)</f>
        <v>930535</v>
      </c>
      <c r="AP61" s="79">
        <f>SUM(AP$34:AP60)</f>
        <v>1248</v>
      </c>
      <c r="AQ61" s="131">
        <f>SUM(AQ$34:AQ60)</f>
        <v>2256662.2399999998</v>
      </c>
      <c r="AR61" s="131">
        <f>IFERROR(AQ61/AP61,0)</f>
        <v>1808.2229487179486</v>
      </c>
      <c r="AS61" s="132">
        <f>SUM(AS$34:AS60)</f>
        <v>1502470.4</v>
      </c>
      <c r="AT61" s="132">
        <f>SUM(AT$34:AT60)</f>
        <v>132652.66</v>
      </c>
      <c r="AU61" s="132">
        <f>SUM(AU$34:AU60)</f>
        <v>0</v>
      </c>
      <c r="AV61" s="132">
        <f>SUM(AV$34:AV60)</f>
        <v>0</v>
      </c>
      <c r="AW61" s="132">
        <f>SUM(AW$34:AW60)</f>
        <v>621539.17999999993</v>
      </c>
      <c r="AX61" s="132">
        <f>SUM(AX$34:AX60)</f>
        <v>1617167.0200000003</v>
      </c>
      <c r="AY61" s="235">
        <f>SUM(AY$34:AY60)</f>
        <v>1101308.73</v>
      </c>
      <c r="AZ61" s="79">
        <f>SUM(AZ$34:AZ60)</f>
        <v>1284</v>
      </c>
      <c r="BA61" s="131">
        <f>SUM(BA$34:BA60)</f>
        <v>2762448</v>
      </c>
      <c r="BB61" s="131">
        <f>IFERROR(BA61/AZ61,0)</f>
        <v>2151.4392523364486</v>
      </c>
      <c r="BC61" s="132">
        <f>SUM(BC$34:BC60)</f>
        <v>1229753</v>
      </c>
      <c r="BD61" s="132">
        <f>SUM(BD$34:BD60)</f>
        <v>78320</v>
      </c>
      <c r="BE61" s="132">
        <f>SUM(BE$34:BE60)</f>
        <v>314500</v>
      </c>
      <c r="BF61" s="132">
        <f>SUM(BF$34:BF60)</f>
        <v>0</v>
      </c>
      <c r="BG61" s="132">
        <f>SUM(BG$34:BG60)</f>
        <v>1139875</v>
      </c>
      <c r="BH61" s="132">
        <f>SUM(BH$34:BH60)</f>
        <v>1806954</v>
      </c>
      <c r="BI61" s="235">
        <f>SUM(BI$34:BI60)</f>
        <v>1087650</v>
      </c>
      <c r="BJ61" s="79">
        <f>SUM(BJ$34:BJ60)</f>
        <v>1378</v>
      </c>
      <c r="BK61" s="131">
        <f>SUM(BK$34:BK60)</f>
        <v>3202430</v>
      </c>
      <c r="BL61" s="131">
        <f>IFERROR(BK61/BJ61,0)</f>
        <v>2323.9695210449927</v>
      </c>
      <c r="BM61" s="132">
        <f>SUM(BM$34:BM60)</f>
        <v>1285030</v>
      </c>
      <c r="BN61" s="132">
        <f>SUM(BN$34:BN60)</f>
        <v>46837</v>
      </c>
      <c r="BO61" s="132">
        <f>SUM(BO$34:BO60)</f>
        <v>665087</v>
      </c>
      <c r="BP61" s="132">
        <f>SUM(BP$34:BP60)</f>
        <v>0</v>
      </c>
      <c r="BQ61" s="132">
        <f>SUM(BQ$34:BQ60)</f>
        <v>1205476</v>
      </c>
      <c r="BR61" s="132">
        <f>SUM(BR$34:BR60)</f>
        <v>2479376</v>
      </c>
      <c r="BS61" s="235">
        <f>SUM(BS$34:BS60)</f>
        <v>1124828</v>
      </c>
      <c r="BT61" s="79">
        <f>SUM(BT$34:BT60)</f>
        <v>1486</v>
      </c>
      <c r="BU61" s="131">
        <f>SUM(BU$34:BU60)</f>
        <v>3695714.07</v>
      </c>
      <c r="BV61" s="131">
        <f>IFERROR(BU61/BT61,0)</f>
        <v>2487.0215814266485</v>
      </c>
      <c r="BW61" s="132">
        <f>SUM(BW$34:BW60)</f>
        <v>1432694</v>
      </c>
      <c r="BX61" s="132">
        <f>SUM(BX$34:BX60)</f>
        <v>17210</v>
      </c>
      <c r="BY61" s="132">
        <f>SUM(BY$34:BY60)</f>
        <v>978896</v>
      </c>
      <c r="BZ61" s="132">
        <f>SUM(BZ$34:BZ60)</f>
        <v>0</v>
      </c>
      <c r="CA61" s="132">
        <f>SUM(CA$34:CA60)</f>
        <v>1266914.0699999998</v>
      </c>
      <c r="CB61" s="132">
        <f>SUM(CB$34:CB60)</f>
        <v>2222964.36</v>
      </c>
      <c r="CC61" s="235">
        <f>SUM(CC$34:CC60)</f>
        <v>1065587</v>
      </c>
    </row>
    <row r="62" spans="1:81" ht="15.95" customHeight="1">
      <c r="A62" s="285"/>
      <c r="B62" s="136"/>
      <c r="C62" s="126"/>
      <c r="D62" s="126"/>
      <c r="E62" s="128"/>
      <c r="F62" s="128"/>
      <c r="G62" s="128"/>
      <c r="H62" s="128"/>
      <c r="I62" s="128"/>
      <c r="J62" s="128"/>
      <c r="K62" s="240"/>
      <c r="L62" s="136"/>
      <c r="M62" s="126"/>
      <c r="N62" s="126"/>
      <c r="O62" s="128"/>
      <c r="P62" s="128"/>
      <c r="Q62" s="128"/>
      <c r="R62" s="128"/>
      <c r="S62" s="128"/>
      <c r="T62" s="128"/>
      <c r="U62" s="240"/>
      <c r="V62" s="136"/>
      <c r="W62" s="126"/>
      <c r="X62" s="126"/>
      <c r="Y62" s="128"/>
      <c r="Z62" s="128"/>
      <c r="AA62" s="128"/>
      <c r="AB62" s="128"/>
      <c r="AC62" s="128"/>
      <c r="AD62" s="128"/>
      <c r="AE62" s="240"/>
      <c r="AF62" s="136"/>
      <c r="AG62" s="126"/>
      <c r="AH62" s="126"/>
      <c r="AI62" s="128"/>
      <c r="AJ62" s="128"/>
      <c r="AK62" s="128"/>
      <c r="AL62" s="128"/>
      <c r="AM62" s="128"/>
      <c r="AN62" s="128"/>
      <c r="AO62" s="240"/>
      <c r="AP62" s="136"/>
      <c r="AQ62" s="126"/>
      <c r="AR62" s="126"/>
      <c r="AS62" s="128"/>
      <c r="AT62" s="128"/>
      <c r="AU62" s="128"/>
      <c r="AV62" s="128"/>
      <c r="AW62" s="128"/>
      <c r="AX62" s="128"/>
      <c r="AY62" s="240"/>
      <c r="AZ62" s="136"/>
      <c r="BA62" s="126"/>
      <c r="BB62" s="126"/>
      <c r="BC62" s="128"/>
      <c r="BD62" s="128"/>
      <c r="BE62" s="128"/>
      <c r="BF62" s="128"/>
      <c r="BG62" s="128"/>
      <c r="BH62" s="128"/>
      <c r="BI62" s="240"/>
      <c r="BJ62" s="136"/>
      <c r="BK62" s="126"/>
      <c r="BL62" s="126"/>
      <c r="BM62" s="128"/>
      <c r="BN62" s="128"/>
      <c r="BO62" s="128"/>
      <c r="BP62" s="128"/>
      <c r="BQ62" s="128"/>
      <c r="BR62" s="128"/>
      <c r="BS62" s="240"/>
      <c r="BT62" s="136"/>
      <c r="BU62" s="126"/>
      <c r="BV62" s="126"/>
      <c r="BW62" s="128"/>
      <c r="BX62" s="128"/>
      <c r="BY62" s="128"/>
      <c r="BZ62" s="128"/>
      <c r="CA62" s="128"/>
      <c r="CB62" s="128"/>
      <c r="CC62" s="240"/>
    </row>
    <row r="63" spans="1:81" ht="15.95" customHeight="1">
      <c r="A63" s="286" t="s">
        <v>81</v>
      </c>
      <c r="B63" s="136"/>
      <c r="C63" s="126"/>
      <c r="D63" s="126"/>
      <c r="E63" s="128"/>
      <c r="F63" s="128"/>
      <c r="G63" s="128"/>
      <c r="H63" s="128"/>
      <c r="I63" s="128"/>
      <c r="J63" s="128"/>
      <c r="K63" s="240"/>
      <c r="L63" s="136"/>
      <c r="M63" s="126"/>
      <c r="N63" s="126"/>
      <c r="O63" s="128"/>
      <c r="P63" s="128"/>
      <c r="Q63" s="128"/>
      <c r="R63" s="128"/>
      <c r="S63" s="128"/>
      <c r="T63" s="128"/>
      <c r="U63" s="240"/>
      <c r="V63" s="136"/>
      <c r="W63" s="126"/>
      <c r="X63" s="126"/>
      <c r="Y63" s="128"/>
      <c r="Z63" s="128"/>
      <c r="AA63" s="128"/>
      <c r="AB63" s="128"/>
      <c r="AC63" s="128"/>
      <c r="AD63" s="128"/>
      <c r="AE63" s="240"/>
      <c r="AF63" s="136"/>
      <c r="AG63" s="126"/>
      <c r="AH63" s="126"/>
      <c r="AI63" s="128"/>
      <c r="AJ63" s="128"/>
      <c r="AK63" s="128"/>
      <c r="AL63" s="128"/>
      <c r="AM63" s="128"/>
      <c r="AN63" s="128"/>
      <c r="AO63" s="240"/>
      <c r="AP63" s="136"/>
      <c r="AQ63" s="126"/>
      <c r="AR63" s="126"/>
      <c r="AS63" s="128"/>
      <c r="AT63" s="128"/>
      <c r="AU63" s="128"/>
      <c r="AV63" s="128"/>
      <c r="AW63" s="128"/>
      <c r="AX63" s="128"/>
      <c r="AY63" s="240"/>
      <c r="AZ63" s="136"/>
      <c r="BA63" s="126"/>
      <c r="BB63" s="126"/>
      <c r="BC63" s="128"/>
      <c r="BD63" s="128"/>
      <c r="BE63" s="128"/>
      <c r="BF63" s="128"/>
      <c r="BG63" s="128"/>
      <c r="BH63" s="128"/>
      <c r="BI63" s="240"/>
      <c r="BJ63" s="136"/>
      <c r="BK63" s="126"/>
      <c r="BL63" s="126"/>
      <c r="BM63" s="128"/>
      <c r="BN63" s="128"/>
      <c r="BO63" s="128"/>
      <c r="BP63" s="128"/>
      <c r="BQ63" s="128"/>
      <c r="BR63" s="128"/>
      <c r="BS63" s="240"/>
      <c r="BT63" s="136"/>
      <c r="BU63" s="126"/>
      <c r="BV63" s="126"/>
      <c r="BW63" s="128"/>
      <c r="BX63" s="128"/>
      <c r="BY63" s="128"/>
      <c r="BZ63" s="128"/>
      <c r="CA63" s="128"/>
      <c r="CB63" s="128"/>
      <c r="CC63" s="240"/>
    </row>
    <row r="64" spans="1:81" ht="15.95" customHeight="1">
      <c r="A64" s="287" t="s">
        <v>172</v>
      </c>
      <c r="B64" s="136"/>
      <c r="C64" s="126"/>
      <c r="D64" s="126"/>
      <c r="E64" s="128"/>
      <c r="F64" s="128"/>
      <c r="G64" s="128"/>
      <c r="H64" s="128"/>
      <c r="I64" s="128"/>
      <c r="J64" s="128"/>
      <c r="K64" s="235">
        <f t="shared" ref="K64:K85" si="66">IF(J64=0,0,(IF(E64&lt;=J64,E64,J64)))</f>
        <v>0</v>
      </c>
      <c r="L64" s="136">
        <v>2</v>
      </c>
      <c r="M64" s="131">
        <f>SUM(O64:S64)</f>
        <v>720</v>
      </c>
      <c r="N64" s="131">
        <f>IFERROR(M64/L64,0)</f>
        <v>360</v>
      </c>
      <c r="O64" s="128">
        <v>720</v>
      </c>
      <c r="P64" s="128"/>
      <c r="Q64" s="128"/>
      <c r="R64" s="128"/>
      <c r="S64" s="128"/>
      <c r="T64" s="128">
        <v>144</v>
      </c>
      <c r="U64" s="235">
        <f t="shared" ref="U64:U85" si="67">IF(T64=0,0,(IF(O64&lt;=T64,O64,T64)))</f>
        <v>144</v>
      </c>
      <c r="V64" s="136">
        <v>2</v>
      </c>
      <c r="W64" s="131">
        <f>SUM(Y64:AC64)</f>
        <v>1292</v>
      </c>
      <c r="X64" s="131">
        <f>IFERROR(W64/V64,0)</f>
        <v>646</v>
      </c>
      <c r="Y64" s="128">
        <v>1292</v>
      </c>
      <c r="Z64" s="128"/>
      <c r="AA64" s="128"/>
      <c r="AB64" s="128"/>
      <c r="AC64" s="128"/>
      <c r="AD64" s="128">
        <v>464</v>
      </c>
      <c r="AE64" s="235">
        <f t="shared" ref="AE64:AE85" si="68">IF(AD64=0,0,(IF(Y64&lt;=AD64,Y64,AD64)))</f>
        <v>464</v>
      </c>
      <c r="AF64" s="136">
        <v>1</v>
      </c>
      <c r="AG64" s="131">
        <f t="shared" ref="AG64:AG85" si="69">SUM(AI64:AM64)</f>
        <v>319</v>
      </c>
      <c r="AH64" s="131">
        <f t="shared" ref="AH64:AH85" si="70">IFERROR(AG64/AF64,0)</f>
        <v>319</v>
      </c>
      <c r="AI64" s="128">
        <v>319</v>
      </c>
      <c r="AJ64" s="128"/>
      <c r="AK64" s="128"/>
      <c r="AL64" s="128"/>
      <c r="AM64" s="128"/>
      <c r="AN64" s="128">
        <v>319</v>
      </c>
      <c r="AO64" s="235">
        <f t="shared" ref="AO64:AO85" si="71">IF(AN64=0,0,(IF(AI64&lt;=AN64,AI64,AN64)))</f>
        <v>319</v>
      </c>
      <c r="AP64" s="136">
        <v>1</v>
      </c>
      <c r="AQ64" s="131">
        <f t="shared" ref="AQ64:AQ85" si="72">SUM(AS64:AW64)</f>
        <v>326.7</v>
      </c>
      <c r="AR64" s="131">
        <f t="shared" ref="AR64:AR85" si="73">IFERROR(AQ64/AP64,0)</f>
        <v>326.7</v>
      </c>
      <c r="AS64" s="128">
        <v>326.7</v>
      </c>
      <c r="AT64" s="128"/>
      <c r="AU64" s="128"/>
      <c r="AV64" s="128"/>
      <c r="AW64" s="128"/>
      <c r="AX64" s="128">
        <v>326.7</v>
      </c>
      <c r="AY64" s="235">
        <f t="shared" ref="AY64:AY85" si="74">IF(AX64=0,0,(IF(AS64&lt;=AX64,AS64,AX64)))</f>
        <v>326.7</v>
      </c>
      <c r="AZ64" s="136">
        <v>1</v>
      </c>
      <c r="BA64" s="131">
        <f t="shared" ref="BA64:BA85" si="75">SUM(BC64:BG64)</f>
        <v>502</v>
      </c>
      <c r="BB64" s="131">
        <f t="shared" ref="BB64:BB85" si="76">IFERROR(BA64/AZ64,0)</f>
        <v>502</v>
      </c>
      <c r="BC64" s="128">
        <v>502</v>
      </c>
      <c r="BD64" s="128"/>
      <c r="BE64" s="128"/>
      <c r="BF64" s="128"/>
      <c r="BG64" s="128"/>
      <c r="BH64" s="128">
        <v>502</v>
      </c>
      <c r="BI64" s="235">
        <f t="shared" ref="BI64:BI85" si="77">IF(BH64=0,0,(IF(BC64&lt;=BH64,BC64,BH64)))</f>
        <v>502</v>
      </c>
      <c r="BJ64" s="137">
        <v>0</v>
      </c>
      <c r="BK64" s="131">
        <f t="shared" ref="BK64:BK85" si="78">SUM(BM64:BQ64)</f>
        <v>0</v>
      </c>
      <c r="BL64" s="131">
        <f t="shared" ref="BL64:BL85" si="79">IFERROR(BK64/BJ64,0)</f>
        <v>0</v>
      </c>
      <c r="BM64" s="133"/>
      <c r="BN64" s="133"/>
      <c r="BO64" s="133"/>
      <c r="BP64" s="133"/>
      <c r="BQ64" s="133"/>
      <c r="BR64" s="133"/>
      <c r="BS64" s="235">
        <f t="shared" ref="BS64:BS85" si="80">IF(BR64=0,0,(IF(BM64&lt;=BR64,BM64,BR64)))</f>
        <v>0</v>
      </c>
      <c r="BT64" s="324">
        <v>3</v>
      </c>
      <c r="BU64" s="131">
        <f t="shared" ref="BU64:BU85" si="81">SUM(BW64:CA64)</f>
        <v>13578</v>
      </c>
      <c r="BV64" s="131">
        <f t="shared" ref="BV64:BV85" si="82">IFERROR(BU64/BT64,0)</f>
        <v>4526</v>
      </c>
      <c r="BW64" s="325">
        <v>13578</v>
      </c>
      <c r="BX64" s="325"/>
      <c r="BY64" s="325"/>
      <c r="BZ64" s="325"/>
      <c r="CA64" s="325"/>
      <c r="CB64" s="325">
        <v>13578</v>
      </c>
      <c r="CC64" s="357">
        <f t="shared" ref="CC64:CC85" si="83">IF(CB64=0,0,(IF(BW64&lt;=CB64,BW64,CB64)))</f>
        <v>13578</v>
      </c>
    </row>
    <row r="65" spans="1:81" s="77" customFormat="1" ht="15.95" customHeight="1">
      <c r="A65" s="287" t="s">
        <v>82</v>
      </c>
      <c r="B65" s="137">
        <v>2</v>
      </c>
      <c r="C65" s="131">
        <f t="shared" ref="C65:C75" si="84">SUM(E65:I65)</f>
        <v>608</v>
      </c>
      <c r="D65" s="131">
        <f t="shared" ref="D65:D75" si="85">IFERROR(C65/B65,0)</f>
        <v>304</v>
      </c>
      <c r="E65" s="133">
        <v>608</v>
      </c>
      <c r="F65" s="133"/>
      <c r="G65" s="133"/>
      <c r="H65" s="133"/>
      <c r="I65" s="133"/>
      <c r="J65" s="133">
        <v>608</v>
      </c>
      <c r="K65" s="235">
        <f t="shared" si="66"/>
        <v>608</v>
      </c>
      <c r="L65" s="137">
        <v>3</v>
      </c>
      <c r="M65" s="131">
        <f t="shared" ref="M65:M75" si="86">SUM(O65:S65)</f>
        <v>795</v>
      </c>
      <c r="N65" s="131">
        <f t="shared" ref="N65:N75" si="87">IFERROR(M65/L65,0)</f>
        <v>265</v>
      </c>
      <c r="O65" s="133">
        <v>795</v>
      </c>
      <c r="P65" s="133"/>
      <c r="Q65" s="133"/>
      <c r="R65" s="133"/>
      <c r="S65" s="133"/>
      <c r="T65" s="133">
        <v>795</v>
      </c>
      <c r="U65" s="235">
        <f t="shared" si="67"/>
        <v>795</v>
      </c>
      <c r="V65" s="137">
        <v>3</v>
      </c>
      <c r="W65" s="131">
        <f t="shared" ref="W65:W85" si="88">SUM(Y65:AC65)</f>
        <v>1026</v>
      </c>
      <c r="X65" s="131">
        <f t="shared" ref="X65:X85" si="89">IFERROR(W65/V65,0)</f>
        <v>342</v>
      </c>
      <c r="Y65" s="133">
        <v>1026</v>
      </c>
      <c r="Z65" s="133"/>
      <c r="AA65" s="133"/>
      <c r="AB65" s="133"/>
      <c r="AC65" s="133"/>
      <c r="AD65" s="133">
        <v>1026</v>
      </c>
      <c r="AE65" s="235">
        <f t="shared" si="68"/>
        <v>1026</v>
      </c>
      <c r="AF65" s="137">
        <v>4</v>
      </c>
      <c r="AG65" s="131">
        <f t="shared" si="69"/>
        <v>1408</v>
      </c>
      <c r="AH65" s="131">
        <f t="shared" si="70"/>
        <v>352</v>
      </c>
      <c r="AI65" s="133">
        <v>1408</v>
      </c>
      <c r="AJ65" s="133"/>
      <c r="AK65" s="133"/>
      <c r="AL65" s="133"/>
      <c r="AM65" s="133"/>
      <c r="AN65" s="133">
        <v>1408</v>
      </c>
      <c r="AO65" s="235">
        <f t="shared" si="71"/>
        <v>1408</v>
      </c>
      <c r="AP65" s="137">
        <v>5</v>
      </c>
      <c r="AQ65" s="131">
        <f t="shared" si="72"/>
        <v>2168</v>
      </c>
      <c r="AR65" s="131">
        <f t="shared" si="73"/>
        <v>433.6</v>
      </c>
      <c r="AS65" s="133">
        <v>2168</v>
      </c>
      <c r="AT65" s="133"/>
      <c r="AU65" s="133"/>
      <c r="AV65" s="133"/>
      <c r="AW65" s="133"/>
      <c r="AX65" s="133">
        <v>1083</v>
      </c>
      <c r="AY65" s="235">
        <f t="shared" si="74"/>
        <v>1083</v>
      </c>
      <c r="AZ65" s="137">
        <v>1</v>
      </c>
      <c r="BA65" s="131">
        <f t="shared" si="75"/>
        <v>186</v>
      </c>
      <c r="BB65" s="131">
        <f t="shared" si="76"/>
        <v>186</v>
      </c>
      <c r="BC65" s="133">
        <v>186</v>
      </c>
      <c r="BD65" s="133"/>
      <c r="BE65" s="133"/>
      <c r="BF65" s="133"/>
      <c r="BG65" s="133"/>
      <c r="BH65" s="133">
        <v>186</v>
      </c>
      <c r="BI65" s="235">
        <f t="shared" si="77"/>
        <v>186</v>
      </c>
      <c r="BJ65" s="137">
        <v>1</v>
      </c>
      <c r="BK65" s="131">
        <f t="shared" si="78"/>
        <v>557</v>
      </c>
      <c r="BL65" s="131">
        <f t="shared" si="79"/>
        <v>557</v>
      </c>
      <c r="BM65" s="133">
        <v>557</v>
      </c>
      <c r="BN65" s="133"/>
      <c r="BO65" s="133"/>
      <c r="BP65" s="133"/>
      <c r="BQ65" s="133"/>
      <c r="BR65" s="133">
        <v>557</v>
      </c>
      <c r="BS65" s="235">
        <f t="shared" si="80"/>
        <v>557</v>
      </c>
      <c r="BT65" s="324">
        <v>4</v>
      </c>
      <c r="BU65" s="131">
        <f t="shared" si="81"/>
        <v>1856</v>
      </c>
      <c r="BV65" s="131">
        <f t="shared" si="82"/>
        <v>464</v>
      </c>
      <c r="BW65" s="325">
        <v>1856</v>
      </c>
      <c r="BX65" s="325"/>
      <c r="BY65" s="325"/>
      <c r="BZ65" s="325"/>
      <c r="CA65" s="325"/>
      <c r="CB65" s="325">
        <v>1671</v>
      </c>
      <c r="CC65" s="357">
        <f t="shared" si="83"/>
        <v>1671</v>
      </c>
    </row>
    <row r="66" spans="1:81" s="77" customFormat="1" ht="15.95" customHeight="1">
      <c r="A66" s="287" t="s">
        <v>83</v>
      </c>
      <c r="B66" s="137">
        <v>14</v>
      </c>
      <c r="C66" s="131">
        <f t="shared" si="84"/>
        <v>37850</v>
      </c>
      <c r="D66" s="131">
        <f t="shared" si="85"/>
        <v>2703.5714285714284</v>
      </c>
      <c r="E66" s="133"/>
      <c r="F66" s="133"/>
      <c r="G66" s="133"/>
      <c r="H66" s="133">
        <v>37850</v>
      </c>
      <c r="I66" s="133"/>
      <c r="J66" s="133"/>
      <c r="K66" s="235">
        <f t="shared" si="66"/>
        <v>0</v>
      </c>
      <c r="L66" s="137"/>
      <c r="M66" s="131">
        <f t="shared" si="86"/>
        <v>0</v>
      </c>
      <c r="N66" s="131">
        <f t="shared" si="87"/>
        <v>0</v>
      </c>
      <c r="O66" s="133"/>
      <c r="P66" s="133"/>
      <c r="Q66" s="133"/>
      <c r="R66" s="133"/>
      <c r="S66" s="133"/>
      <c r="T66" s="133"/>
      <c r="U66" s="235">
        <f t="shared" si="67"/>
        <v>0</v>
      </c>
      <c r="V66" s="137">
        <v>0</v>
      </c>
      <c r="W66" s="131">
        <f t="shared" si="88"/>
        <v>0</v>
      </c>
      <c r="X66" s="131">
        <f t="shared" si="89"/>
        <v>0</v>
      </c>
      <c r="Y66" s="133"/>
      <c r="Z66" s="133"/>
      <c r="AA66" s="133"/>
      <c r="AB66" s="133"/>
      <c r="AC66" s="133"/>
      <c r="AD66" s="133"/>
      <c r="AE66" s="235">
        <f t="shared" si="68"/>
        <v>0</v>
      </c>
      <c r="AF66" s="137"/>
      <c r="AG66" s="131">
        <f t="shared" si="69"/>
        <v>0</v>
      </c>
      <c r="AH66" s="131">
        <f t="shared" si="70"/>
        <v>0</v>
      </c>
      <c r="AI66" s="133"/>
      <c r="AJ66" s="133"/>
      <c r="AK66" s="133"/>
      <c r="AL66" s="133"/>
      <c r="AM66" s="133"/>
      <c r="AN66" s="133"/>
      <c r="AO66" s="235">
        <f t="shared" si="71"/>
        <v>0</v>
      </c>
      <c r="AP66" s="137">
        <v>13</v>
      </c>
      <c r="AQ66" s="131">
        <f t="shared" si="72"/>
        <v>31750</v>
      </c>
      <c r="AR66" s="131">
        <f t="shared" si="73"/>
        <v>2442.3076923076924</v>
      </c>
      <c r="AS66" s="133"/>
      <c r="AT66" s="133"/>
      <c r="AU66" s="133"/>
      <c r="AV66" s="133">
        <v>31750</v>
      </c>
      <c r="AW66" s="133"/>
      <c r="AX66" s="133">
        <v>3000</v>
      </c>
      <c r="AY66" s="235">
        <f t="shared" si="74"/>
        <v>0</v>
      </c>
      <c r="AZ66" s="137">
        <v>12</v>
      </c>
      <c r="BA66" s="131">
        <f t="shared" si="75"/>
        <v>26000</v>
      </c>
      <c r="BB66" s="131">
        <f t="shared" si="76"/>
        <v>2166.6666666666665</v>
      </c>
      <c r="BC66" s="133"/>
      <c r="BD66" s="133"/>
      <c r="BE66" s="133"/>
      <c r="BF66" s="133">
        <v>26000</v>
      </c>
      <c r="BG66" s="133"/>
      <c r="BH66" s="133">
        <v>7500</v>
      </c>
      <c r="BI66" s="235">
        <f t="shared" si="77"/>
        <v>0</v>
      </c>
      <c r="BJ66" s="137">
        <v>8</v>
      </c>
      <c r="BK66" s="131">
        <f t="shared" si="78"/>
        <v>26500</v>
      </c>
      <c r="BL66" s="131">
        <f t="shared" si="79"/>
        <v>3312.5</v>
      </c>
      <c r="BM66" s="133"/>
      <c r="BN66" s="133"/>
      <c r="BO66" s="133"/>
      <c r="BP66" s="133">
        <v>26500</v>
      </c>
      <c r="BQ66" s="133"/>
      <c r="BR66" s="133">
        <v>2000</v>
      </c>
      <c r="BS66" s="235">
        <f t="shared" si="80"/>
        <v>0</v>
      </c>
      <c r="BT66" s="324">
        <v>13</v>
      </c>
      <c r="BU66" s="131">
        <f t="shared" si="81"/>
        <v>30101.67</v>
      </c>
      <c r="BV66" s="131">
        <f t="shared" si="82"/>
        <v>2315.5130769230768</v>
      </c>
      <c r="BW66" s="325"/>
      <c r="BX66" s="325"/>
      <c r="BY66" s="325"/>
      <c r="BZ66" s="325">
        <v>30101.67</v>
      </c>
      <c r="CA66" s="325"/>
      <c r="CB66" s="325">
        <v>8600</v>
      </c>
      <c r="CC66" s="357">
        <f t="shared" si="83"/>
        <v>0</v>
      </c>
    </row>
    <row r="67" spans="1:81" s="77" customFormat="1" ht="15.95" customHeight="1">
      <c r="A67" s="287" t="s">
        <v>84</v>
      </c>
      <c r="B67" s="137">
        <v>55</v>
      </c>
      <c r="C67" s="131">
        <f t="shared" si="84"/>
        <v>112608</v>
      </c>
      <c r="D67" s="131">
        <f t="shared" si="85"/>
        <v>2047.4181818181819</v>
      </c>
      <c r="E67" s="133">
        <v>112608</v>
      </c>
      <c r="F67" s="133"/>
      <c r="G67" s="133"/>
      <c r="H67" s="133"/>
      <c r="I67" s="133"/>
      <c r="J67" s="133">
        <v>88511</v>
      </c>
      <c r="K67" s="235">
        <f t="shared" si="66"/>
        <v>88511</v>
      </c>
      <c r="L67" s="137">
        <v>46</v>
      </c>
      <c r="M67" s="131">
        <f t="shared" si="86"/>
        <v>104880</v>
      </c>
      <c r="N67" s="131">
        <f t="shared" si="87"/>
        <v>2280</v>
      </c>
      <c r="O67" s="133">
        <v>104880</v>
      </c>
      <c r="P67" s="133"/>
      <c r="Q67" s="133"/>
      <c r="R67" s="133"/>
      <c r="S67" s="133"/>
      <c r="T67" s="133">
        <v>86480</v>
      </c>
      <c r="U67" s="235">
        <f t="shared" si="67"/>
        <v>86480</v>
      </c>
      <c r="V67" s="137">
        <v>42</v>
      </c>
      <c r="W67" s="131">
        <f t="shared" si="88"/>
        <v>101652</v>
      </c>
      <c r="X67" s="131">
        <f t="shared" si="89"/>
        <v>2420.2857142857142</v>
      </c>
      <c r="Y67" s="133">
        <v>101652</v>
      </c>
      <c r="Z67" s="133"/>
      <c r="AA67" s="133"/>
      <c r="AB67" s="133"/>
      <c r="AC67" s="133"/>
      <c r="AD67" s="133">
        <v>72670</v>
      </c>
      <c r="AE67" s="235">
        <f t="shared" si="68"/>
        <v>72670</v>
      </c>
      <c r="AF67" s="137">
        <v>39</v>
      </c>
      <c r="AG67" s="131">
        <f t="shared" si="69"/>
        <v>93446</v>
      </c>
      <c r="AH67" s="131">
        <f t="shared" si="70"/>
        <v>2396.0512820512822</v>
      </c>
      <c r="AI67" s="133">
        <v>93446</v>
      </c>
      <c r="AJ67" s="133"/>
      <c r="AK67" s="133"/>
      <c r="AL67" s="133"/>
      <c r="AM67" s="133"/>
      <c r="AN67" s="133">
        <v>62924</v>
      </c>
      <c r="AO67" s="235">
        <f t="shared" si="71"/>
        <v>62924</v>
      </c>
      <c r="AP67" s="137">
        <v>47</v>
      </c>
      <c r="AQ67" s="131">
        <f t="shared" si="72"/>
        <v>115788.78</v>
      </c>
      <c r="AR67" s="131">
        <f t="shared" si="73"/>
        <v>2463.5910638297873</v>
      </c>
      <c r="AS67" s="133">
        <v>115788.78</v>
      </c>
      <c r="AT67" s="133"/>
      <c r="AU67" s="133"/>
      <c r="AV67" s="133"/>
      <c r="AW67" s="133"/>
      <c r="AX67" s="133">
        <v>73598.25</v>
      </c>
      <c r="AY67" s="235">
        <f t="shared" si="74"/>
        <v>73598.25</v>
      </c>
      <c r="AZ67" s="137">
        <v>50</v>
      </c>
      <c r="BA67" s="131">
        <f t="shared" si="75"/>
        <v>130380</v>
      </c>
      <c r="BB67" s="131">
        <f t="shared" si="76"/>
        <v>2607.6</v>
      </c>
      <c r="BC67" s="133">
        <v>130380</v>
      </c>
      <c r="BD67" s="133"/>
      <c r="BE67" s="133"/>
      <c r="BF67" s="133"/>
      <c r="BG67" s="133"/>
      <c r="BH67" s="133">
        <v>88722</v>
      </c>
      <c r="BI67" s="235">
        <f t="shared" si="77"/>
        <v>88722</v>
      </c>
      <c r="BJ67" s="137">
        <v>51</v>
      </c>
      <c r="BK67" s="131">
        <f t="shared" si="78"/>
        <v>126666</v>
      </c>
      <c r="BL67" s="131">
        <f t="shared" si="79"/>
        <v>2483.6470588235293</v>
      </c>
      <c r="BM67" s="133">
        <v>126666</v>
      </c>
      <c r="BN67" s="133"/>
      <c r="BO67" s="133"/>
      <c r="BP67" s="133"/>
      <c r="BQ67" s="133"/>
      <c r="BR67" s="133">
        <v>93093</v>
      </c>
      <c r="BS67" s="235">
        <f t="shared" si="80"/>
        <v>93093</v>
      </c>
      <c r="BT67" s="324">
        <v>43</v>
      </c>
      <c r="BU67" s="131">
        <f t="shared" si="81"/>
        <v>113971.5</v>
      </c>
      <c r="BV67" s="131">
        <f t="shared" si="82"/>
        <v>2650.5</v>
      </c>
      <c r="BW67" s="325">
        <v>113971.5</v>
      </c>
      <c r="BX67" s="325"/>
      <c r="BY67" s="325"/>
      <c r="BZ67" s="325"/>
      <c r="CA67" s="325"/>
      <c r="CB67" s="325">
        <v>88675.5</v>
      </c>
      <c r="CC67" s="357">
        <f t="shared" si="83"/>
        <v>88675.5</v>
      </c>
    </row>
    <row r="68" spans="1:81" s="77" customFormat="1" ht="15.95" customHeight="1">
      <c r="A68" s="287" t="s">
        <v>85</v>
      </c>
      <c r="B68" s="137">
        <v>21</v>
      </c>
      <c r="C68" s="131">
        <f t="shared" si="84"/>
        <v>41693</v>
      </c>
      <c r="D68" s="131">
        <f t="shared" si="85"/>
        <v>1985.3809523809523</v>
      </c>
      <c r="E68" s="133">
        <v>41693</v>
      </c>
      <c r="F68" s="133"/>
      <c r="G68" s="133"/>
      <c r="H68" s="133"/>
      <c r="I68" s="133"/>
      <c r="J68" s="133"/>
      <c r="K68" s="235">
        <f t="shared" si="66"/>
        <v>0</v>
      </c>
      <c r="L68" s="137">
        <v>25</v>
      </c>
      <c r="M68" s="131">
        <f t="shared" si="86"/>
        <v>46960</v>
      </c>
      <c r="N68" s="131">
        <f t="shared" si="87"/>
        <v>1878.4</v>
      </c>
      <c r="O68" s="133">
        <v>46960</v>
      </c>
      <c r="P68" s="133"/>
      <c r="Q68" s="133"/>
      <c r="R68" s="133"/>
      <c r="S68" s="133"/>
      <c r="T68" s="133"/>
      <c r="U68" s="235">
        <f t="shared" si="67"/>
        <v>0</v>
      </c>
      <c r="V68" s="137">
        <v>19</v>
      </c>
      <c r="W68" s="131">
        <f t="shared" si="88"/>
        <v>35174</v>
      </c>
      <c r="X68" s="131">
        <f t="shared" si="89"/>
        <v>1851.2631578947369</v>
      </c>
      <c r="Y68" s="133">
        <v>35174</v>
      </c>
      <c r="Z68" s="133"/>
      <c r="AA68" s="133"/>
      <c r="AB68" s="133"/>
      <c r="AC68" s="133"/>
      <c r="AD68" s="133">
        <v>2494</v>
      </c>
      <c r="AE68" s="235">
        <f t="shared" si="68"/>
        <v>2494</v>
      </c>
      <c r="AF68" s="137">
        <v>15</v>
      </c>
      <c r="AG68" s="131">
        <f t="shared" si="69"/>
        <v>61282</v>
      </c>
      <c r="AH68" s="131">
        <f t="shared" si="70"/>
        <v>4085.4666666666667</v>
      </c>
      <c r="AI68" s="133">
        <v>61282</v>
      </c>
      <c r="AJ68" s="133"/>
      <c r="AK68" s="133"/>
      <c r="AL68" s="133"/>
      <c r="AM68" s="133"/>
      <c r="AN68" s="133"/>
      <c r="AO68" s="235">
        <f t="shared" si="71"/>
        <v>0</v>
      </c>
      <c r="AP68" s="137">
        <v>19</v>
      </c>
      <c r="AQ68" s="131">
        <f t="shared" si="72"/>
        <v>64194.85</v>
      </c>
      <c r="AR68" s="131">
        <f t="shared" si="73"/>
        <v>3378.6763157894734</v>
      </c>
      <c r="AS68" s="133">
        <v>64194.85</v>
      </c>
      <c r="AT68" s="133"/>
      <c r="AU68" s="133"/>
      <c r="AV68" s="133"/>
      <c r="AW68" s="133"/>
      <c r="AX68" s="133">
        <v>4859.5</v>
      </c>
      <c r="AY68" s="235">
        <f t="shared" si="74"/>
        <v>4859.5</v>
      </c>
      <c r="AZ68" s="137">
        <v>11</v>
      </c>
      <c r="BA68" s="131">
        <f t="shared" si="75"/>
        <v>50140</v>
      </c>
      <c r="BB68" s="131">
        <f t="shared" si="76"/>
        <v>4558.181818181818</v>
      </c>
      <c r="BC68" s="133">
        <v>50140</v>
      </c>
      <c r="BD68" s="133"/>
      <c r="BE68" s="133"/>
      <c r="BF68" s="133"/>
      <c r="BG68" s="133"/>
      <c r="BH68" s="133"/>
      <c r="BI68" s="235">
        <f t="shared" si="77"/>
        <v>0</v>
      </c>
      <c r="BJ68" s="137">
        <v>14</v>
      </c>
      <c r="BK68" s="131">
        <f t="shared" si="78"/>
        <v>48186</v>
      </c>
      <c r="BL68" s="131">
        <f t="shared" si="79"/>
        <v>3441.8571428571427</v>
      </c>
      <c r="BM68" s="133">
        <v>48186</v>
      </c>
      <c r="BN68" s="133"/>
      <c r="BO68" s="133"/>
      <c r="BP68" s="133"/>
      <c r="BQ68" s="133"/>
      <c r="BR68" s="133"/>
      <c r="BS68" s="235">
        <f t="shared" si="80"/>
        <v>0</v>
      </c>
      <c r="BT68" s="324">
        <v>13</v>
      </c>
      <c r="BU68" s="131">
        <f t="shared" si="81"/>
        <v>39364</v>
      </c>
      <c r="BV68" s="131">
        <f t="shared" si="82"/>
        <v>3028</v>
      </c>
      <c r="BW68" s="325">
        <v>39364</v>
      </c>
      <c r="BX68" s="325"/>
      <c r="BY68" s="325"/>
      <c r="BZ68" s="325"/>
      <c r="CA68" s="325"/>
      <c r="CB68" s="325"/>
      <c r="CC68" s="357">
        <f t="shared" si="83"/>
        <v>0</v>
      </c>
    </row>
    <row r="69" spans="1:81" s="77" customFormat="1" ht="15.95" customHeight="1">
      <c r="A69" s="287" t="s">
        <v>86</v>
      </c>
      <c r="B69" s="137">
        <v>80</v>
      </c>
      <c r="C69" s="131">
        <f t="shared" si="84"/>
        <v>297354</v>
      </c>
      <c r="D69" s="131">
        <f t="shared" si="85"/>
        <v>3716.9250000000002</v>
      </c>
      <c r="E69" s="133"/>
      <c r="F69" s="133"/>
      <c r="G69" s="133">
        <v>9987</v>
      </c>
      <c r="H69" s="133">
        <v>287367</v>
      </c>
      <c r="I69" s="133"/>
      <c r="J69" s="133">
        <v>154201</v>
      </c>
      <c r="K69" s="235">
        <f t="shared" si="66"/>
        <v>0</v>
      </c>
      <c r="L69" s="137">
        <v>69</v>
      </c>
      <c r="M69" s="131">
        <f t="shared" si="86"/>
        <v>499467</v>
      </c>
      <c r="N69" s="131">
        <f t="shared" si="87"/>
        <v>7238.652173913043</v>
      </c>
      <c r="O69" s="133"/>
      <c r="P69" s="133"/>
      <c r="Q69" s="133">
        <v>61422</v>
      </c>
      <c r="R69" s="133">
        <v>438045</v>
      </c>
      <c r="S69" s="133"/>
      <c r="T69" s="133">
        <v>288079</v>
      </c>
      <c r="U69" s="235">
        <f t="shared" si="67"/>
        <v>0</v>
      </c>
      <c r="V69" s="137">
        <v>56</v>
      </c>
      <c r="W69" s="131">
        <f t="shared" si="88"/>
        <v>254968</v>
      </c>
      <c r="X69" s="131">
        <f t="shared" si="89"/>
        <v>4553</v>
      </c>
      <c r="Y69" s="133"/>
      <c r="Z69" s="133"/>
      <c r="AA69" s="133">
        <v>11868</v>
      </c>
      <c r="AB69" s="133">
        <v>243100</v>
      </c>
      <c r="AC69" s="133"/>
      <c r="AD69" s="133">
        <v>163123</v>
      </c>
      <c r="AE69" s="235">
        <f t="shared" si="68"/>
        <v>0</v>
      </c>
      <c r="AF69" s="137">
        <v>20</v>
      </c>
      <c r="AG69" s="131">
        <f t="shared" si="69"/>
        <v>39473</v>
      </c>
      <c r="AH69" s="131">
        <f t="shared" si="70"/>
        <v>1973.65</v>
      </c>
      <c r="AI69" s="133"/>
      <c r="AJ69" s="133"/>
      <c r="AK69" s="133">
        <v>12080</v>
      </c>
      <c r="AL69" s="133">
        <v>27393</v>
      </c>
      <c r="AM69" s="133"/>
      <c r="AN69" s="133">
        <v>12852</v>
      </c>
      <c r="AO69" s="235">
        <f t="shared" si="71"/>
        <v>0</v>
      </c>
      <c r="AP69" s="137">
        <v>18</v>
      </c>
      <c r="AQ69" s="131">
        <f t="shared" si="72"/>
        <v>38104.36</v>
      </c>
      <c r="AR69" s="131">
        <f t="shared" si="73"/>
        <v>2116.9088888888891</v>
      </c>
      <c r="AS69" s="133"/>
      <c r="AT69" s="133"/>
      <c r="AU69" s="133">
        <v>10349</v>
      </c>
      <c r="AV69" s="133">
        <v>27755.360000000001</v>
      </c>
      <c r="AW69" s="133"/>
      <c r="AX69" s="133">
        <v>16046.3</v>
      </c>
      <c r="AY69" s="235">
        <f t="shared" si="74"/>
        <v>0</v>
      </c>
      <c r="AZ69" s="137">
        <v>13</v>
      </c>
      <c r="BA69" s="131">
        <f t="shared" si="75"/>
        <v>32029</v>
      </c>
      <c r="BB69" s="131">
        <f t="shared" si="76"/>
        <v>2463.7692307692309</v>
      </c>
      <c r="BC69" s="133"/>
      <c r="BD69" s="133"/>
      <c r="BE69" s="133">
        <v>16577</v>
      </c>
      <c r="BF69" s="133">
        <v>15452</v>
      </c>
      <c r="BG69" s="133"/>
      <c r="BH69" s="133">
        <v>10789</v>
      </c>
      <c r="BI69" s="235">
        <f t="shared" si="77"/>
        <v>0</v>
      </c>
      <c r="BJ69" s="137">
        <v>15</v>
      </c>
      <c r="BK69" s="131">
        <f t="shared" si="78"/>
        <v>51436</v>
      </c>
      <c r="BL69" s="131">
        <f t="shared" si="79"/>
        <v>3429.0666666666666</v>
      </c>
      <c r="BM69" s="133"/>
      <c r="BN69" s="133"/>
      <c r="BO69" s="133">
        <v>17794</v>
      </c>
      <c r="BP69" s="133">
        <v>33642</v>
      </c>
      <c r="BQ69" s="133"/>
      <c r="BR69" s="133">
        <v>22860</v>
      </c>
      <c r="BS69" s="235">
        <f t="shared" si="80"/>
        <v>0</v>
      </c>
      <c r="BT69" s="324">
        <v>14</v>
      </c>
      <c r="BU69" s="131">
        <f t="shared" si="81"/>
        <v>28168.5</v>
      </c>
      <c r="BV69" s="131">
        <f t="shared" si="82"/>
        <v>2012.0357142857142</v>
      </c>
      <c r="BW69" s="325"/>
      <c r="BX69" s="325"/>
      <c r="BY69" s="325">
        <v>11418</v>
      </c>
      <c r="BZ69" s="325">
        <v>16750.5</v>
      </c>
      <c r="CA69" s="325"/>
      <c r="CB69" s="325">
        <v>14855.5</v>
      </c>
      <c r="CC69" s="357">
        <f t="shared" si="83"/>
        <v>0</v>
      </c>
    </row>
    <row r="70" spans="1:81" s="77" customFormat="1" ht="15.95" customHeight="1">
      <c r="A70" s="287" t="s">
        <v>87</v>
      </c>
      <c r="B70" s="137">
        <v>36</v>
      </c>
      <c r="C70" s="131">
        <f t="shared" si="84"/>
        <v>34553</v>
      </c>
      <c r="D70" s="131">
        <f t="shared" si="85"/>
        <v>959.80555555555554</v>
      </c>
      <c r="E70" s="133">
        <v>34553</v>
      </c>
      <c r="F70" s="133"/>
      <c r="G70" s="133"/>
      <c r="H70" s="133"/>
      <c r="I70" s="133"/>
      <c r="J70" s="133">
        <v>34553</v>
      </c>
      <c r="K70" s="235">
        <f t="shared" si="66"/>
        <v>34553</v>
      </c>
      <c r="L70" s="137">
        <v>37</v>
      </c>
      <c r="M70" s="131">
        <f t="shared" si="86"/>
        <v>35332</v>
      </c>
      <c r="N70" s="131">
        <f t="shared" si="87"/>
        <v>954.91891891891896</v>
      </c>
      <c r="O70" s="133">
        <v>35332</v>
      </c>
      <c r="P70" s="133"/>
      <c r="Q70" s="133"/>
      <c r="R70" s="133"/>
      <c r="S70" s="133"/>
      <c r="T70" s="133">
        <v>27940</v>
      </c>
      <c r="U70" s="235">
        <f t="shared" si="67"/>
        <v>27940</v>
      </c>
      <c r="V70" s="137">
        <v>29</v>
      </c>
      <c r="W70" s="131">
        <f t="shared" si="88"/>
        <v>25303</v>
      </c>
      <c r="X70" s="131">
        <f t="shared" si="89"/>
        <v>872.51724137931035</v>
      </c>
      <c r="Y70" s="133">
        <v>25303</v>
      </c>
      <c r="Z70" s="133"/>
      <c r="AA70" s="133"/>
      <c r="AB70" s="133"/>
      <c r="AC70" s="133"/>
      <c r="AD70" s="133">
        <v>20693</v>
      </c>
      <c r="AE70" s="235">
        <f t="shared" si="68"/>
        <v>20693</v>
      </c>
      <c r="AF70" s="137">
        <v>30</v>
      </c>
      <c r="AG70" s="131">
        <f t="shared" si="69"/>
        <v>27989</v>
      </c>
      <c r="AH70" s="131">
        <f t="shared" si="70"/>
        <v>932.9666666666667</v>
      </c>
      <c r="AI70" s="133">
        <v>27989</v>
      </c>
      <c r="AJ70" s="133"/>
      <c r="AK70" s="133"/>
      <c r="AL70" s="133"/>
      <c r="AM70" s="133"/>
      <c r="AN70" s="133">
        <v>24675</v>
      </c>
      <c r="AO70" s="235">
        <f t="shared" si="71"/>
        <v>24675</v>
      </c>
      <c r="AP70" s="137">
        <v>28</v>
      </c>
      <c r="AQ70" s="131">
        <f t="shared" si="72"/>
        <v>33602.800000000003</v>
      </c>
      <c r="AR70" s="131">
        <f t="shared" si="73"/>
        <v>1200.1000000000001</v>
      </c>
      <c r="AS70" s="133">
        <v>33602.800000000003</v>
      </c>
      <c r="AT70" s="133"/>
      <c r="AU70" s="133"/>
      <c r="AV70" s="133"/>
      <c r="AW70" s="133"/>
      <c r="AX70" s="133">
        <v>30375.89</v>
      </c>
      <c r="AY70" s="235">
        <f t="shared" si="74"/>
        <v>30375.89</v>
      </c>
      <c r="AZ70" s="137">
        <v>23</v>
      </c>
      <c r="BA70" s="131">
        <f t="shared" si="75"/>
        <v>38539</v>
      </c>
      <c r="BB70" s="131">
        <f t="shared" si="76"/>
        <v>1675.608695652174</v>
      </c>
      <c r="BC70" s="133">
        <v>38539</v>
      </c>
      <c r="BD70" s="133"/>
      <c r="BE70" s="133"/>
      <c r="BF70" s="133"/>
      <c r="BG70" s="133"/>
      <c r="BH70" s="133">
        <v>38539</v>
      </c>
      <c r="BI70" s="235">
        <f t="shared" si="77"/>
        <v>38539</v>
      </c>
      <c r="BJ70" s="137">
        <v>25</v>
      </c>
      <c r="BK70" s="131">
        <f t="shared" si="78"/>
        <v>31458</v>
      </c>
      <c r="BL70" s="131">
        <f t="shared" si="79"/>
        <v>1258.32</v>
      </c>
      <c r="BM70" s="133">
        <v>31458</v>
      </c>
      <c r="BN70" s="133"/>
      <c r="BO70" s="133"/>
      <c r="BP70" s="133"/>
      <c r="BQ70" s="133"/>
      <c r="BR70" s="133">
        <v>25342</v>
      </c>
      <c r="BS70" s="235">
        <f t="shared" si="80"/>
        <v>25342</v>
      </c>
      <c r="BT70" s="324">
        <v>11</v>
      </c>
      <c r="BU70" s="131">
        <f t="shared" si="81"/>
        <v>15127.33</v>
      </c>
      <c r="BV70" s="131">
        <f t="shared" si="82"/>
        <v>1375.2118181818182</v>
      </c>
      <c r="BW70" s="325">
        <v>15127.33</v>
      </c>
      <c r="BX70" s="325"/>
      <c r="BY70" s="325"/>
      <c r="BZ70" s="325"/>
      <c r="CA70" s="325"/>
      <c r="CB70" s="325">
        <v>10743.45</v>
      </c>
      <c r="CC70" s="357">
        <f t="shared" si="83"/>
        <v>10743.45</v>
      </c>
    </row>
    <row r="71" spans="1:81" s="77" customFormat="1" ht="15.95" customHeight="1">
      <c r="A71" s="287" t="s">
        <v>191</v>
      </c>
      <c r="B71" s="137"/>
      <c r="C71" s="131"/>
      <c r="D71" s="131"/>
      <c r="E71" s="133"/>
      <c r="F71" s="133"/>
      <c r="G71" s="133"/>
      <c r="H71" s="133"/>
      <c r="I71" s="133"/>
      <c r="J71" s="133"/>
      <c r="K71" s="235">
        <f t="shared" si="66"/>
        <v>0</v>
      </c>
      <c r="L71" s="137"/>
      <c r="M71" s="131"/>
      <c r="N71" s="131"/>
      <c r="O71" s="133"/>
      <c r="P71" s="133"/>
      <c r="Q71" s="133"/>
      <c r="R71" s="133"/>
      <c r="S71" s="133"/>
      <c r="T71" s="133"/>
      <c r="U71" s="235">
        <f t="shared" si="67"/>
        <v>0</v>
      </c>
      <c r="V71" s="137">
        <v>6</v>
      </c>
      <c r="W71" s="131">
        <f t="shared" si="88"/>
        <v>14018</v>
      </c>
      <c r="X71" s="131">
        <f t="shared" si="89"/>
        <v>2336.3333333333335</v>
      </c>
      <c r="Y71" s="133">
        <v>14018</v>
      </c>
      <c r="Z71" s="133"/>
      <c r="AA71" s="133"/>
      <c r="AB71" s="133"/>
      <c r="AC71" s="133"/>
      <c r="AD71" s="133">
        <v>14018</v>
      </c>
      <c r="AE71" s="235">
        <f t="shared" si="68"/>
        <v>14018</v>
      </c>
      <c r="AF71" s="137">
        <v>6</v>
      </c>
      <c r="AG71" s="131">
        <f t="shared" si="69"/>
        <v>15576</v>
      </c>
      <c r="AH71" s="131">
        <f t="shared" si="70"/>
        <v>2596</v>
      </c>
      <c r="AI71" s="133">
        <v>15576</v>
      </c>
      <c r="AJ71" s="133"/>
      <c r="AK71" s="133"/>
      <c r="AL71" s="133"/>
      <c r="AM71" s="133"/>
      <c r="AN71" s="133">
        <v>15576</v>
      </c>
      <c r="AO71" s="235">
        <f t="shared" si="71"/>
        <v>15576</v>
      </c>
      <c r="AP71" s="137">
        <v>7</v>
      </c>
      <c r="AQ71" s="131">
        <f t="shared" si="72"/>
        <v>16859.25</v>
      </c>
      <c r="AR71" s="131">
        <f t="shared" si="73"/>
        <v>2408.4642857142858</v>
      </c>
      <c r="AS71" s="133">
        <v>16859.25</v>
      </c>
      <c r="AT71" s="133"/>
      <c r="AU71" s="133"/>
      <c r="AV71" s="133"/>
      <c r="AW71" s="133"/>
      <c r="AX71" s="133">
        <v>16859.25</v>
      </c>
      <c r="AY71" s="235">
        <f t="shared" si="74"/>
        <v>16859.25</v>
      </c>
      <c r="AZ71" s="137">
        <v>8</v>
      </c>
      <c r="BA71" s="131">
        <f t="shared" si="75"/>
        <v>20460</v>
      </c>
      <c r="BB71" s="131">
        <f t="shared" si="76"/>
        <v>2557.5</v>
      </c>
      <c r="BC71" s="133">
        <v>20460</v>
      </c>
      <c r="BD71" s="133"/>
      <c r="BE71" s="133"/>
      <c r="BF71" s="133"/>
      <c r="BG71" s="133"/>
      <c r="BH71" s="133">
        <v>20460</v>
      </c>
      <c r="BI71" s="235">
        <f t="shared" si="77"/>
        <v>20460</v>
      </c>
      <c r="BJ71" s="137">
        <v>8</v>
      </c>
      <c r="BK71" s="131">
        <f t="shared" si="78"/>
        <v>19344</v>
      </c>
      <c r="BL71" s="131">
        <f t="shared" si="79"/>
        <v>2418</v>
      </c>
      <c r="BM71" s="133">
        <v>19344</v>
      </c>
      <c r="BN71" s="133"/>
      <c r="BO71" s="133"/>
      <c r="BP71" s="133"/>
      <c r="BQ71" s="133"/>
      <c r="BR71" s="133">
        <v>19344</v>
      </c>
      <c r="BS71" s="235">
        <f t="shared" si="80"/>
        <v>19344</v>
      </c>
      <c r="BT71" s="324">
        <v>5</v>
      </c>
      <c r="BU71" s="131">
        <f t="shared" si="81"/>
        <v>13206</v>
      </c>
      <c r="BV71" s="131">
        <f t="shared" si="82"/>
        <v>2641.2</v>
      </c>
      <c r="BW71" s="325">
        <v>13206</v>
      </c>
      <c r="BX71" s="325"/>
      <c r="BY71" s="325"/>
      <c r="BZ71" s="325"/>
      <c r="CA71" s="325"/>
      <c r="CB71" s="325">
        <v>13206</v>
      </c>
      <c r="CC71" s="357">
        <f t="shared" si="83"/>
        <v>13206</v>
      </c>
    </row>
    <row r="72" spans="1:81" s="77" customFormat="1" ht="15.95" customHeight="1">
      <c r="A72" s="287" t="s">
        <v>88</v>
      </c>
      <c r="B72" s="137">
        <v>15</v>
      </c>
      <c r="C72" s="131">
        <f t="shared" si="84"/>
        <v>54468</v>
      </c>
      <c r="D72" s="131">
        <f t="shared" si="85"/>
        <v>3631.2</v>
      </c>
      <c r="E72" s="133">
        <v>54468</v>
      </c>
      <c r="F72" s="133"/>
      <c r="G72" s="133"/>
      <c r="H72" s="133"/>
      <c r="I72" s="133"/>
      <c r="J72" s="133">
        <v>33354</v>
      </c>
      <c r="K72" s="235">
        <f t="shared" si="66"/>
        <v>33354</v>
      </c>
      <c r="L72" s="137">
        <v>13</v>
      </c>
      <c r="M72" s="131">
        <f t="shared" si="86"/>
        <v>55523</v>
      </c>
      <c r="N72" s="131">
        <f t="shared" si="87"/>
        <v>4271</v>
      </c>
      <c r="O72" s="133">
        <v>55523</v>
      </c>
      <c r="P72" s="133"/>
      <c r="Q72" s="133"/>
      <c r="R72" s="133"/>
      <c r="S72" s="133"/>
      <c r="T72" s="133">
        <v>42720</v>
      </c>
      <c r="U72" s="235">
        <f t="shared" si="67"/>
        <v>42720</v>
      </c>
      <c r="V72" s="137">
        <v>21</v>
      </c>
      <c r="W72" s="131">
        <f t="shared" si="88"/>
        <v>101308</v>
      </c>
      <c r="X72" s="131">
        <f t="shared" si="89"/>
        <v>4824.1904761904761</v>
      </c>
      <c r="Y72" s="133">
        <v>101308</v>
      </c>
      <c r="Z72" s="133"/>
      <c r="AA72" s="133"/>
      <c r="AB72" s="133"/>
      <c r="AC72" s="133"/>
      <c r="AD72" s="133">
        <v>54008</v>
      </c>
      <c r="AE72" s="235">
        <f t="shared" si="68"/>
        <v>54008</v>
      </c>
      <c r="AF72" s="137">
        <v>26</v>
      </c>
      <c r="AG72" s="131">
        <f t="shared" si="69"/>
        <v>116379</v>
      </c>
      <c r="AH72" s="131">
        <f t="shared" si="70"/>
        <v>4476.1153846153848</v>
      </c>
      <c r="AI72" s="133">
        <v>116379</v>
      </c>
      <c r="AJ72" s="133"/>
      <c r="AK72" s="133"/>
      <c r="AL72" s="133"/>
      <c r="AM72" s="133"/>
      <c r="AN72" s="133">
        <v>76110</v>
      </c>
      <c r="AO72" s="235">
        <f t="shared" si="71"/>
        <v>76110</v>
      </c>
      <c r="AP72" s="137">
        <v>23</v>
      </c>
      <c r="AQ72" s="131">
        <f t="shared" si="72"/>
        <v>102906.73</v>
      </c>
      <c r="AR72" s="131">
        <f t="shared" si="73"/>
        <v>4474.2056521739132</v>
      </c>
      <c r="AS72" s="133">
        <v>102906.73</v>
      </c>
      <c r="AT72" s="133"/>
      <c r="AU72" s="133"/>
      <c r="AV72" s="133"/>
      <c r="AW72" s="133"/>
      <c r="AX72" s="133">
        <v>77137.5</v>
      </c>
      <c r="AY72" s="235">
        <f t="shared" si="74"/>
        <v>77137.5</v>
      </c>
      <c r="AZ72" s="137">
        <v>18</v>
      </c>
      <c r="BA72" s="131">
        <f t="shared" si="75"/>
        <v>84628</v>
      </c>
      <c r="BB72" s="131">
        <f t="shared" si="76"/>
        <v>4701.5555555555557</v>
      </c>
      <c r="BC72" s="133">
        <v>84628</v>
      </c>
      <c r="BD72" s="133"/>
      <c r="BE72" s="133"/>
      <c r="BF72" s="133"/>
      <c r="BG72" s="133"/>
      <c r="BH72" s="133">
        <v>55428</v>
      </c>
      <c r="BI72" s="235">
        <f t="shared" si="77"/>
        <v>55428</v>
      </c>
      <c r="BJ72" s="137">
        <v>15</v>
      </c>
      <c r="BK72" s="131">
        <f t="shared" si="78"/>
        <v>76446</v>
      </c>
      <c r="BL72" s="131">
        <f t="shared" si="79"/>
        <v>5096.3999999999996</v>
      </c>
      <c r="BM72" s="133">
        <v>76446</v>
      </c>
      <c r="BN72" s="133"/>
      <c r="BO72" s="133"/>
      <c r="BP72" s="133"/>
      <c r="BQ72" s="133"/>
      <c r="BR72" s="133">
        <v>45198</v>
      </c>
      <c r="BS72" s="235">
        <f t="shared" si="80"/>
        <v>45198</v>
      </c>
      <c r="BT72" s="324">
        <v>26</v>
      </c>
      <c r="BU72" s="131">
        <f t="shared" si="81"/>
        <v>125782</v>
      </c>
      <c r="BV72" s="131">
        <f t="shared" si="82"/>
        <v>4837.7692307692305</v>
      </c>
      <c r="BW72" s="325">
        <v>125782</v>
      </c>
      <c r="BX72" s="325"/>
      <c r="BY72" s="325"/>
      <c r="BZ72" s="325"/>
      <c r="CA72" s="325"/>
      <c r="CB72" s="325">
        <v>70866</v>
      </c>
      <c r="CC72" s="357">
        <f t="shared" si="83"/>
        <v>70866</v>
      </c>
    </row>
    <row r="73" spans="1:81" s="77" customFormat="1" ht="15.95" customHeight="1">
      <c r="A73" s="287" t="s">
        <v>89</v>
      </c>
      <c r="B73" s="137">
        <v>6</v>
      </c>
      <c r="C73" s="131">
        <f t="shared" si="84"/>
        <v>2142</v>
      </c>
      <c r="D73" s="131">
        <f t="shared" si="85"/>
        <v>357</v>
      </c>
      <c r="E73" s="133">
        <v>2142</v>
      </c>
      <c r="F73" s="133"/>
      <c r="G73" s="133"/>
      <c r="H73" s="133"/>
      <c r="I73" s="133"/>
      <c r="J73" s="133">
        <v>2142</v>
      </c>
      <c r="K73" s="235">
        <f t="shared" si="66"/>
        <v>2142</v>
      </c>
      <c r="L73" s="137">
        <v>7</v>
      </c>
      <c r="M73" s="131">
        <f t="shared" si="86"/>
        <v>2880</v>
      </c>
      <c r="N73" s="131">
        <f t="shared" si="87"/>
        <v>411.42857142857144</v>
      </c>
      <c r="O73" s="133">
        <v>2880</v>
      </c>
      <c r="P73" s="133"/>
      <c r="Q73" s="133"/>
      <c r="R73" s="133"/>
      <c r="S73" s="133"/>
      <c r="T73" s="133">
        <v>2880</v>
      </c>
      <c r="U73" s="235">
        <f t="shared" si="67"/>
        <v>2880</v>
      </c>
      <c r="V73" s="137">
        <v>1</v>
      </c>
      <c r="W73" s="131">
        <f t="shared" si="88"/>
        <v>344</v>
      </c>
      <c r="X73" s="131">
        <f t="shared" si="89"/>
        <v>344</v>
      </c>
      <c r="Y73" s="133">
        <v>344</v>
      </c>
      <c r="Z73" s="133"/>
      <c r="AA73" s="133"/>
      <c r="AB73" s="133"/>
      <c r="AC73" s="133"/>
      <c r="AD73" s="133">
        <v>344</v>
      </c>
      <c r="AE73" s="235">
        <f t="shared" si="68"/>
        <v>344</v>
      </c>
      <c r="AF73" s="137">
        <v>6</v>
      </c>
      <c r="AG73" s="131">
        <f t="shared" si="69"/>
        <v>4248</v>
      </c>
      <c r="AH73" s="131">
        <f t="shared" si="70"/>
        <v>708</v>
      </c>
      <c r="AI73" s="133">
        <v>4248</v>
      </c>
      <c r="AJ73" s="133"/>
      <c r="AK73" s="133"/>
      <c r="AL73" s="133"/>
      <c r="AM73" s="133"/>
      <c r="AN73" s="133">
        <v>4248</v>
      </c>
      <c r="AO73" s="235">
        <f t="shared" si="71"/>
        <v>4248</v>
      </c>
      <c r="AP73" s="137">
        <v>3</v>
      </c>
      <c r="AQ73" s="131">
        <f t="shared" si="72"/>
        <v>1452</v>
      </c>
      <c r="AR73" s="131">
        <f t="shared" si="73"/>
        <v>484</v>
      </c>
      <c r="AS73" s="133">
        <v>1452</v>
      </c>
      <c r="AT73" s="133"/>
      <c r="AU73" s="133"/>
      <c r="AV73" s="133"/>
      <c r="AW73" s="133"/>
      <c r="AX73" s="133">
        <v>1452</v>
      </c>
      <c r="AY73" s="235">
        <f t="shared" si="74"/>
        <v>1452</v>
      </c>
      <c r="AZ73" s="137">
        <v>1</v>
      </c>
      <c r="BA73" s="131">
        <f t="shared" si="75"/>
        <v>558</v>
      </c>
      <c r="BB73" s="131">
        <f t="shared" si="76"/>
        <v>558</v>
      </c>
      <c r="BC73" s="133">
        <v>558</v>
      </c>
      <c r="BD73" s="133"/>
      <c r="BE73" s="133"/>
      <c r="BF73" s="133"/>
      <c r="BG73" s="133"/>
      <c r="BH73" s="133">
        <v>558</v>
      </c>
      <c r="BI73" s="235">
        <f t="shared" si="77"/>
        <v>558</v>
      </c>
      <c r="BJ73" s="137">
        <v>1</v>
      </c>
      <c r="BK73" s="131">
        <f t="shared" si="78"/>
        <v>558</v>
      </c>
      <c r="BL73" s="131">
        <f t="shared" si="79"/>
        <v>558</v>
      </c>
      <c r="BM73" s="133">
        <v>558</v>
      </c>
      <c r="BN73" s="133"/>
      <c r="BO73" s="133"/>
      <c r="BP73" s="133"/>
      <c r="BQ73" s="133"/>
      <c r="BR73" s="133">
        <v>558</v>
      </c>
      <c r="BS73" s="235">
        <f t="shared" si="80"/>
        <v>558</v>
      </c>
      <c r="BT73" s="324">
        <v>0</v>
      </c>
      <c r="BU73" s="131">
        <f t="shared" si="81"/>
        <v>0</v>
      </c>
      <c r="BV73" s="131">
        <f t="shared" si="82"/>
        <v>0</v>
      </c>
      <c r="BW73" s="325"/>
      <c r="BX73" s="325"/>
      <c r="BY73" s="325"/>
      <c r="BZ73" s="325"/>
      <c r="CA73" s="325"/>
      <c r="CB73" s="325"/>
      <c r="CC73" s="357">
        <f t="shared" si="83"/>
        <v>0</v>
      </c>
    </row>
    <row r="74" spans="1:81" s="77" customFormat="1" ht="15.95" customHeight="1">
      <c r="A74" s="287" t="s">
        <v>90</v>
      </c>
      <c r="B74" s="137">
        <v>29</v>
      </c>
      <c r="C74" s="131">
        <f t="shared" si="84"/>
        <v>55450</v>
      </c>
      <c r="D74" s="131">
        <f t="shared" si="85"/>
        <v>1912.0689655172414</v>
      </c>
      <c r="E74" s="133">
        <v>55450</v>
      </c>
      <c r="F74" s="133"/>
      <c r="G74" s="133"/>
      <c r="H74" s="133"/>
      <c r="I74" s="133"/>
      <c r="J74" s="133">
        <v>51760</v>
      </c>
      <c r="K74" s="235">
        <f t="shared" si="66"/>
        <v>51760</v>
      </c>
      <c r="L74" s="137">
        <v>35</v>
      </c>
      <c r="M74" s="131">
        <f t="shared" si="86"/>
        <v>64488</v>
      </c>
      <c r="N74" s="131">
        <f t="shared" si="87"/>
        <v>1842.5142857142857</v>
      </c>
      <c r="O74" s="133">
        <v>64488</v>
      </c>
      <c r="P74" s="133"/>
      <c r="Q74" s="133"/>
      <c r="R74" s="133"/>
      <c r="S74" s="133"/>
      <c r="T74" s="133">
        <v>58056</v>
      </c>
      <c r="U74" s="235">
        <f t="shared" si="67"/>
        <v>58056</v>
      </c>
      <c r="V74" s="137">
        <v>35</v>
      </c>
      <c r="W74" s="131">
        <f t="shared" si="88"/>
        <v>63728</v>
      </c>
      <c r="X74" s="131">
        <f t="shared" si="89"/>
        <v>1820.8</v>
      </c>
      <c r="Y74" s="133">
        <v>63728</v>
      </c>
      <c r="Z74" s="133"/>
      <c r="AA74" s="133"/>
      <c r="AB74" s="133"/>
      <c r="AC74" s="133"/>
      <c r="AD74" s="133">
        <v>56050</v>
      </c>
      <c r="AE74" s="235">
        <f t="shared" si="68"/>
        <v>56050</v>
      </c>
      <c r="AF74" s="137">
        <v>31</v>
      </c>
      <c r="AG74" s="131">
        <f t="shared" si="69"/>
        <v>59177</v>
      </c>
      <c r="AH74" s="131">
        <f t="shared" si="70"/>
        <v>1908.9354838709678</v>
      </c>
      <c r="AI74" s="133">
        <v>59177</v>
      </c>
      <c r="AJ74" s="133"/>
      <c r="AK74" s="133"/>
      <c r="AL74" s="133"/>
      <c r="AM74" s="133"/>
      <c r="AN74" s="133">
        <v>53354</v>
      </c>
      <c r="AO74" s="235">
        <f t="shared" si="71"/>
        <v>53354</v>
      </c>
      <c r="AP74" s="137">
        <v>24</v>
      </c>
      <c r="AQ74" s="131">
        <f t="shared" si="72"/>
        <v>46156.88</v>
      </c>
      <c r="AR74" s="131">
        <f t="shared" si="73"/>
        <v>1923.2033333333331</v>
      </c>
      <c r="AS74" s="133">
        <v>46156.88</v>
      </c>
      <c r="AT74" s="133"/>
      <c r="AU74" s="133"/>
      <c r="AV74" s="133"/>
      <c r="AW74" s="133"/>
      <c r="AX74" s="133">
        <v>41494.65</v>
      </c>
      <c r="AY74" s="235">
        <f t="shared" si="74"/>
        <v>41494.65</v>
      </c>
      <c r="AZ74" s="137">
        <v>22</v>
      </c>
      <c r="BA74" s="131">
        <f t="shared" si="75"/>
        <v>31588</v>
      </c>
      <c r="BB74" s="131">
        <f t="shared" si="76"/>
        <v>1435.8181818181818</v>
      </c>
      <c r="BC74" s="133">
        <v>31588</v>
      </c>
      <c r="BD74" s="133"/>
      <c r="BE74" s="133"/>
      <c r="BF74" s="133"/>
      <c r="BG74" s="133"/>
      <c r="BH74" s="133">
        <v>31588</v>
      </c>
      <c r="BI74" s="235">
        <f t="shared" si="77"/>
        <v>31588</v>
      </c>
      <c r="BJ74" s="137">
        <v>21</v>
      </c>
      <c r="BK74" s="131">
        <f t="shared" si="78"/>
        <v>44440</v>
      </c>
      <c r="BL74" s="131">
        <f t="shared" si="79"/>
        <v>2116.1904761904761</v>
      </c>
      <c r="BM74" s="133">
        <v>44440</v>
      </c>
      <c r="BN74" s="133"/>
      <c r="BO74" s="133"/>
      <c r="BP74" s="133"/>
      <c r="BQ74" s="133"/>
      <c r="BR74" s="133">
        <v>37667</v>
      </c>
      <c r="BS74" s="235">
        <f t="shared" si="80"/>
        <v>37667</v>
      </c>
      <c r="BT74" s="324">
        <v>20</v>
      </c>
      <c r="BU74" s="131">
        <f t="shared" si="81"/>
        <v>33772.03</v>
      </c>
      <c r="BV74" s="131">
        <f t="shared" si="82"/>
        <v>1688.6015</v>
      </c>
      <c r="BW74" s="325">
        <v>33772.03</v>
      </c>
      <c r="BX74" s="325"/>
      <c r="BY74" s="325"/>
      <c r="BZ74" s="325"/>
      <c r="CA74" s="325"/>
      <c r="CB74" s="325">
        <v>29597.26</v>
      </c>
      <c r="CC74" s="357">
        <f t="shared" si="83"/>
        <v>29597.26</v>
      </c>
    </row>
    <row r="75" spans="1:81" s="77" customFormat="1" ht="15.95" customHeight="1">
      <c r="A75" s="287" t="s">
        <v>124</v>
      </c>
      <c r="B75" s="137">
        <v>5</v>
      </c>
      <c r="C75" s="131">
        <f t="shared" si="84"/>
        <v>25914</v>
      </c>
      <c r="D75" s="131">
        <f t="shared" si="85"/>
        <v>5182.8</v>
      </c>
      <c r="E75" s="133">
        <v>25914</v>
      </c>
      <c r="F75" s="133"/>
      <c r="G75" s="133"/>
      <c r="H75" s="133"/>
      <c r="I75" s="133"/>
      <c r="J75" s="133">
        <v>19343</v>
      </c>
      <c r="K75" s="235">
        <f t="shared" si="66"/>
        <v>19343</v>
      </c>
      <c r="L75" s="137">
        <v>16</v>
      </c>
      <c r="M75" s="131">
        <f t="shared" si="86"/>
        <v>39574</v>
      </c>
      <c r="N75" s="131">
        <f t="shared" si="87"/>
        <v>2473.375</v>
      </c>
      <c r="O75" s="133">
        <v>29000</v>
      </c>
      <c r="P75" s="133">
        <v>10574</v>
      </c>
      <c r="Q75" s="133"/>
      <c r="R75" s="133"/>
      <c r="S75" s="133"/>
      <c r="T75" s="133">
        <v>33334</v>
      </c>
      <c r="U75" s="235">
        <f t="shared" si="67"/>
        <v>29000</v>
      </c>
      <c r="V75" s="137">
        <v>6</v>
      </c>
      <c r="W75" s="131">
        <f t="shared" si="88"/>
        <v>21256</v>
      </c>
      <c r="X75" s="131">
        <f t="shared" si="89"/>
        <v>3542.6666666666665</v>
      </c>
      <c r="Y75" s="133">
        <v>19685</v>
      </c>
      <c r="Z75" s="133">
        <v>1571</v>
      </c>
      <c r="AA75" s="133"/>
      <c r="AB75" s="133"/>
      <c r="AC75" s="133"/>
      <c r="AD75" s="133">
        <v>9693</v>
      </c>
      <c r="AE75" s="235">
        <f t="shared" si="68"/>
        <v>9693</v>
      </c>
      <c r="AF75" s="137">
        <v>5</v>
      </c>
      <c r="AG75" s="131">
        <f t="shared" si="69"/>
        <v>31024</v>
      </c>
      <c r="AH75" s="131">
        <f t="shared" si="70"/>
        <v>6204.8</v>
      </c>
      <c r="AI75" s="133">
        <v>22515</v>
      </c>
      <c r="AJ75" s="133">
        <v>8509</v>
      </c>
      <c r="AK75" s="133"/>
      <c r="AL75" s="133"/>
      <c r="AM75" s="133"/>
      <c r="AN75" s="133">
        <v>17775</v>
      </c>
      <c r="AO75" s="235">
        <f t="shared" si="71"/>
        <v>17775</v>
      </c>
      <c r="AP75" s="137">
        <v>4</v>
      </c>
      <c r="AQ75" s="131">
        <f t="shared" si="72"/>
        <v>31519.53</v>
      </c>
      <c r="AR75" s="131">
        <f t="shared" si="73"/>
        <v>7879.8824999999997</v>
      </c>
      <c r="AS75" s="133">
        <v>22006.5</v>
      </c>
      <c r="AT75" s="133">
        <v>9513.0300000000007</v>
      </c>
      <c r="AU75" s="133"/>
      <c r="AV75" s="133"/>
      <c r="AW75" s="133"/>
      <c r="AX75" s="133">
        <v>14740.88</v>
      </c>
      <c r="AY75" s="235">
        <f t="shared" si="74"/>
        <v>14740.88</v>
      </c>
      <c r="AZ75" s="137">
        <v>6</v>
      </c>
      <c r="BA75" s="131">
        <f t="shared" si="75"/>
        <v>45666</v>
      </c>
      <c r="BB75" s="131">
        <f t="shared" si="76"/>
        <v>7611</v>
      </c>
      <c r="BC75" s="133">
        <v>33498</v>
      </c>
      <c r="BD75" s="133">
        <v>12168</v>
      </c>
      <c r="BE75" s="133"/>
      <c r="BF75" s="133"/>
      <c r="BG75" s="133"/>
      <c r="BH75" s="133">
        <v>41084</v>
      </c>
      <c r="BI75" s="235">
        <f t="shared" si="77"/>
        <v>33498</v>
      </c>
      <c r="BJ75" s="137">
        <v>6</v>
      </c>
      <c r="BK75" s="131">
        <f t="shared" si="78"/>
        <v>33331</v>
      </c>
      <c r="BL75" s="131">
        <f t="shared" si="79"/>
        <v>5555.166666666667</v>
      </c>
      <c r="BM75" s="133">
        <v>22506</v>
      </c>
      <c r="BN75" s="133">
        <v>10825</v>
      </c>
      <c r="BO75" s="133"/>
      <c r="BP75" s="133"/>
      <c r="BQ75" s="133"/>
      <c r="BR75" s="133">
        <v>33331</v>
      </c>
      <c r="BS75" s="235">
        <f t="shared" si="80"/>
        <v>22506</v>
      </c>
      <c r="BT75" s="324">
        <v>7</v>
      </c>
      <c r="BU75" s="131">
        <f t="shared" si="81"/>
        <v>35465.65</v>
      </c>
      <c r="BV75" s="131">
        <f t="shared" si="82"/>
        <v>5066.5214285714292</v>
      </c>
      <c r="BW75" s="325">
        <v>22878</v>
      </c>
      <c r="BX75" s="325">
        <v>12587.65</v>
      </c>
      <c r="BY75" s="325"/>
      <c r="BZ75" s="325"/>
      <c r="CA75" s="325"/>
      <c r="CB75" s="325">
        <v>35465.65</v>
      </c>
      <c r="CC75" s="357">
        <f t="shared" si="83"/>
        <v>22878</v>
      </c>
    </row>
    <row r="76" spans="1:81" s="77" customFormat="1" ht="15.95" customHeight="1">
      <c r="A76" s="287" t="s">
        <v>207</v>
      </c>
      <c r="B76" s="137"/>
      <c r="C76" s="131"/>
      <c r="D76" s="131"/>
      <c r="E76" s="133"/>
      <c r="F76" s="133"/>
      <c r="G76" s="133"/>
      <c r="H76" s="133"/>
      <c r="I76" s="133"/>
      <c r="J76" s="133"/>
      <c r="K76" s="235">
        <f t="shared" si="66"/>
        <v>0</v>
      </c>
      <c r="L76" s="137"/>
      <c r="M76" s="131"/>
      <c r="N76" s="131"/>
      <c r="O76" s="133"/>
      <c r="P76" s="133"/>
      <c r="Q76" s="133"/>
      <c r="R76" s="133"/>
      <c r="S76" s="133"/>
      <c r="T76" s="133"/>
      <c r="U76" s="235">
        <f t="shared" si="67"/>
        <v>0</v>
      </c>
      <c r="V76" s="137"/>
      <c r="W76" s="131">
        <f t="shared" si="88"/>
        <v>0</v>
      </c>
      <c r="X76" s="131">
        <f t="shared" si="89"/>
        <v>0</v>
      </c>
      <c r="Y76" s="133"/>
      <c r="Z76" s="133"/>
      <c r="AA76" s="133"/>
      <c r="AB76" s="133"/>
      <c r="AC76" s="133"/>
      <c r="AD76" s="133"/>
      <c r="AE76" s="235">
        <f t="shared" si="68"/>
        <v>0</v>
      </c>
      <c r="AF76" s="137"/>
      <c r="AG76" s="131">
        <f t="shared" si="69"/>
        <v>0</v>
      </c>
      <c r="AH76" s="131">
        <f t="shared" si="70"/>
        <v>0</v>
      </c>
      <c r="AI76" s="133"/>
      <c r="AJ76" s="133"/>
      <c r="AK76" s="133"/>
      <c r="AL76" s="133"/>
      <c r="AM76" s="133"/>
      <c r="AN76" s="133"/>
      <c r="AO76" s="235">
        <f t="shared" si="71"/>
        <v>0</v>
      </c>
      <c r="AP76" s="137">
        <v>13</v>
      </c>
      <c r="AQ76" s="131">
        <f t="shared" si="72"/>
        <v>22409.25</v>
      </c>
      <c r="AR76" s="131">
        <f t="shared" si="73"/>
        <v>1723.7884615384614</v>
      </c>
      <c r="AS76" s="133"/>
      <c r="AT76" s="133"/>
      <c r="AU76" s="133"/>
      <c r="AV76" s="133"/>
      <c r="AW76" s="133">
        <v>22409.25</v>
      </c>
      <c r="AX76" s="133">
        <v>18909.25</v>
      </c>
      <c r="AY76" s="235">
        <f t="shared" si="74"/>
        <v>0</v>
      </c>
      <c r="AZ76" s="137">
        <v>2</v>
      </c>
      <c r="BA76" s="131">
        <f t="shared" si="75"/>
        <v>2640</v>
      </c>
      <c r="BB76" s="131">
        <f t="shared" si="76"/>
        <v>1320</v>
      </c>
      <c r="BC76" s="133"/>
      <c r="BD76" s="133"/>
      <c r="BE76" s="133"/>
      <c r="BF76" s="133"/>
      <c r="BG76" s="133">
        <v>2640</v>
      </c>
      <c r="BH76" s="133">
        <v>2640</v>
      </c>
      <c r="BI76" s="235">
        <f t="shared" si="77"/>
        <v>0</v>
      </c>
      <c r="BJ76" s="137">
        <v>8</v>
      </c>
      <c r="BK76" s="131">
        <f t="shared" si="78"/>
        <v>9227</v>
      </c>
      <c r="BL76" s="131">
        <f t="shared" si="79"/>
        <v>1153.375</v>
      </c>
      <c r="BM76" s="133"/>
      <c r="BN76" s="133"/>
      <c r="BO76" s="133"/>
      <c r="BP76" s="133"/>
      <c r="BQ76" s="133">
        <v>9227</v>
      </c>
      <c r="BR76" s="133">
        <v>9227</v>
      </c>
      <c r="BS76" s="235">
        <f t="shared" si="80"/>
        <v>0</v>
      </c>
      <c r="BT76" s="324">
        <v>11</v>
      </c>
      <c r="BU76" s="131">
        <f t="shared" si="81"/>
        <v>8838.5499999999993</v>
      </c>
      <c r="BV76" s="131">
        <f t="shared" si="82"/>
        <v>803.50454545454534</v>
      </c>
      <c r="BW76" s="325"/>
      <c r="BX76" s="325"/>
      <c r="BY76" s="325"/>
      <c r="BZ76" s="325"/>
      <c r="CA76" s="325">
        <v>8838.5499999999993</v>
      </c>
      <c r="CB76" s="325">
        <v>8838.5499999999993</v>
      </c>
      <c r="CC76" s="357">
        <f t="shared" si="83"/>
        <v>0</v>
      </c>
    </row>
    <row r="77" spans="1:81" s="77" customFormat="1" ht="15.95" customHeight="1">
      <c r="A77" s="287" t="s">
        <v>208</v>
      </c>
      <c r="B77" s="137"/>
      <c r="C77" s="131"/>
      <c r="D77" s="131"/>
      <c r="E77" s="133"/>
      <c r="F77" s="133"/>
      <c r="G77" s="133"/>
      <c r="H77" s="133"/>
      <c r="I77" s="133"/>
      <c r="J77" s="133"/>
      <c r="K77" s="235">
        <f t="shared" si="66"/>
        <v>0</v>
      </c>
      <c r="L77" s="137"/>
      <c r="M77" s="131"/>
      <c r="N77" s="131"/>
      <c r="O77" s="133"/>
      <c r="P77" s="133"/>
      <c r="Q77" s="133"/>
      <c r="R77" s="133"/>
      <c r="S77" s="133"/>
      <c r="T77" s="133"/>
      <c r="U77" s="235">
        <f t="shared" si="67"/>
        <v>0</v>
      </c>
      <c r="V77" s="137"/>
      <c r="W77" s="131">
        <f t="shared" si="88"/>
        <v>0</v>
      </c>
      <c r="X77" s="131">
        <f t="shared" si="89"/>
        <v>0</v>
      </c>
      <c r="Y77" s="133"/>
      <c r="Z77" s="133"/>
      <c r="AA77" s="133"/>
      <c r="AB77" s="133"/>
      <c r="AC77" s="133"/>
      <c r="AD77" s="133"/>
      <c r="AE77" s="235">
        <f t="shared" si="68"/>
        <v>0</v>
      </c>
      <c r="AF77" s="137"/>
      <c r="AG77" s="131">
        <f t="shared" si="69"/>
        <v>0</v>
      </c>
      <c r="AH77" s="131">
        <f t="shared" si="70"/>
        <v>0</v>
      </c>
      <c r="AI77" s="133"/>
      <c r="AJ77" s="133"/>
      <c r="AK77" s="133"/>
      <c r="AL77" s="133"/>
      <c r="AM77" s="133"/>
      <c r="AN77" s="133"/>
      <c r="AO77" s="235">
        <f t="shared" si="71"/>
        <v>0</v>
      </c>
      <c r="AP77" s="137">
        <v>1</v>
      </c>
      <c r="AQ77" s="131">
        <f t="shared" si="72"/>
        <v>5341.08</v>
      </c>
      <c r="AR77" s="131">
        <f t="shared" si="73"/>
        <v>5341.08</v>
      </c>
      <c r="AS77" s="133"/>
      <c r="AT77" s="133"/>
      <c r="AU77" s="133"/>
      <c r="AV77" s="133"/>
      <c r="AW77" s="133">
        <v>5341.08</v>
      </c>
      <c r="AX77" s="133">
        <v>5341.08</v>
      </c>
      <c r="AY77" s="235">
        <f t="shared" si="74"/>
        <v>0</v>
      </c>
      <c r="AZ77" s="137">
        <v>1</v>
      </c>
      <c r="BA77" s="131">
        <f t="shared" si="75"/>
        <v>3420</v>
      </c>
      <c r="BB77" s="131">
        <f t="shared" si="76"/>
        <v>3420</v>
      </c>
      <c r="BC77" s="133"/>
      <c r="BD77" s="133"/>
      <c r="BE77" s="133"/>
      <c r="BF77" s="133"/>
      <c r="BG77" s="133">
        <v>3420</v>
      </c>
      <c r="BH77" s="133">
        <v>3420</v>
      </c>
      <c r="BI77" s="235">
        <f t="shared" si="77"/>
        <v>0</v>
      </c>
      <c r="BJ77" s="137">
        <v>1</v>
      </c>
      <c r="BK77" s="131">
        <f t="shared" si="78"/>
        <v>3192</v>
      </c>
      <c r="BL77" s="131">
        <f t="shared" si="79"/>
        <v>3192</v>
      </c>
      <c r="BM77" s="133"/>
      <c r="BN77" s="133"/>
      <c r="BO77" s="133"/>
      <c r="BP77" s="133"/>
      <c r="BQ77" s="133">
        <v>3192</v>
      </c>
      <c r="BR77" s="133">
        <v>3192</v>
      </c>
      <c r="BS77" s="235">
        <f t="shared" si="80"/>
        <v>0</v>
      </c>
      <c r="BT77" s="324">
        <v>1</v>
      </c>
      <c r="BU77" s="131">
        <f t="shared" si="81"/>
        <v>2280</v>
      </c>
      <c r="BV77" s="131">
        <f t="shared" si="82"/>
        <v>2280</v>
      </c>
      <c r="BW77" s="325"/>
      <c r="BX77" s="325"/>
      <c r="BY77" s="325"/>
      <c r="BZ77" s="325"/>
      <c r="CA77" s="325">
        <v>2280</v>
      </c>
      <c r="CB77" s="325">
        <v>2280</v>
      </c>
      <c r="CC77" s="357">
        <f t="shared" si="83"/>
        <v>0</v>
      </c>
    </row>
    <row r="78" spans="1:81" s="77" customFormat="1" ht="15.95" customHeight="1">
      <c r="A78" s="326" t="s">
        <v>252</v>
      </c>
      <c r="B78" s="137"/>
      <c r="C78" s="131">
        <f t="shared" ref="C78:C84" si="90">SUM(E78:I78)</f>
        <v>0</v>
      </c>
      <c r="D78" s="131">
        <f t="shared" ref="D78:D84" si="91">IFERROR(C78/B78,0)</f>
        <v>0</v>
      </c>
      <c r="E78" s="133"/>
      <c r="F78" s="133"/>
      <c r="G78" s="133"/>
      <c r="H78" s="133"/>
      <c r="I78" s="133"/>
      <c r="J78" s="133"/>
      <c r="K78" s="235">
        <f t="shared" si="66"/>
        <v>0</v>
      </c>
      <c r="L78" s="137"/>
      <c r="M78" s="131">
        <f t="shared" ref="M78:M84" si="92">SUM(O78:S78)</f>
        <v>0</v>
      </c>
      <c r="N78" s="131">
        <f t="shared" ref="N78:N84" si="93">IFERROR(M78/L78,0)</f>
        <v>0</v>
      </c>
      <c r="O78" s="133"/>
      <c r="P78" s="133"/>
      <c r="Q78" s="133"/>
      <c r="R78" s="133"/>
      <c r="S78" s="133"/>
      <c r="T78" s="133"/>
      <c r="U78" s="235">
        <f t="shared" si="67"/>
        <v>0</v>
      </c>
      <c r="V78" s="137"/>
      <c r="W78" s="131">
        <f t="shared" si="88"/>
        <v>0</v>
      </c>
      <c r="X78" s="131">
        <f t="shared" si="89"/>
        <v>0</v>
      </c>
      <c r="Y78" s="133"/>
      <c r="Z78" s="133"/>
      <c r="AA78" s="133"/>
      <c r="AB78" s="133"/>
      <c r="AC78" s="133"/>
      <c r="AD78" s="133"/>
      <c r="AE78" s="235">
        <f t="shared" si="68"/>
        <v>0</v>
      </c>
      <c r="AF78" s="137"/>
      <c r="AG78" s="131">
        <f t="shared" si="69"/>
        <v>0</v>
      </c>
      <c r="AH78" s="131">
        <f t="shared" si="70"/>
        <v>0</v>
      </c>
      <c r="AI78" s="133"/>
      <c r="AJ78" s="133"/>
      <c r="AK78" s="133"/>
      <c r="AL78" s="133"/>
      <c r="AM78" s="133"/>
      <c r="AN78" s="133"/>
      <c r="AO78" s="235">
        <f t="shared" si="71"/>
        <v>0</v>
      </c>
      <c r="AP78" s="137"/>
      <c r="AQ78" s="131">
        <f t="shared" si="72"/>
        <v>0</v>
      </c>
      <c r="AR78" s="131">
        <f t="shared" si="73"/>
        <v>0</v>
      </c>
      <c r="AS78" s="133"/>
      <c r="AT78" s="133"/>
      <c r="AU78" s="133"/>
      <c r="AV78" s="133"/>
      <c r="AW78" s="133"/>
      <c r="AX78" s="133"/>
      <c r="AY78" s="235">
        <f t="shared" si="74"/>
        <v>0</v>
      </c>
      <c r="AZ78" s="137"/>
      <c r="BA78" s="131">
        <f t="shared" si="75"/>
        <v>0</v>
      </c>
      <c r="BB78" s="131">
        <f t="shared" si="76"/>
        <v>0</v>
      </c>
      <c r="BC78" s="133"/>
      <c r="BD78" s="133"/>
      <c r="BE78" s="133"/>
      <c r="BF78" s="133"/>
      <c r="BG78" s="133"/>
      <c r="BH78" s="133"/>
      <c r="BI78" s="235">
        <f t="shared" si="77"/>
        <v>0</v>
      </c>
      <c r="BJ78" s="137"/>
      <c r="BK78" s="131">
        <f t="shared" si="78"/>
        <v>0</v>
      </c>
      <c r="BL78" s="131">
        <f t="shared" si="79"/>
        <v>0</v>
      </c>
      <c r="BM78" s="133"/>
      <c r="BN78" s="133"/>
      <c r="BO78" s="133"/>
      <c r="BP78" s="133"/>
      <c r="BQ78" s="133"/>
      <c r="BR78" s="133"/>
      <c r="BS78" s="235">
        <f t="shared" si="80"/>
        <v>0</v>
      </c>
      <c r="BT78" s="324">
        <v>3</v>
      </c>
      <c r="BU78" s="131">
        <f t="shared" si="81"/>
        <v>6383</v>
      </c>
      <c r="BV78" s="131">
        <f t="shared" si="82"/>
        <v>2127.6666666666665</v>
      </c>
      <c r="BW78" s="325">
        <v>1000</v>
      </c>
      <c r="BX78" s="325"/>
      <c r="BY78" s="325"/>
      <c r="BZ78" s="325"/>
      <c r="CA78" s="325">
        <v>5383</v>
      </c>
      <c r="CB78" s="325">
        <v>4383</v>
      </c>
      <c r="CC78" s="357">
        <f t="shared" si="83"/>
        <v>1000</v>
      </c>
    </row>
    <row r="79" spans="1:81" s="77" customFormat="1" ht="15.95" customHeight="1">
      <c r="A79" s="326" t="s">
        <v>255</v>
      </c>
      <c r="B79" s="137"/>
      <c r="C79" s="131">
        <f t="shared" si="90"/>
        <v>0</v>
      </c>
      <c r="D79" s="131">
        <f t="shared" si="91"/>
        <v>0</v>
      </c>
      <c r="E79" s="133"/>
      <c r="F79" s="133"/>
      <c r="G79" s="133"/>
      <c r="H79" s="133"/>
      <c r="I79" s="133"/>
      <c r="J79" s="133"/>
      <c r="K79" s="235">
        <f t="shared" si="66"/>
        <v>0</v>
      </c>
      <c r="L79" s="137"/>
      <c r="M79" s="131">
        <f t="shared" si="92"/>
        <v>0</v>
      </c>
      <c r="N79" s="131">
        <f t="shared" si="93"/>
        <v>0</v>
      </c>
      <c r="O79" s="133"/>
      <c r="P79" s="133"/>
      <c r="Q79" s="133"/>
      <c r="R79" s="133"/>
      <c r="S79" s="133"/>
      <c r="T79" s="133"/>
      <c r="U79" s="235">
        <f t="shared" si="67"/>
        <v>0</v>
      </c>
      <c r="V79" s="137"/>
      <c r="W79" s="131">
        <f t="shared" si="88"/>
        <v>0</v>
      </c>
      <c r="X79" s="131">
        <f t="shared" si="89"/>
        <v>0</v>
      </c>
      <c r="Y79" s="133"/>
      <c r="Z79" s="133"/>
      <c r="AA79" s="133"/>
      <c r="AB79" s="133"/>
      <c r="AC79" s="133"/>
      <c r="AD79" s="133"/>
      <c r="AE79" s="235">
        <f t="shared" si="68"/>
        <v>0</v>
      </c>
      <c r="AF79" s="137"/>
      <c r="AG79" s="131">
        <f t="shared" si="69"/>
        <v>0</v>
      </c>
      <c r="AH79" s="131">
        <f t="shared" si="70"/>
        <v>0</v>
      </c>
      <c r="AI79" s="133"/>
      <c r="AJ79" s="133"/>
      <c r="AK79" s="133"/>
      <c r="AL79" s="133"/>
      <c r="AM79" s="133"/>
      <c r="AN79" s="133"/>
      <c r="AO79" s="235">
        <f t="shared" si="71"/>
        <v>0</v>
      </c>
      <c r="AP79" s="137"/>
      <c r="AQ79" s="131">
        <f t="shared" si="72"/>
        <v>0</v>
      </c>
      <c r="AR79" s="131">
        <f t="shared" si="73"/>
        <v>0</v>
      </c>
      <c r="AS79" s="133"/>
      <c r="AT79" s="133"/>
      <c r="AU79" s="133"/>
      <c r="AV79" s="133"/>
      <c r="AW79" s="133"/>
      <c r="AX79" s="133"/>
      <c r="AY79" s="235">
        <f t="shared" si="74"/>
        <v>0</v>
      </c>
      <c r="AZ79" s="137"/>
      <c r="BA79" s="131">
        <f t="shared" si="75"/>
        <v>0</v>
      </c>
      <c r="BB79" s="131">
        <f t="shared" si="76"/>
        <v>0</v>
      </c>
      <c r="BC79" s="133"/>
      <c r="BD79" s="133"/>
      <c r="BE79" s="133"/>
      <c r="BF79" s="133"/>
      <c r="BG79" s="133"/>
      <c r="BH79" s="133"/>
      <c r="BI79" s="235">
        <f t="shared" si="77"/>
        <v>0</v>
      </c>
      <c r="BJ79" s="137"/>
      <c r="BK79" s="131">
        <f t="shared" si="78"/>
        <v>0</v>
      </c>
      <c r="BL79" s="131">
        <f t="shared" si="79"/>
        <v>0</v>
      </c>
      <c r="BM79" s="133"/>
      <c r="BN79" s="133"/>
      <c r="BO79" s="133"/>
      <c r="BP79" s="133"/>
      <c r="BQ79" s="133"/>
      <c r="BR79" s="133"/>
      <c r="BS79" s="235">
        <f t="shared" si="80"/>
        <v>0</v>
      </c>
      <c r="BT79" s="324">
        <v>3</v>
      </c>
      <c r="BU79" s="131">
        <f t="shared" si="81"/>
        <v>3482.5</v>
      </c>
      <c r="BV79" s="131">
        <f t="shared" si="82"/>
        <v>1160.8333333333333</v>
      </c>
      <c r="BW79" s="325">
        <v>3482.5</v>
      </c>
      <c r="BX79" s="325"/>
      <c r="BY79" s="325"/>
      <c r="BZ79" s="325"/>
      <c r="CA79" s="325"/>
      <c r="CB79" s="325">
        <v>3483</v>
      </c>
      <c r="CC79" s="357">
        <f t="shared" si="83"/>
        <v>3482.5</v>
      </c>
    </row>
    <row r="80" spans="1:81" s="77" customFormat="1" ht="15.95" customHeight="1">
      <c r="A80" s="326" t="s">
        <v>256</v>
      </c>
      <c r="B80" s="137"/>
      <c r="C80" s="131">
        <f t="shared" si="90"/>
        <v>0</v>
      </c>
      <c r="D80" s="131">
        <f t="shared" si="91"/>
        <v>0</v>
      </c>
      <c r="E80" s="133"/>
      <c r="F80" s="133"/>
      <c r="G80" s="133"/>
      <c r="H80" s="133"/>
      <c r="I80" s="133"/>
      <c r="J80" s="133"/>
      <c r="K80" s="235">
        <f t="shared" si="66"/>
        <v>0</v>
      </c>
      <c r="L80" s="137"/>
      <c r="M80" s="131">
        <f t="shared" si="92"/>
        <v>0</v>
      </c>
      <c r="N80" s="131">
        <f t="shared" si="93"/>
        <v>0</v>
      </c>
      <c r="O80" s="133"/>
      <c r="P80" s="133"/>
      <c r="Q80" s="133"/>
      <c r="R80" s="133"/>
      <c r="S80" s="133"/>
      <c r="T80" s="133"/>
      <c r="U80" s="235">
        <f t="shared" si="67"/>
        <v>0</v>
      </c>
      <c r="V80" s="137"/>
      <c r="W80" s="131">
        <f t="shared" si="88"/>
        <v>0</v>
      </c>
      <c r="X80" s="131">
        <f t="shared" si="89"/>
        <v>0</v>
      </c>
      <c r="Y80" s="133"/>
      <c r="Z80" s="133"/>
      <c r="AA80" s="133"/>
      <c r="AB80" s="133"/>
      <c r="AC80" s="133"/>
      <c r="AD80" s="133"/>
      <c r="AE80" s="235">
        <f t="shared" si="68"/>
        <v>0</v>
      </c>
      <c r="AF80" s="137"/>
      <c r="AG80" s="131">
        <f t="shared" si="69"/>
        <v>0</v>
      </c>
      <c r="AH80" s="131">
        <f t="shared" si="70"/>
        <v>0</v>
      </c>
      <c r="AI80" s="133"/>
      <c r="AJ80" s="133"/>
      <c r="AK80" s="133"/>
      <c r="AL80" s="133"/>
      <c r="AM80" s="133"/>
      <c r="AN80" s="133"/>
      <c r="AO80" s="235">
        <f t="shared" si="71"/>
        <v>0</v>
      </c>
      <c r="AP80" s="137"/>
      <c r="AQ80" s="131">
        <f t="shared" si="72"/>
        <v>0</v>
      </c>
      <c r="AR80" s="131">
        <f t="shared" si="73"/>
        <v>0</v>
      </c>
      <c r="AS80" s="133"/>
      <c r="AT80" s="133"/>
      <c r="AU80" s="133"/>
      <c r="AV80" s="133"/>
      <c r="AW80" s="133"/>
      <c r="AX80" s="133"/>
      <c r="AY80" s="235">
        <f t="shared" si="74"/>
        <v>0</v>
      </c>
      <c r="AZ80" s="137"/>
      <c r="BA80" s="131">
        <f t="shared" si="75"/>
        <v>0</v>
      </c>
      <c r="BB80" s="131">
        <f t="shared" si="76"/>
        <v>0</v>
      </c>
      <c r="BC80" s="133"/>
      <c r="BD80" s="133"/>
      <c r="BE80" s="133"/>
      <c r="BF80" s="133"/>
      <c r="BG80" s="133"/>
      <c r="BH80" s="133"/>
      <c r="BI80" s="235">
        <f t="shared" si="77"/>
        <v>0</v>
      </c>
      <c r="BJ80" s="137"/>
      <c r="BK80" s="131">
        <f t="shared" si="78"/>
        <v>0</v>
      </c>
      <c r="BL80" s="131">
        <f t="shared" si="79"/>
        <v>0</v>
      </c>
      <c r="BM80" s="133"/>
      <c r="BN80" s="133"/>
      <c r="BO80" s="133"/>
      <c r="BP80" s="133"/>
      <c r="BQ80" s="133"/>
      <c r="BR80" s="133"/>
      <c r="BS80" s="235">
        <f t="shared" si="80"/>
        <v>0</v>
      </c>
      <c r="BT80" s="324">
        <v>1</v>
      </c>
      <c r="BU80" s="131">
        <f t="shared" si="81"/>
        <v>1393</v>
      </c>
      <c r="BV80" s="131">
        <f t="shared" si="82"/>
        <v>1393</v>
      </c>
      <c r="BW80" s="325">
        <v>1393</v>
      </c>
      <c r="BX80" s="325"/>
      <c r="BY80" s="325"/>
      <c r="BZ80" s="325"/>
      <c r="CA80" s="325"/>
      <c r="CB80" s="325">
        <v>1393</v>
      </c>
      <c r="CC80" s="357">
        <f t="shared" si="83"/>
        <v>1393</v>
      </c>
    </row>
    <row r="81" spans="1:81" s="77" customFormat="1" ht="15.95" customHeight="1">
      <c r="A81" s="326" t="s">
        <v>269</v>
      </c>
      <c r="B81" s="137"/>
      <c r="C81" s="131">
        <f t="shared" si="90"/>
        <v>0</v>
      </c>
      <c r="D81" s="131">
        <f t="shared" si="91"/>
        <v>0</v>
      </c>
      <c r="E81" s="133"/>
      <c r="F81" s="133"/>
      <c r="G81" s="133"/>
      <c r="H81" s="133"/>
      <c r="I81" s="133"/>
      <c r="J81" s="133"/>
      <c r="K81" s="235">
        <f t="shared" si="66"/>
        <v>0</v>
      </c>
      <c r="L81" s="137"/>
      <c r="M81" s="131">
        <f t="shared" si="92"/>
        <v>0</v>
      </c>
      <c r="N81" s="131">
        <f t="shared" si="93"/>
        <v>0</v>
      </c>
      <c r="O81" s="133"/>
      <c r="P81" s="133"/>
      <c r="Q81" s="133"/>
      <c r="R81" s="133"/>
      <c r="S81" s="133"/>
      <c r="T81" s="133"/>
      <c r="U81" s="235">
        <f t="shared" si="67"/>
        <v>0</v>
      </c>
      <c r="V81" s="137"/>
      <c r="W81" s="131">
        <f t="shared" si="88"/>
        <v>0</v>
      </c>
      <c r="X81" s="131">
        <f t="shared" si="89"/>
        <v>0</v>
      </c>
      <c r="Y81" s="133"/>
      <c r="Z81" s="133"/>
      <c r="AA81" s="133"/>
      <c r="AB81" s="133"/>
      <c r="AC81" s="133"/>
      <c r="AD81" s="133"/>
      <c r="AE81" s="235">
        <f t="shared" si="68"/>
        <v>0</v>
      </c>
      <c r="AF81" s="137"/>
      <c r="AG81" s="131">
        <f t="shared" si="69"/>
        <v>0</v>
      </c>
      <c r="AH81" s="131">
        <f t="shared" si="70"/>
        <v>0</v>
      </c>
      <c r="AI81" s="133"/>
      <c r="AJ81" s="133"/>
      <c r="AK81" s="133"/>
      <c r="AL81" s="133"/>
      <c r="AM81" s="133"/>
      <c r="AN81" s="133"/>
      <c r="AO81" s="235">
        <f t="shared" si="71"/>
        <v>0</v>
      </c>
      <c r="AP81" s="137"/>
      <c r="AQ81" s="131">
        <f t="shared" si="72"/>
        <v>0</v>
      </c>
      <c r="AR81" s="131">
        <f t="shared" si="73"/>
        <v>0</v>
      </c>
      <c r="AS81" s="133"/>
      <c r="AT81" s="133"/>
      <c r="AU81" s="133"/>
      <c r="AV81" s="133"/>
      <c r="AW81" s="133"/>
      <c r="AX81" s="133"/>
      <c r="AY81" s="235">
        <f t="shared" si="74"/>
        <v>0</v>
      </c>
      <c r="AZ81" s="137"/>
      <c r="BA81" s="131">
        <f t="shared" si="75"/>
        <v>0</v>
      </c>
      <c r="BB81" s="131">
        <f t="shared" si="76"/>
        <v>0</v>
      </c>
      <c r="BC81" s="133"/>
      <c r="BD81" s="133"/>
      <c r="BE81" s="133"/>
      <c r="BF81" s="133"/>
      <c r="BG81" s="133"/>
      <c r="BH81" s="133"/>
      <c r="BI81" s="235">
        <f t="shared" si="77"/>
        <v>0</v>
      </c>
      <c r="BJ81" s="137"/>
      <c r="BK81" s="131">
        <f t="shared" si="78"/>
        <v>0</v>
      </c>
      <c r="BL81" s="131">
        <f t="shared" si="79"/>
        <v>0</v>
      </c>
      <c r="BM81" s="133"/>
      <c r="BN81" s="133"/>
      <c r="BO81" s="133"/>
      <c r="BP81" s="133"/>
      <c r="BQ81" s="133"/>
      <c r="BR81" s="133"/>
      <c r="BS81" s="235">
        <f t="shared" si="80"/>
        <v>0</v>
      </c>
      <c r="BT81" s="324">
        <v>1</v>
      </c>
      <c r="BU81" s="131">
        <f t="shared" si="81"/>
        <v>500</v>
      </c>
      <c r="BV81" s="131">
        <f t="shared" si="82"/>
        <v>500</v>
      </c>
      <c r="BW81" s="325">
        <v>500</v>
      </c>
      <c r="BX81" s="325"/>
      <c r="BY81" s="325"/>
      <c r="BZ81" s="325"/>
      <c r="CA81" s="325"/>
      <c r="CB81" s="325">
        <v>500</v>
      </c>
      <c r="CC81" s="357">
        <f t="shared" si="83"/>
        <v>500</v>
      </c>
    </row>
    <row r="82" spans="1:81" s="77" customFormat="1" ht="15.95" customHeight="1">
      <c r="A82" s="326"/>
      <c r="B82" s="137"/>
      <c r="C82" s="131">
        <f t="shared" si="90"/>
        <v>0</v>
      </c>
      <c r="D82" s="131">
        <f t="shared" si="91"/>
        <v>0</v>
      </c>
      <c r="E82" s="133"/>
      <c r="F82" s="133"/>
      <c r="G82" s="133"/>
      <c r="H82" s="133"/>
      <c r="I82" s="133"/>
      <c r="J82" s="133"/>
      <c r="K82" s="235">
        <f t="shared" si="66"/>
        <v>0</v>
      </c>
      <c r="L82" s="137"/>
      <c r="M82" s="131">
        <f t="shared" si="92"/>
        <v>0</v>
      </c>
      <c r="N82" s="131">
        <f t="shared" si="93"/>
        <v>0</v>
      </c>
      <c r="O82" s="133"/>
      <c r="P82" s="133"/>
      <c r="Q82" s="133"/>
      <c r="R82" s="133"/>
      <c r="S82" s="133"/>
      <c r="T82" s="133"/>
      <c r="U82" s="235">
        <f t="shared" si="67"/>
        <v>0</v>
      </c>
      <c r="V82" s="137"/>
      <c r="W82" s="131">
        <f t="shared" si="88"/>
        <v>0</v>
      </c>
      <c r="X82" s="131">
        <f t="shared" si="89"/>
        <v>0</v>
      </c>
      <c r="Y82" s="133"/>
      <c r="Z82" s="133"/>
      <c r="AA82" s="133"/>
      <c r="AB82" s="133"/>
      <c r="AC82" s="133"/>
      <c r="AD82" s="133"/>
      <c r="AE82" s="235">
        <f t="shared" si="68"/>
        <v>0</v>
      </c>
      <c r="AF82" s="137"/>
      <c r="AG82" s="131">
        <f t="shared" si="69"/>
        <v>0</v>
      </c>
      <c r="AH82" s="131">
        <f t="shared" si="70"/>
        <v>0</v>
      </c>
      <c r="AI82" s="133"/>
      <c r="AJ82" s="133"/>
      <c r="AK82" s="133"/>
      <c r="AL82" s="133"/>
      <c r="AM82" s="133"/>
      <c r="AN82" s="133"/>
      <c r="AO82" s="235">
        <f t="shared" si="71"/>
        <v>0</v>
      </c>
      <c r="AP82" s="137"/>
      <c r="AQ82" s="131">
        <f t="shared" si="72"/>
        <v>0</v>
      </c>
      <c r="AR82" s="131">
        <f t="shared" si="73"/>
        <v>0</v>
      </c>
      <c r="AS82" s="133"/>
      <c r="AT82" s="133"/>
      <c r="AU82" s="133"/>
      <c r="AV82" s="133"/>
      <c r="AW82" s="133"/>
      <c r="AX82" s="133"/>
      <c r="AY82" s="235">
        <f t="shared" si="74"/>
        <v>0</v>
      </c>
      <c r="AZ82" s="137"/>
      <c r="BA82" s="131">
        <f t="shared" si="75"/>
        <v>0</v>
      </c>
      <c r="BB82" s="131">
        <f t="shared" si="76"/>
        <v>0</v>
      </c>
      <c r="BC82" s="133"/>
      <c r="BD82" s="133"/>
      <c r="BE82" s="133"/>
      <c r="BF82" s="133"/>
      <c r="BG82" s="133"/>
      <c r="BH82" s="133"/>
      <c r="BI82" s="235">
        <f t="shared" si="77"/>
        <v>0</v>
      </c>
      <c r="BJ82" s="137"/>
      <c r="BK82" s="131">
        <f t="shared" si="78"/>
        <v>0</v>
      </c>
      <c r="BL82" s="131">
        <f t="shared" si="79"/>
        <v>0</v>
      </c>
      <c r="BM82" s="133"/>
      <c r="BN82" s="133"/>
      <c r="BO82" s="133"/>
      <c r="BP82" s="133"/>
      <c r="BQ82" s="133"/>
      <c r="BR82" s="133"/>
      <c r="BS82" s="235">
        <f t="shared" si="80"/>
        <v>0</v>
      </c>
      <c r="BT82" s="324"/>
      <c r="BU82" s="131">
        <f t="shared" si="81"/>
        <v>0</v>
      </c>
      <c r="BV82" s="131">
        <f t="shared" si="82"/>
        <v>0</v>
      </c>
      <c r="BW82" s="325"/>
      <c r="BX82" s="325"/>
      <c r="BY82" s="325"/>
      <c r="BZ82" s="325"/>
      <c r="CA82" s="325"/>
      <c r="CB82" s="325"/>
      <c r="CC82" s="357">
        <f t="shared" si="83"/>
        <v>0</v>
      </c>
    </row>
    <row r="83" spans="1:81" s="77" customFormat="1" ht="15.95" customHeight="1">
      <c r="A83" s="326"/>
      <c r="B83" s="137"/>
      <c r="C83" s="131">
        <f t="shared" si="90"/>
        <v>0</v>
      </c>
      <c r="D83" s="131">
        <f t="shared" si="91"/>
        <v>0</v>
      </c>
      <c r="E83" s="133"/>
      <c r="F83" s="133"/>
      <c r="G83" s="133"/>
      <c r="H83" s="133"/>
      <c r="I83" s="133"/>
      <c r="J83" s="133"/>
      <c r="K83" s="235">
        <f t="shared" si="66"/>
        <v>0</v>
      </c>
      <c r="L83" s="137"/>
      <c r="M83" s="131">
        <f t="shared" si="92"/>
        <v>0</v>
      </c>
      <c r="N83" s="131">
        <f t="shared" si="93"/>
        <v>0</v>
      </c>
      <c r="O83" s="133"/>
      <c r="P83" s="133"/>
      <c r="Q83" s="133"/>
      <c r="R83" s="133"/>
      <c r="S83" s="133"/>
      <c r="T83" s="133"/>
      <c r="U83" s="235">
        <f t="shared" si="67"/>
        <v>0</v>
      </c>
      <c r="V83" s="137"/>
      <c r="W83" s="131">
        <f t="shared" si="88"/>
        <v>0</v>
      </c>
      <c r="X83" s="131">
        <f t="shared" si="89"/>
        <v>0</v>
      </c>
      <c r="Y83" s="133"/>
      <c r="Z83" s="133"/>
      <c r="AA83" s="133"/>
      <c r="AB83" s="133"/>
      <c r="AC83" s="133"/>
      <c r="AD83" s="133"/>
      <c r="AE83" s="235">
        <f t="shared" si="68"/>
        <v>0</v>
      </c>
      <c r="AF83" s="137"/>
      <c r="AG83" s="131">
        <f t="shared" si="69"/>
        <v>0</v>
      </c>
      <c r="AH83" s="131">
        <f t="shared" si="70"/>
        <v>0</v>
      </c>
      <c r="AI83" s="133"/>
      <c r="AJ83" s="133"/>
      <c r="AK83" s="133"/>
      <c r="AL83" s="133"/>
      <c r="AM83" s="133"/>
      <c r="AN83" s="133"/>
      <c r="AO83" s="235">
        <f t="shared" si="71"/>
        <v>0</v>
      </c>
      <c r="AP83" s="137"/>
      <c r="AQ83" s="131">
        <f t="shared" si="72"/>
        <v>0</v>
      </c>
      <c r="AR83" s="131">
        <f t="shared" si="73"/>
        <v>0</v>
      </c>
      <c r="AS83" s="133"/>
      <c r="AT83" s="133"/>
      <c r="AU83" s="133"/>
      <c r="AV83" s="133"/>
      <c r="AW83" s="133"/>
      <c r="AX83" s="133"/>
      <c r="AY83" s="235">
        <f t="shared" si="74"/>
        <v>0</v>
      </c>
      <c r="AZ83" s="137"/>
      <c r="BA83" s="131">
        <f t="shared" si="75"/>
        <v>0</v>
      </c>
      <c r="BB83" s="131">
        <f t="shared" si="76"/>
        <v>0</v>
      </c>
      <c r="BC83" s="133"/>
      <c r="BD83" s="133"/>
      <c r="BE83" s="133"/>
      <c r="BF83" s="133"/>
      <c r="BG83" s="133"/>
      <c r="BH83" s="133"/>
      <c r="BI83" s="235">
        <f t="shared" si="77"/>
        <v>0</v>
      </c>
      <c r="BJ83" s="137"/>
      <c r="BK83" s="131">
        <f t="shared" si="78"/>
        <v>0</v>
      </c>
      <c r="BL83" s="131">
        <f t="shared" si="79"/>
        <v>0</v>
      </c>
      <c r="BM83" s="133"/>
      <c r="BN83" s="133"/>
      <c r="BO83" s="133"/>
      <c r="BP83" s="133"/>
      <c r="BQ83" s="133"/>
      <c r="BR83" s="133"/>
      <c r="BS83" s="235">
        <f t="shared" si="80"/>
        <v>0</v>
      </c>
      <c r="BT83" s="324"/>
      <c r="BU83" s="131">
        <f t="shared" si="81"/>
        <v>0</v>
      </c>
      <c r="BV83" s="131">
        <f t="shared" si="82"/>
        <v>0</v>
      </c>
      <c r="BW83" s="325"/>
      <c r="BX83" s="325"/>
      <c r="BY83" s="325"/>
      <c r="BZ83" s="325"/>
      <c r="CA83" s="325"/>
      <c r="CB83" s="325"/>
      <c r="CC83" s="357">
        <f t="shared" si="83"/>
        <v>0</v>
      </c>
    </row>
    <row r="84" spans="1:81" s="77" customFormat="1" ht="15.95" customHeight="1">
      <c r="A84" s="326"/>
      <c r="B84" s="137"/>
      <c r="C84" s="131">
        <f t="shared" si="90"/>
        <v>0</v>
      </c>
      <c r="D84" s="131">
        <f t="shared" si="91"/>
        <v>0</v>
      </c>
      <c r="E84" s="133"/>
      <c r="F84" s="133"/>
      <c r="G84" s="133"/>
      <c r="H84" s="133"/>
      <c r="I84" s="133"/>
      <c r="J84" s="133"/>
      <c r="K84" s="235">
        <f t="shared" si="66"/>
        <v>0</v>
      </c>
      <c r="L84" s="137"/>
      <c r="M84" s="131">
        <f t="shared" si="92"/>
        <v>0</v>
      </c>
      <c r="N84" s="131">
        <f t="shared" si="93"/>
        <v>0</v>
      </c>
      <c r="O84" s="133"/>
      <c r="P84" s="133"/>
      <c r="Q84" s="133"/>
      <c r="R84" s="133"/>
      <c r="S84" s="133"/>
      <c r="T84" s="133"/>
      <c r="U84" s="235">
        <f t="shared" si="67"/>
        <v>0</v>
      </c>
      <c r="V84" s="137"/>
      <c r="W84" s="131">
        <f t="shared" si="88"/>
        <v>0</v>
      </c>
      <c r="X84" s="131">
        <f t="shared" si="89"/>
        <v>0</v>
      </c>
      <c r="Y84" s="133"/>
      <c r="Z84" s="133"/>
      <c r="AA84" s="133"/>
      <c r="AB84" s="133"/>
      <c r="AC84" s="133"/>
      <c r="AD84" s="133"/>
      <c r="AE84" s="235">
        <f t="shared" si="68"/>
        <v>0</v>
      </c>
      <c r="AF84" s="137"/>
      <c r="AG84" s="131">
        <f t="shared" si="69"/>
        <v>0</v>
      </c>
      <c r="AH84" s="131">
        <f t="shared" si="70"/>
        <v>0</v>
      </c>
      <c r="AI84" s="133"/>
      <c r="AJ84" s="133"/>
      <c r="AK84" s="133"/>
      <c r="AL84" s="133"/>
      <c r="AM84" s="133"/>
      <c r="AN84" s="133"/>
      <c r="AO84" s="235">
        <f t="shared" si="71"/>
        <v>0</v>
      </c>
      <c r="AP84" s="137"/>
      <c r="AQ84" s="131">
        <f t="shared" si="72"/>
        <v>0</v>
      </c>
      <c r="AR84" s="131">
        <f t="shared" si="73"/>
        <v>0</v>
      </c>
      <c r="AS84" s="133"/>
      <c r="AT84" s="133"/>
      <c r="AU84" s="133"/>
      <c r="AV84" s="133"/>
      <c r="AW84" s="133"/>
      <c r="AX84" s="133"/>
      <c r="AY84" s="235">
        <f t="shared" si="74"/>
        <v>0</v>
      </c>
      <c r="AZ84" s="137"/>
      <c r="BA84" s="131">
        <f t="shared" si="75"/>
        <v>0</v>
      </c>
      <c r="BB84" s="131">
        <f t="shared" si="76"/>
        <v>0</v>
      </c>
      <c r="BC84" s="133"/>
      <c r="BD84" s="133"/>
      <c r="BE84" s="133"/>
      <c r="BF84" s="133"/>
      <c r="BG84" s="133"/>
      <c r="BH84" s="133"/>
      <c r="BI84" s="235">
        <f t="shared" si="77"/>
        <v>0</v>
      </c>
      <c r="BJ84" s="137"/>
      <c r="BK84" s="131">
        <f t="shared" si="78"/>
        <v>0</v>
      </c>
      <c r="BL84" s="131">
        <f t="shared" si="79"/>
        <v>0</v>
      </c>
      <c r="BM84" s="133"/>
      <c r="BN84" s="133"/>
      <c r="BO84" s="133"/>
      <c r="BP84" s="133"/>
      <c r="BQ84" s="133"/>
      <c r="BR84" s="133"/>
      <c r="BS84" s="235">
        <f t="shared" si="80"/>
        <v>0</v>
      </c>
      <c r="BT84" s="324"/>
      <c r="BU84" s="131">
        <f t="shared" si="81"/>
        <v>0</v>
      </c>
      <c r="BV84" s="131">
        <f t="shared" si="82"/>
        <v>0</v>
      </c>
      <c r="BW84" s="325"/>
      <c r="BX84" s="325"/>
      <c r="BY84" s="325"/>
      <c r="BZ84" s="325"/>
      <c r="CA84" s="325"/>
      <c r="CB84" s="325"/>
      <c r="CC84" s="357">
        <f t="shared" si="83"/>
        <v>0</v>
      </c>
    </row>
    <row r="85" spans="1:81" s="77" customFormat="1" ht="15.95" customHeight="1">
      <c r="A85" s="326"/>
      <c r="B85" s="137"/>
      <c r="C85" s="131">
        <f>SUM(E85:I85)</f>
        <v>0</v>
      </c>
      <c r="D85" s="131">
        <f>IFERROR(C85/B85,0)</f>
        <v>0</v>
      </c>
      <c r="E85" s="133"/>
      <c r="F85" s="133"/>
      <c r="G85" s="133"/>
      <c r="H85" s="133"/>
      <c r="I85" s="133"/>
      <c r="J85" s="133"/>
      <c r="K85" s="235">
        <f t="shared" si="66"/>
        <v>0</v>
      </c>
      <c r="L85" s="137"/>
      <c r="M85" s="131">
        <f>SUM(O85:S85)</f>
        <v>0</v>
      </c>
      <c r="N85" s="131">
        <f>IFERROR(M85/L85,0)</f>
        <v>0</v>
      </c>
      <c r="O85" s="133"/>
      <c r="P85" s="133"/>
      <c r="Q85" s="133"/>
      <c r="R85" s="133"/>
      <c r="S85" s="133"/>
      <c r="T85" s="133"/>
      <c r="U85" s="235">
        <f t="shared" si="67"/>
        <v>0</v>
      </c>
      <c r="V85" s="137"/>
      <c r="W85" s="131">
        <f t="shared" si="88"/>
        <v>0</v>
      </c>
      <c r="X85" s="131">
        <f t="shared" si="89"/>
        <v>0</v>
      </c>
      <c r="Y85" s="133"/>
      <c r="Z85" s="133"/>
      <c r="AA85" s="133"/>
      <c r="AB85" s="133"/>
      <c r="AC85" s="133"/>
      <c r="AD85" s="133"/>
      <c r="AE85" s="235">
        <f t="shared" si="68"/>
        <v>0</v>
      </c>
      <c r="AF85" s="137"/>
      <c r="AG85" s="131">
        <f t="shared" si="69"/>
        <v>0</v>
      </c>
      <c r="AH85" s="131">
        <f t="shared" si="70"/>
        <v>0</v>
      </c>
      <c r="AI85" s="133"/>
      <c r="AJ85" s="133"/>
      <c r="AK85" s="133"/>
      <c r="AL85" s="133"/>
      <c r="AM85" s="133"/>
      <c r="AN85" s="133"/>
      <c r="AO85" s="235">
        <f t="shared" si="71"/>
        <v>0</v>
      </c>
      <c r="AP85" s="137"/>
      <c r="AQ85" s="131">
        <f t="shared" si="72"/>
        <v>0</v>
      </c>
      <c r="AR85" s="131">
        <f t="shared" si="73"/>
        <v>0</v>
      </c>
      <c r="AS85" s="133"/>
      <c r="AT85" s="133"/>
      <c r="AU85" s="133"/>
      <c r="AV85" s="133"/>
      <c r="AW85" s="133"/>
      <c r="AX85" s="133"/>
      <c r="AY85" s="235">
        <f t="shared" si="74"/>
        <v>0</v>
      </c>
      <c r="AZ85" s="137"/>
      <c r="BA85" s="131">
        <f t="shared" si="75"/>
        <v>0</v>
      </c>
      <c r="BB85" s="131">
        <f t="shared" si="76"/>
        <v>0</v>
      </c>
      <c r="BC85" s="133"/>
      <c r="BD85" s="133"/>
      <c r="BE85" s="133"/>
      <c r="BF85" s="133"/>
      <c r="BG85" s="133"/>
      <c r="BH85" s="133"/>
      <c r="BI85" s="235">
        <f t="shared" si="77"/>
        <v>0</v>
      </c>
      <c r="BJ85" s="137"/>
      <c r="BK85" s="131">
        <f t="shared" si="78"/>
        <v>0</v>
      </c>
      <c r="BL85" s="131">
        <f t="shared" si="79"/>
        <v>0</v>
      </c>
      <c r="BM85" s="133"/>
      <c r="BN85" s="133"/>
      <c r="BO85" s="133"/>
      <c r="BP85" s="133"/>
      <c r="BQ85" s="133"/>
      <c r="BR85" s="133"/>
      <c r="BS85" s="235">
        <f t="shared" si="80"/>
        <v>0</v>
      </c>
      <c r="BT85" s="324"/>
      <c r="BU85" s="131">
        <f t="shared" si="81"/>
        <v>0</v>
      </c>
      <c r="BV85" s="131">
        <f t="shared" si="82"/>
        <v>0</v>
      </c>
      <c r="BW85" s="325"/>
      <c r="BX85" s="325"/>
      <c r="BY85" s="325"/>
      <c r="BZ85" s="325"/>
      <c r="CA85" s="325"/>
      <c r="CB85" s="325"/>
      <c r="CC85" s="357">
        <f t="shared" si="83"/>
        <v>0</v>
      </c>
    </row>
    <row r="86" spans="1:81" ht="15.95" customHeight="1">
      <c r="A86" s="293" t="s">
        <v>177</v>
      </c>
      <c r="B86" s="136"/>
      <c r="C86" s="126"/>
      <c r="D86" s="126"/>
      <c r="E86" s="128"/>
      <c r="F86" s="128"/>
      <c r="G86" s="128"/>
      <c r="H86" s="128"/>
      <c r="I86" s="128"/>
      <c r="J86" s="128"/>
      <c r="K86" s="240"/>
      <c r="L86" s="136"/>
      <c r="M86" s="126"/>
      <c r="N86" s="126"/>
      <c r="O86" s="128"/>
      <c r="P86" s="128"/>
      <c r="Q86" s="128"/>
      <c r="R86" s="128"/>
      <c r="S86" s="128"/>
      <c r="T86" s="128"/>
      <c r="U86" s="240"/>
      <c r="V86" s="136"/>
      <c r="W86" s="126"/>
      <c r="X86" s="126"/>
      <c r="Y86" s="128"/>
      <c r="Z86" s="128"/>
      <c r="AA86" s="128"/>
      <c r="AB86" s="128"/>
      <c r="AC86" s="128"/>
      <c r="AD86" s="128"/>
      <c r="AE86" s="240"/>
      <c r="AF86" s="136"/>
      <c r="AG86" s="126"/>
      <c r="AH86" s="126"/>
      <c r="AI86" s="128"/>
      <c r="AJ86" s="128"/>
      <c r="AK86" s="128"/>
      <c r="AL86" s="128"/>
      <c r="AM86" s="128"/>
      <c r="AN86" s="128"/>
      <c r="AO86" s="240"/>
      <c r="AP86" s="136"/>
      <c r="AQ86" s="126"/>
      <c r="AR86" s="126"/>
      <c r="AS86" s="128"/>
      <c r="AT86" s="128"/>
      <c r="AU86" s="128"/>
      <c r="AV86" s="128"/>
      <c r="AW86" s="128"/>
      <c r="AX86" s="128"/>
      <c r="AY86" s="240"/>
      <c r="AZ86" s="136"/>
      <c r="BA86" s="126"/>
      <c r="BB86" s="126"/>
      <c r="BC86" s="128"/>
      <c r="BD86" s="128"/>
      <c r="BE86" s="128"/>
      <c r="BF86" s="128"/>
      <c r="BG86" s="128"/>
      <c r="BH86" s="128"/>
      <c r="BI86" s="240"/>
      <c r="BJ86" s="136"/>
      <c r="BK86" s="126"/>
      <c r="BL86" s="126"/>
      <c r="BM86" s="128"/>
      <c r="BN86" s="128"/>
      <c r="BO86" s="128"/>
      <c r="BP86" s="128"/>
      <c r="BQ86" s="128"/>
      <c r="BR86" s="128"/>
      <c r="BS86" s="240"/>
      <c r="BT86" s="136"/>
      <c r="BU86" s="126"/>
      <c r="BV86" s="126"/>
      <c r="BW86" s="128"/>
      <c r="BX86" s="128"/>
      <c r="BY86" s="128"/>
      <c r="BZ86" s="128"/>
      <c r="CA86" s="128"/>
      <c r="CB86" s="128"/>
      <c r="CC86" s="240"/>
    </row>
    <row r="87" spans="1:81" s="77" customFormat="1" ht="15.95" customHeight="1">
      <c r="A87" s="288" t="s">
        <v>91</v>
      </c>
      <c r="B87" s="79">
        <f>SUM(B$63:B86)</f>
        <v>263</v>
      </c>
      <c r="C87" s="131">
        <f>SUM(C$63:C86)</f>
        <v>662640</v>
      </c>
      <c r="D87" s="131">
        <f>IFERROR(C87/B87,0)</f>
        <v>2519.5437262357414</v>
      </c>
      <c r="E87" s="132">
        <f>SUM(E$63:E86)</f>
        <v>327436</v>
      </c>
      <c r="F87" s="132">
        <f>SUM(F$63:F86)</f>
        <v>0</v>
      </c>
      <c r="G87" s="132">
        <f>SUM(G$63:G86)</f>
        <v>9987</v>
      </c>
      <c r="H87" s="132">
        <f>SUM(H$63:H86)</f>
        <v>325217</v>
      </c>
      <c r="I87" s="132">
        <f>SUM(I$63:I86)</f>
        <v>0</v>
      </c>
      <c r="J87" s="132">
        <f>SUM(J$63:J86)</f>
        <v>384472</v>
      </c>
      <c r="K87" s="235">
        <f>SUM(K$63:K86)</f>
        <v>230271</v>
      </c>
      <c r="L87" s="79">
        <f>SUM(L$63:L86)</f>
        <v>253</v>
      </c>
      <c r="M87" s="131">
        <f>SUM(M$63:M86)</f>
        <v>850619</v>
      </c>
      <c r="N87" s="131">
        <f>IFERROR(M87/L87,0)</f>
        <v>3362.1304347826085</v>
      </c>
      <c r="O87" s="132">
        <f>SUM(O$63:O86)</f>
        <v>340578</v>
      </c>
      <c r="P87" s="132">
        <f>SUM(P$63:P86)</f>
        <v>10574</v>
      </c>
      <c r="Q87" s="132">
        <f>SUM(Q$63:Q86)</f>
        <v>61422</v>
      </c>
      <c r="R87" s="132">
        <f>SUM(R$63:R86)</f>
        <v>438045</v>
      </c>
      <c r="S87" s="132">
        <f>SUM(S$63:S86)</f>
        <v>0</v>
      </c>
      <c r="T87" s="132">
        <f>SUM(T$63:T86)</f>
        <v>540428</v>
      </c>
      <c r="U87" s="235">
        <f>SUM(U$63:U86)</f>
        <v>248015</v>
      </c>
      <c r="V87" s="79">
        <f>SUM(V$63:V86)</f>
        <v>220</v>
      </c>
      <c r="W87" s="131">
        <f>SUM(W$63:W86)</f>
        <v>620069</v>
      </c>
      <c r="X87" s="131">
        <f>IFERROR(W87/V87,0)</f>
        <v>2818.4954545454543</v>
      </c>
      <c r="Y87" s="132">
        <f>SUM(Y$63:Y86)</f>
        <v>363530</v>
      </c>
      <c r="Z87" s="132">
        <f>SUM(Z$63:Z86)</f>
        <v>1571</v>
      </c>
      <c r="AA87" s="132">
        <f>SUM(AA$63:AA86)</f>
        <v>11868</v>
      </c>
      <c r="AB87" s="132">
        <f>SUM(AB$63:AB86)</f>
        <v>243100</v>
      </c>
      <c r="AC87" s="132">
        <f>SUM(AC$63:AC86)</f>
        <v>0</v>
      </c>
      <c r="AD87" s="132">
        <f>SUM(AD$63:AD86)</f>
        <v>394583</v>
      </c>
      <c r="AE87" s="235">
        <f>SUM(AE$63:AE86)</f>
        <v>231460</v>
      </c>
      <c r="AF87" s="79">
        <f>SUM(AF$63:AF86)</f>
        <v>183</v>
      </c>
      <c r="AG87" s="131">
        <f>SUM(AG$63:AG86)</f>
        <v>450321</v>
      </c>
      <c r="AH87" s="131">
        <f>IFERROR(AG87/AF87,0)</f>
        <v>2460.7704918032787</v>
      </c>
      <c r="AI87" s="132">
        <f>SUM(AI$63:AI86)</f>
        <v>402339</v>
      </c>
      <c r="AJ87" s="132">
        <f>SUM(AJ$63:AJ86)</f>
        <v>8509</v>
      </c>
      <c r="AK87" s="132">
        <f>SUM(AK$63:AK86)</f>
        <v>12080</v>
      </c>
      <c r="AL87" s="132">
        <f>SUM(AL$63:AL86)</f>
        <v>27393</v>
      </c>
      <c r="AM87" s="132">
        <f>SUM(AM$63:AM86)</f>
        <v>0</v>
      </c>
      <c r="AN87" s="132">
        <f>SUM(AN$63:AN86)</f>
        <v>269241</v>
      </c>
      <c r="AO87" s="235">
        <f>SUM(AO$63:AO86)</f>
        <v>256389</v>
      </c>
      <c r="AP87" s="79">
        <f>SUM(AP$63:AP86)</f>
        <v>206</v>
      </c>
      <c r="AQ87" s="131">
        <f>SUM(AQ$63:AQ86)</f>
        <v>512580.21</v>
      </c>
      <c r="AR87" s="131">
        <f>IFERROR(AQ87/AP87,0)</f>
        <v>2488.253446601942</v>
      </c>
      <c r="AS87" s="132">
        <f>SUM(AS$63:AS86)</f>
        <v>405462.49</v>
      </c>
      <c r="AT87" s="132">
        <f>SUM(AT$63:AT86)</f>
        <v>9513.0300000000007</v>
      </c>
      <c r="AU87" s="132">
        <f>SUM(AU$63:AU86)</f>
        <v>10349</v>
      </c>
      <c r="AV87" s="132">
        <f>SUM(AV$63:AV86)</f>
        <v>59505.36</v>
      </c>
      <c r="AW87" s="132">
        <f>SUM(AW$63:AW86)</f>
        <v>27750.33</v>
      </c>
      <c r="AX87" s="132">
        <f>SUM(AX$63:AX86)</f>
        <v>305224.25000000006</v>
      </c>
      <c r="AY87" s="235">
        <f>SUM(AY$63:AY86)</f>
        <v>261927.62</v>
      </c>
      <c r="AZ87" s="79">
        <f>SUM(AZ$63:AZ86)</f>
        <v>169</v>
      </c>
      <c r="BA87" s="131">
        <f>SUM(BA$63:BA86)</f>
        <v>466736</v>
      </c>
      <c r="BB87" s="131">
        <f>IFERROR(BA87/AZ87,0)</f>
        <v>2761.751479289941</v>
      </c>
      <c r="BC87" s="132">
        <f>SUM(BC$63:BC86)</f>
        <v>390479</v>
      </c>
      <c r="BD87" s="132">
        <f>SUM(BD$63:BD86)</f>
        <v>12168</v>
      </c>
      <c r="BE87" s="132">
        <f>SUM(BE$63:BE86)</f>
        <v>16577</v>
      </c>
      <c r="BF87" s="132">
        <f>SUM(BF$63:BF86)</f>
        <v>41452</v>
      </c>
      <c r="BG87" s="132">
        <f>SUM(BG$63:BG86)</f>
        <v>6060</v>
      </c>
      <c r="BH87" s="132">
        <f>SUM(BH$63:BH86)</f>
        <v>301416</v>
      </c>
      <c r="BI87" s="235">
        <f>SUM(BI$63:BI86)</f>
        <v>269481</v>
      </c>
      <c r="BJ87" s="79">
        <f>SUM(BJ$63:BJ86)</f>
        <v>174</v>
      </c>
      <c r="BK87" s="131">
        <f>SUM(BK$63:BK86)</f>
        <v>471341</v>
      </c>
      <c r="BL87" s="131">
        <f>IFERROR(BK87/BJ87,0)</f>
        <v>2708.8563218390805</v>
      </c>
      <c r="BM87" s="132">
        <f>SUM(BM$63:BM86)</f>
        <v>370161</v>
      </c>
      <c r="BN87" s="132">
        <f>SUM(BN$63:BN86)</f>
        <v>10825</v>
      </c>
      <c r="BO87" s="132">
        <f>SUM(BO$63:BO86)</f>
        <v>17794</v>
      </c>
      <c r="BP87" s="132">
        <f>SUM(BP$63:BP86)</f>
        <v>60142</v>
      </c>
      <c r="BQ87" s="132">
        <f>SUM(BQ$63:BQ86)</f>
        <v>12419</v>
      </c>
      <c r="BR87" s="132">
        <f>SUM(BR$63:BR86)</f>
        <v>292369</v>
      </c>
      <c r="BS87" s="235">
        <f>SUM(BS$63:BS86)</f>
        <v>244265</v>
      </c>
      <c r="BT87" s="79">
        <f>SUM(BT$63:BT86)</f>
        <v>179</v>
      </c>
      <c r="BU87" s="131">
        <f>SUM(BU$63:BU86)</f>
        <v>473269.73000000004</v>
      </c>
      <c r="BV87" s="131">
        <f>IFERROR(BU87/BT87,0)</f>
        <v>2643.9649720670395</v>
      </c>
      <c r="BW87" s="132">
        <f>SUM(BW$63:BW86)</f>
        <v>385910.36</v>
      </c>
      <c r="BX87" s="132">
        <f>SUM(BX$63:BX86)</f>
        <v>12587.65</v>
      </c>
      <c r="BY87" s="132">
        <f>SUM(BY$63:BY86)</f>
        <v>11418</v>
      </c>
      <c r="BZ87" s="132">
        <f>SUM(BZ$63:BZ86)</f>
        <v>46852.17</v>
      </c>
      <c r="CA87" s="132">
        <f>SUM(CA$63:CA86)</f>
        <v>16501.55</v>
      </c>
      <c r="CB87" s="132">
        <f>SUM(CB$63:CB86)</f>
        <v>308135.91000000003</v>
      </c>
      <c r="CC87" s="235">
        <f>SUM(CC$63:CC86)</f>
        <v>257590.71000000002</v>
      </c>
    </row>
    <row r="88" spans="1:81" s="77" customFormat="1" ht="15.95" customHeight="1">
      <c r="A88" s="285"/>
      <c r="B88" s="137"/>
      <c r="C88" s="245"/>
      <c r="D88" s="245"/>
      <c r="E88" s="133"/>
      <c r="F88" s="133"/>
      <c r="G88" s="133"/>
      <c r="H88" s="133"/>
      <c r="I88" s="133"/>
      <c r="J88" s="133"/>
      <c r="K88" s="246"/>
      <c r="L88" s="137"/>
      <c r="M88" s="245"/>
      <c r="N88" s="245"/>
      <c r="O88" s="133"/>
      <c r="P88" s="133"/>
      <c r="Q88" s="133"/>
      <c r="R88" s="133"/>
      <c r="S88" s="133"/>
      <c r="T88" s="133"/>
      <c r="U88" s="246"/>
      <c r="V88" s="137"/>
      <c r="W88" s="245"/>
      <c r="X88" s="245"/>
      <c r="Y88" s="133"/>
      <c r="Z88" s="133"/>
      <c r="AA88" s="133"/>
      <c r="AB88" s="133"/>
      <c r="AC88" s="133"/>
      <c r="AD88" s="133"/>
      <c r="AE88" s="246"/>
      <c r="AF88" s="137"/>
      <c r="AG88" s="245"/>
      <c r="AH88" s="245"/>
      <c r="AI88" s="133"/>
      <c r="AJ88" s="133"/>
      <c r="AK88" s="133"/>
      <c r="AL88" s="133"/>
      <c r="AM88" s="133"/>
      <c r="AN88" s="133"/>
      <c r="AO88" s="246"/>
      <c r="AP88" s="137"/>
      <c r="AQ88" s="245"/>
      <c r="AR88" s="245"/>
      <c r="AS88" s="133"/>
      <c r="AT88" s="133"/>
      <c r="AU88" s="133"/>
      <c r="AV88" s="133"/>
      <c r="AW88" s="133"/>
      <c r="AX88" s="133"/>
      <c r="AY88" s="246"/>
      <c r="AZ88" s="137"/>
      <c r="BA88" s="245"/>
      <c r="BB88" s="245"/>
      <c r="BC88" s="133"/>
      <c r="BD88" s="133"/>
      <c r="BE88" s="133"/>
      <c r="BF88" s="133"/>
      <c r="BG88" s="133"/>
      <c r="BH88" s="133"/>
      <c r="BI88" s="246"/>
      <c r="BJ88" s="137"/>
      <c r="BK88" s="245"/>
      <c r="BL88" s="245"/>
      <c r="BM88" s="133"/>
      <c r="BN88" s="133"/>
      <c r="BO88" s="133"/>
      <c r="BP88" s="133"/>
      <c r="BQ88" s="133"/>
      <c r="BR88" s="133"/>
      <c r="BS88" s="246"/>
      <c r="BT88" s="137"/>
      <c r="BU88" s="245"/>
      <c r="BV88" s="245"/>
      <c r="BW88" s="133"/>
      <c r="BX88" s="133"/>
      <c r="BY88" s="133"/>
      <c r="BZ88" s="133"/>
      <c r="CA88" s="133"/>
      <c r="CB88" s="133"/>
      <c r="CC88" s="246"/>
    </row>
    <row r="89" spans="1:81" s="77" customFormat="1" ht="15.95" customHeight="1">
      <c r="A89" s="288" t="s">
        <v>92</v>
      </c>
      <c r="B89" s="79">
        <f>SUM(B32+B61+B87)</f>
        <v>3931</v>
      </c>
      <c r="C89" s="131">
        <f>SUM(C32+C61+C87)</f>
        <v>10851479</v>
      </c>
      <c r="D89" s="131">
        <f>IFERROR(C89/B89,0)</f>
        <v>2760.4881709488682</v>
      </c>
      <c r="E89" s="132">
        <f t="shared" ref="E89:M89" si="94">SUM(E32+E61+E87)</f>
        <v>1883744</v>
      </c>
      <c r="F89" s="132">
        <f t="shared" si="94"/>
        <v>32314</v>
      </c>
      <c r="G89" s="132">
        <f t="shared" si="94"/>
        <v>337812</v>
      </c>
      <c r="H89" s="132">
        <f t="shared" si="94"/>
        <v>6757581</v>
      </c>
      <c r="I89" s="132">
        <f t="shared" si="94"/>
        <v>1840028</v>
      </c>
      <c r="J89" s="132">
        <f t="shared" si="94"/>
        <v>6625275</v>
      </c>
      <c r="K89" s="235">
        <f t="shared" si="94"/>
        <v>1307228</v>
      </c>
      <c r="L89" s="79">
        <f t="shared" si="94"/>
        <v>3749</v>
      </c>
      <c r="M89" s="131">
        <f t="shared" si="94"/>
        <v>10880620</v>
      </c>
      <c r="N89" s="131">
        <f>IFERROR(M89/L89,0)</f>
        <v>2902.2726060282744</v>
      </c>
      <c r="O89" s="132">
        <f t="shared" ref="O89:W89" si="95">SUM(O32+O61+O87)</f>
        <v>1655072</v>
      </c>
      <c r="P89" s="132">
        <f t="shared" si="95"/>
        <v>86599</v>
      </c>
      <c r="Q89" s="132">
        <f t="shared" si="95"/>
        <v>415847</v>
      </c>
      <c r="R89" s="132">
        <f t="shared" si="95"/>
        <v>6852980</v>
      </c>
      <c r="S89" s="132">
        <f t="shared" si="95"/>
        <v>1870122</v>
      </c>
      <c r="T89" s="132">
        <f t="shared" si="95"/>
        <v>6966117</v>
      </c>
      <c r="U89" s="235">
        <f t="shared" si="95"/>
        <v>1196463</v>
      </c>
      <c r="V89" s="79">
        <f t="shared" si="95"/>
        <v>3589</v>
      </c>
      <c r="W89" s="131">
        <f t="shared" si="95"/>
        <v>10598189</v>
      </c>
      <c r="X89" s="131">
        <f>IFERROR(W89/V89,0)</f>
        <v>2952.9643354694899</v>
      </c>
      <c r="Y89" s="132">
        <f t="shared" ref="Y89:AG89" si="96">SUM(Y32+Y61+Y87)</f>
        <v>1604547</v>
      </c>
      <c r="Z89" s="132">
        <f t="shared" si="96"/>
        <v>99720</v>
      </c>
      <c r="AA89" s="132">
        <f t="shared" si="96"/>
        <v>365083</v>
      </c>
      <c r="AB89" s="132">
        <f t="shared" si="96"/>
        <v>6579582</v>
      </c>
      <c r="AC89" s="132">
        <f t="shared" si="96"/>
        <v>1949257</v>
      </c>
      <c r="AD89" s="132">
        <f t="shared" si="96"/>
        <v>6796187</v>
      </c>
      <c r="AE89" s="235">
        <f t="shared" si="96"/>
        <v>1210163</v>
      </c>
      <c r="AF89" s="79">
        <f t="shared" si="96"/>
        <v>3503</v>
      </c>
      <c r="AG89" s="131">
        <f t="shared" si="96"/>
        <v>9951089</v>
      </c>
      <c r="AH89" s="131">
        <f>IFERROR(AG89/AF89,0)</f>
        <v>2840.7333713959465</v>
      </c>
      <c r="AI89" s="132">
        <f t="shared" ref="AI89:AQ89" si="97">SUM(AI32+AI61+AI87)</f>
        <v>1606692</v>
      </c>
      <c r="AJ89" s="132">
        <f t="shared" si="97"/>
        <v>141399</v>
      </c>
      <c r="AK89" s="132">
        <f t="shared" si="97"/>
        <v>368644</v>
      </c>
      <c r="AL89" s="132">
        <f t="shared" si="97"/>
        <v>5969817</v>
      </c>
      <c r="AM89" s="132">
        <f t="shared" si="97"/>
        <v>1864537</v>
      </c>
      <c r="AN89" s="132">
        <f t="shared" si="97"/>
        <v>6343219</v>
      </c>
      <c r="AO89" s="235">
        <f t="shared" si="97"/>
        <v>1196331</v>
      </c>
      <c r="AP89" s="79">
        <f t="shared" si="97"/>
        <v>4101</v>
      </c>
      <c r="AQ89" s="131">
        <f t="shared" si="97"/>
        <v>10607763.640000001</v>
      </c>
      <c r="AR89" s="131">
        <f>IFERROR(AQ89/AP89,0)</f>
        <v>2586.6285393806388</v>
      </c>
      <c r="AS89" s="132">
        <f t="shared" ref="AS89:BA89" si="98">SUM(AS32+AS61+AS87)</f>
        <v>1907939.64</v>
      </c>
      <c r="AT89" s="132">
        <f t="shared" si="98"/>
        <v>142165.69</v>
      </c>
      <c r="AU89" s="132">
        <f t="shared" si="98"/>
        <v>368232.66</v>
      </c>
      <c r="AV89" s="132">
        <f t="shared" si="98"/>
        <v>6138832.3600000003</v>
      </c>
      <c r="AW89" s="132">
        <f t="shared" si="98"/>
        <v>2050593.29</v>
      </c>
      <c r="AX89" s="132">
        <f t="shared" si="98"/>
        <v>6828291.2800000003</v>
      </c>
      <c r="AY89" s="235">
        <f t="shared" si="98"/>
        <v>1363243.1</v>
      </c>
      <c r="AZ89" s="79">
        <f t="shared" si="98"/>
        <v>3889</v>
      </c>
      <c r="BA89" s="131">
        <f t="shared" si="98"/>
        <v>10689856</v>
      </c>
      <c r="BB89" s="131">
        <f>IFERROR(BA89/AZ89,0)</f>
        <v>2748.7415788120338</v>
      </c>
      <c r="BC89" s="132">
        <f t="shared" ref="BC89:BK89" si="99">SUM(BC32+BC61+BC87)</f>
        <v>1620232</v>
      </c>
      <c r="BD89" s="132">
        <f t="shared" si="99"/>
        <v>90488</v>
      </c>
      <c r="BE89" s="132">
        <f t="shared" si="99"/>
        <v>739281</v>
      </c>
      <c r="BF89" s="132">
        <f t="shared" si="99"/>
        <v>5664542</v>
      </c>
      <c r="BG89" s="132">
        <f t="shared" si="99"/>
        <v>2575313</v>
      </c>
      <c r="BH89" s="132">
        <f t="shared" si="99"/>
        <v>6773237</v>
      </c>
      <c r="BI89" s="235">
        <f t="shared" si="99"/>
        <v>1357131</v>
      </c>
      <c r="BJ89" s="79">
        <f t="shared" si="99"/>
        <v>4593</v>
      </c>
      <c r="BK89" s="131">
        <f t="shared" si="99"/>
        <v>13423337</v>
      </c>
      <c r="BL89" s="131">
        <f>IFERROR(BK89/BJ89,0)</f>
        <v>2922.5641193119964</v>
      </c>
      <c r="BM89" s="132">
        <f t="shared" ref="BM89:BU89" si="100">SUM(BM32+BM61+BM87)</f>
        <v>1655717</v>
      </c>
      <c r="BN89" s="132">
        <f t="shared" si="100"/>
        <v>57662</v>
      </c>
      <c r="BO89" s="132">
        <f t="shared" si="100"/>
        <v>1128619</v>
      </c>
      <c r="BP89" s="132">
        <f t="shared" si="100"/>
        <v>7224276</v>
      </c>
      <c r="BQ89" s="132">
        <f t="shared" si="100"/>
        <v>3357063</v>
      </c>
      <c r="BR89" s="132">
        <f t="shared" si="100"/>
        <v>8737926</v>
      </c>
      <c r="BS89" s="235">
        <f t="shared" si="100"/>
        <v>1369619</v>
      </c>
      <c r="BT89" s="79">
        <f t="shared" si="100"/>
        <v>4268</v>
      </c>
      <c r="BU89" s="131">
        <f t="shared" si="100"/>
        <v>12274436.16</v>
      </c>
      <c r="BV89" s="131">
        <f>IFERROR(BU89/BT89,0)</f>
        <v>2875.9222492970948</v>
      </c>
      <c r="BW89" s="132">
        <f t="shared" ref="BW89:CC89" si="101">SUM(BW32+BW61+BW87)</f>
        <v>1986734.8599999999</v>
      </c>
      <c r="BX89" s="132">
        <f t="shared" si="101"/>
        <v>29797.65</v>
      </c>
      <c r="BY89" s="132">
        <f t="shared" si="101"/>
        <v>1474935.9</v>
      </c>
      <c r="BZ89" s="132">
        <f t="shared" si="101"/>
        <v>5951312.1699999999</v>
      </c>
      <c r="CA89" s="132">
        <f t="shared" si="101"/>
        <v>2831655.5799999996</v>
      </c>
      <c r="CB89" s="132">
        <f t="shared" si="101"/>
        <v>7473360.1899999995</v>
      </c>
      <c r="CC89" s="235">
        <f t="shared" si="101"/>
        <v>1371971.71</v>
      </c>
    </row>
    <row r="90" spans="1:81" ht="15.95" customHeight="1">
      <c r="A90" s="285"/>
      <c r="B90" s="136"/>
      <c r="C90" s="126"/>
      <c r="D90" s="126"/>
      <c r="E90" s="128"/>
      <c r="F90" s="128"/>
      <c r="G90" s="128"/>
      <c r="H90" s="128"/>
      <c r="I90" s="128"/>
      <c r="J90" s="128"/>
      <c r="K90" s="240"/>
      <c r="L90" s="136"/>
      <c r="M90" s="126"/>
      <c r="N90" s="126"/>
      <c r="O90" s="128"/>
      <c r="P90" s="128"/>
      <c r="Q90" s="128"/>
      <c r="R90" s="128"/>
      <c r="S90" s="128"/>
      <c r="T90" s="128"/>
      <c r="U90" s="240"/>
      <c r="V90" s="136"/>
      <c r="W90" s="126"/>
      <c r="X90" s="126"/>
      <c r="Y90" s="128"/>
      <c r="Z90" s="128"/>
      <c r="AA90" s="128"/>
      <c r="AB90" s="128"/>
      <c r="AC90" s="128"/>
      <c r="AD90" s="128"/>
      <c r="AE90" s="240"/>
      <c r="AF90" s="136"/>
      <c r="AG90" s="126"/>
      <c r="AH90" s="126"/>
      <c r="AI90" s="128"/>
      <c r="AJ90" s="128"/>
      <c r="AK90" s="128"/>
      <c r="AL90" s="128"/>
      <c r="AM90" s="128"/>
      <c r="AN90" s="128"/>
      <c r="AO90" s="240"/>
      <c r="AP90" s="136"/>
      <c r="AQ90" s="126"/>
      <c r="AR90" s="126"/>
      <c r="AS90" s="128"/>
      <c r="AT90" s="128"/>
      <c r="AU90" s="128"/>
      <c r="AV90" s="128"/>
      <c r="AW90" s="128"/>
      <c r="AX90" s="128"/>
      <c r="AY90" s="240"/>
      <c r="AZ90" s="136"/>
      <c r="BA90" s="126"/>
      <c r="BB90" s="126"/>
      <c r="BC90" s="128"/>
      <c r="BD90" s="128"/>
      <c r="BE90" s="128"/>
      <c r="BF90" s="128"/>
      <c r="BG90" s="128"/>
      <c r="BH90" s="128"/>
      <c r="BI90" s="240"/>
      <c r="BJ90" s="136"/>
      <c r="BK90" s="126"/>
      <c r="BL90" s="126"/>
      <c r="BM90" s="128"/>
      <c r="BN90" s="128"/>
      <c r="BO90" s="128"/>
      <c r="BP90" s="128"/>
      <c r="BQ90" s="128"/>
      <c r="BR90" s="128"/>
      <c r="BS90" s="240"/>
      <c r="BT90" s="136"/>
      <c r="BU90" s="126"/>
      <c r="BV90" s="126"/>
      <c r="BW90" s="128"/>
      <c r="BX90" s="128"/>
      <c r="BY90" s="128"/>
      <c r="BZ90" s="128"/>
      <c r="CA90" s="128"/>
      <c r="CB90" s="128"/>
      <c r="CC90" s="240"/>
    </row>
    <row r="91" spans="1:81" ht="15.95" customHeight="1">
      <c r="A91" s="284" t="s">
        <v>93</v>
      </c>
      <c r="B91" s="136"/>
      <c r="C91" s="126"/>
      <c r="D91" s="126"/>
      <c r="E91" s="128"/>
      <c r="F91" s="128"/>
      <c r="G91" s="128"/>
      <c r="H91" s="128"/>
      <c r="I91" s="128"/>
      <c r="J91" s="128"/>
      <c r="K91" s="240"/>
      <c r="L91" s="136"/>
      <c r="M91" s="126"/>
      <c r="N91" s="126"/>
      <c r="O91" s="128"/>
      <c r="P91" s="128"/>
      <c r="Q91" s="128"/>
      <c r="R91" s="128"/>
      <c r="S91" s="128"/>
      <c r="T91" s="128"/>
      <c r="U91" s="240"/>
      <c r="V91" s="136"/>
      <c r="W91" s="126"/>
      <c r="X91" s="126"/>
      <c r="Y91" s="128"/>
      <c r="Z91" s="128"/>
      <c r="AA91" s="128"/>
      <c r="AB91" s="128"/>
      <c r="AC91" s="128"/>
      <c r="AD91" s="128"/>
      <c r="AE91" s="240"/>
      <c r="AF91" s="136"/>
      <c r="AG91" s="126"/>
      <c r="AH91" s="126"/>
      <c r="AI91" s="128"/>
      <c r="AJ91" s="128"/>
      <c r="AK91" s="128"/>
      <c r="AL91" s="128"/>
      <c r="AM91" s="128"/>
      <c r="AN91" s="128"/>
      <c r="AO91" s="240"/>
      <c r="AP91" s="136"/>
      <c r="AQ91" s="126"/>
      <c r="AR91" s="126"/>
      <c r="AS91" s="128"/>
      <c r="AT91" s="128"/>
      <c r="AU91" s="128"/>
      <c r="AV91" s="128"/>
      <c r="AW91" s="128"/>
      <c r="AX91" s="128"/>
      <c r="AY91" s="240"/>
      <c r="AZ91" s="136"/>
      <c r="BA91" s="126"/>
      <c r="BB91" s="126"/>
      <c r="BC91" s="128"/>
      <c r="BD91" s="128"/>
      <c r="BE91" s="128"/>
      <c r="BF91" s="128"/>
      <c r="BG91" s="128"/>
      <c r="BH91" s="128"/>
      <c r="BI91" s="240"/>
      <c r="BJ91" s="136"/>
      <c r="BK91" s="126"/>
      <c r="BL91" s="126"/>
      <c r="BM91" s="128"/>
      <c r="BN91" s="128"/>
      <c r="BO91" s="128"/>
      <c r="BP91" s="128"/>
      <c r="BQ91" s="128"/>
      <c r="BR91" s="128"/>
      <c r="BS91" s="240"/>
      <c r="BT91" s="136"/>
      <c r="BU91" s="126"/>
      <c r="BV91" s="126"/>
      <c r="BW91" s="128"/>
      <c r="BX91" s="128"/>
      <c r="BY91" s="128"/>
      <c r="BZ91" s="128"/>
      <c r="CA91" s="128"/>
      <c r="CB91" s="128"/>
      <c r="CC91" s="240"/>
    </row>
    <row r="92" spans="1:81" ht="15.95" customHeight="1">
      <c r="A92" s="285"/>
      <c r="B92" s="136"/>
      <c r="C92" s="126"/>
      <c r="D92" s="126"/>
      <c r="E92" s="128"/>
      <c r="F92" s="128"/>
      <c r="G92" s="128"/>
      <c r="H92" s="128"/>
      <c r="I92" s="128"/>
      <c r="J92" s="128"/>
      <c r="K92" s="240"/>
      <c r="L92" s="136"/>
      <c r="M92" s="126"/>
      <c r="N92" s="126"/>
      <c r="O92" s="128"/>
      <c r="P92" s="128"/>
      <c r="Q92" s="128"/>
      <c r="R92" s="128"/>
      <c r="S92" s="128"/>
      <c r="T92" s="128"/>
      <c r="U92" s="240"/>
      <c r="V92" s="136"/>
      <c r="W92" s="126"/>
      <c r="X92" s="126"/>
      <c r="Y92" s="128"/>
      <c r="Z92" s="128"/>
      <c r="AA92" s="128"/>
      <c r="AB92" s="128"/>
      <c r="AC92" s="128"/>
      <c r="AD92" s="128"/>
      <c r="AE92" s="240"/>
      <c r="AF92" s="136"/>
      <c r="AG92" s="126"/>
      <c r="AH92" s="126"/>
      <c r="AI92" s="128"/>
      <c r="AJ92" s="128"/>
      <c r="AK92" s="128"/>
      <c r="AL92" s="128"/>
      <c r="AM92" s="128"/>
      <c r="AN92" s="128"/>
      <c r="AO92" s="240"/>
      <c r="AP92" s="136"/>
      <c r="AQ92" s="126"/>
      <c r="AR92" s="126"/>
      <c r="AS92" s="128"/>
      <c r="AT92" s="128"/>
      <c r="AU92" s="128"/>
      <c r="AV92" s="128"/>
      <c r="AW92" s="128"/>
      <c r="AX92" s="128"/>
      <c r="AY92" s="240"/>
      <c r="AZ92" s="136"/>
      <c r="BA92" s="126"/>
      <c r="BB92" s="126"/>
      <c r="BC92" s="128"/>
      <c r="BD92" s="128"/>
      <c r="BE92" s="128"/>
      <c r="BF92" s="128"/>
      <c r="BG92" s="128"/>
      <c r="BH92" s="128"/>
      <c r="BI92" s="240"/>
      <c r="BJ92" s="136"/>
      <c r="BK92" s="126"/>
      <c r="BL92" s="126"/>
      <c r="BM92" s="128"/>
      <c r="BN92" s="128"/>
      <c r="BO92" s="128"/>
      <c r="BP92" s="128"/>
      <c r="BQ92" s="128"/>
      <c r="BR92" s="128"/>
      <c r="BS92" s="240"/>
      <c r="BT92" s="136"/>
      <c r="BU92" s="126"/>
      <c r="BV92" s="126"/>
      <c r="BW92" s="128"/>
      <c r="BX92" s="128"/>
      <c r="BY92" s="128"/>
      <c r="BZ92" s="128"/>
      <c r="CA92" s="128"/>
      <c r="CB92" s="128"/>
      <c r="CC92" s="240"/>
    </row>
    <row r="93" spans="1:81" ht="15.95" customHeight="1">
      <c r="A93" s="286" t="s">
        <v>57</v>
      </c>
      <c r="B93" s="136"/>
      <c r="C93" s="126"/>
      <c r="D93" s="126"/>
      <c r="E93" s="128"/>
      <c r="F93" s="128"/>
      <c r="G93" s="128"/>
      <c r="H93" s="128"/>
      <c r="I93" s="128"/>
      <c r="J93" s="128"/>
      <c r="K93" s="240"/>
      <c r="L93" s="136"/>
      <c r="M93" s="126"/>
      <c r="N93" s="126"/>
      <c r="O93" s="128"/>
      <c r="P93" s="128"/>
      <c r="Q93" s="128"/>
      <c r="R93" s="128"/>
      <c r="S93" s="128"/>
      <c r="T93" s="128"/>
      <c r="U93" s="240"/>
      <c r="V93" s="136"/>
      <c r="W93" s="126"/>
      <c r="X93" s="126"/>
      <c r="Y93" s="128"/>
      <c r="Z93" s="128"/>
      <c r="AA93" s="128"/>
      <c r="AB93" s="128"/>
      <c r="AC93" s="128"/>
      <c r="AD93" s="128"/>
      <c r="AE93" s="240"/>
      <c r="AF93" s="136"/>
      <c r="AG93" s="126"/>
      <c r="AH93" s="126"/>
      <c r="AI93" s="128"/>
      <c r="AJ93" s="128"/>
      <c r="AK93" s="128"/>
      <c r="AL93" s="128"/>
      <c r="AM93" s="128"/>
      <c r="AN93" s="128"/>
      <c r="AO93" s="240"/>
      <c r="AP93" s="136"/>
      <c r="AQ93" s="126"/>
      <c r="AR93" s="126"/>
      <c r="AS93" s="128"/>
      <c r="AT93" s="128"/>
      <c r="AU93" s="128"/>
      <c r="AV93" s="128"/>
      <c r="AW93" s="128"/>
      <c r="AX93" s="128"/>
      <c r="AY93" s="240"/>
      <c r="AZ93" s="136"/>
      <c r="BA93" s="126"/>
      <c r="BB93" s="126"/>
      <c r="BC93" s="128"/>
      <c r="BD93" s="128"/>
      <c r="BE93" s="128"/>
      <c r="BF93" s="128"/>
      <c r="BG93" s="128"/>
      <c r="BH93" s="128"/>
      <c r="BI93" s="240"/>
      <c r="BJ93" s="136"/>
      <c r="BK93" s="126"/>
      <c r="BL93" s="126"/>
      <c r="BM93" s="128"/>
      <c r="BN93" s="128"/>
      <c r="BO93" s="128"/>
      <c r="BP93" s="128"/>
      <c r="BQ93" s="128"/>
      <c r="BR93" s="128"/>
      <c r="BS93" s="240"/>
      <c r="BT93" s="136"/>
      <c r="BU93" s="126"/>
      <c r="BV93" s="126"/>
      <c r="BW93" s="128"/>
      <c r="BX93" s="128"/>
      <c r="BY93" s="128"/>
      <c r="BZ93" s="128"/>
      <c r="CA93" s="128"/>
      <c r="CB93" s="128"/>
      <c r="CC93" s="240"/>
    </row>
    <row r="94" spans="1:81" s="77" customFormat="1" ht="15.75" customHeight="1">
      <c r="A94" s="287" t="s">
        <v>193</v>
      </c>
      <c r="B94" s="137">
        <v>411</v>
      </c>
      <c r="C94" s="131">
        <f t="shared" ref="C94:C102" si="102">SUM(E94:I94)</f>
        <v>850032</v>
      </c>
      <c r="D94" s="131">
        <f t="shared" ref="D94:D102" si="103">IFERROR(C94/B94,0)</f>
        <v>2068.2043795620439</v>
      </c>
      <c r="E94" s="133"/>
      <c r="F94" s="133">
        <v>850032</v>
      </c>
      <c r="G94" s="133"/>
      <c r="H94" s="133"/>
      <c r="I94" s="133"/>
      <c r="J94" s="133">
        <v>569521</v>
      </c>
      <c r="K94" s="235">
        <f t="shared" ref="K94:K102" si="104">IF(J94=0,0,(IF(E94&lt;=J94,E94,J94)))</f>
        <v>0</v>
      </c>
      <c r="L94" s="137">
        <v>385</v>
      </c>
      <c r="M94" s="131">
        <f t="shared" ref="M94:M102" si="105">SUM(O94:S94)</f>
        <v>947778</v>
      </c>
      <c r="N94" s="131">
        <f t="shared" ref="N94:N102" si="106">IFERROR(M94/L94,0)</f>
        <v>2461.761038961039</v>
      </c>
      <c r="O94" s="133"/>
      <c r="P94" s="133">
        <v>947778</v>
      </c>
      <c r="Q94" s="133"/>
      <c r="R94" s="133"/>
      <c r="S94" s="133"/>
      <c r="T94" s="133">
        <v>635011</v>
      </c>
      <c r="U94" s="235">
        <f t="shared" ref="U94:U102" si="107">IF(T94=0,0,(IF(O94&lt;=T94,O94,T94)))</f>
        <v>0</v>
      </c>
      <c r="V94" s="137">
        <v>370</v>
      </c>
      <c r="W94" s="131">
        <f>SUM(Y94:AC94)</f>
        <v>954027</v>
      </c>
      <c r="X94" s="131">
        <f>IFERROR(W94/V94,0)</f>
        <v>2578.4513513513511</v>
      </c>
      <c r="Y94" s="133"/>
      <c r="Z94" s="133">
        <v>954027</v>
      </c>
      <c r="AA94" s="133"/>
      <c r="AB94" s="133"/>
      <c r="AC94" s="133"/>
      <c r="AD94" s="133">
        <v>639198</v>
      </c>
      <c r="AE94" s="235">
        <f t="shared" ref="AE94:AE102" si="108">IF(AD94=0,0,(IF(Y94&lt;=AD94,Y94,AD94)))</f>
        <v>0</v>
      </c>
      <c r="AF94" s="137">
        <v>379</v>
      </c>
      <c r="AG94" s="131">
        <f>SUM(AI94:AM94)</f>
        <v>840705</v>
      </c>
      <c r="AH94" s="131">
        <f>IFERROR(AG94/AF94,0)</f>
        <v>2218.2189973614777</v>
      </c>
      <c r="AI94" s="133"/>
      <c r="AJ94" s="133">
        <v>814796</v>
      </c>
      <c r="AK94" s="133"/>
      <c r="AL94" s="133">
        <v>25909</v>
      </c>
      <c r="AM94" s="133"/>
      <c r="AN94" s="133">
        <v>304713</v>
      </c>
      <c r="AO94" s="235">
        <f t="shared" ref="AO94:AO102" si="109">IF(AN94=0,0,(IF(AI94&lt;=AN94,AI94,AN94)))</f>
        <v>0</v>
      </c>
      <c r="AP94" s="137">
        <v>342</v>
      </c>
      <c r="AQ94" s="131">
        <f>SUM(AS94:AW94)</f>
        <v>900320.96</v>
      </c>
      <c r="AR94" s="131">
        <f>IFERROR(AQ94/AP94,0)</f>
        <v>2632.5174269005847</v>
      </c>
      <c r="AS94" s="133"/>
      <c r="AT94" s="133">
        <v>871285.37</v>
      </c>
      <c r="AU94" s="133"/>
      <c r="AV94" s="133">
        <v>29035.59</v>
      </c>
      <c r="AW94" s="133"/>
      <c r="AX94" s="133">
        <v>311864.73</v>
      </c>
      <c r="AY94" s="235">
        <f t="shared" ref="AY94:AY102" si="110">IF(AX94=0,0,(IF(AS94&lt;=AX94,AS94,AX94)))</f>
        <v>0</v>
      </c>
      <c r="AZ94" s="137">
        <v>325</v>
      </c>
      <c r="BA94" s="131">
        <f>SUM(BC94:BG94)</f>
        <v>788384</v>
      </c>
      <c r="BB94" s="131">
        <f>IFERROR(BA94/AZ94,0)</f>
        <v>2425.7969230769231</v>
      </c>
      <c r="BC94" s="133"/>
      <c r="BD94" s="133">
        <v>758156</v>
      </c>
      <c r="BE94" s="133"/>
      <c r="BF94" s="133">
        <v>30228</v>
      </c>
      <c r="BG94" s="133"/>
      <c r="BH94" s="133">
        <v>355137</v>
      </c>
      <c r="BI94" s="235">
        <f t="shared" ref="BI94:BI102" si="111">IF(BH94=0,0,(IF(BC94&lt;=BH94,BC94,BH94)))</f>
        <v>0</v>
      </c>
      <c r="BJ94" s="137">
        <v>395</v>
      </c>
      <c r="BK94" s="131">
        <f t="shared" ref="BK94:BK102" si="112">SUM(BM94:BQ94)</f>
        <v>884294</v>
      </c>
      <c r="BL94" s="131">
        <f t="shared" ref="BL94:BL102" si="113">IFERROR(BK94/BJ94,0)</f>
        <v>2238.7189873417719</v>
      </c>
      <c r="BM94" s="133"/>
      <c r="BN94" s="133">
        <v>854486</v>
      </c>
      <c r="BO94" s="133"/>
      <c r="BP94" s="133">
        <v>29808</v>
      </c>
      <c r="BQ94" s="133"/>
      <c r="BR94" s="133">
        <v>420469</v>
      </c>
      <c r="BS94" s="235">
        <f t="shared" ref="BS94:BS102" si="114">IF(BR94=0,0,(IF(BM94&lt;=BR94,BM94,BR94)))</f>
        <v>0</v>
      </c>
      <c r="BT94" s="324">
        <v>445</v>
      </c>
      <c r="BU94" s="131">
        <f t="shared" ref="BU94:BU102" si="115">SUM(BW94:CA94)</f>
        <v>1031052.24</v>
      </c>
      <c r="BV94" s="131">
        <f t="shared" ref="BV94:BV102" si="116">IFERROR(BU94/BT94,0)</f>
        <v>2316.9713258426964</v>
      </c>
      <c r="BW94" s="325"/>
      <c r="BX94" s="325">
        <v>1001971.55</v>
      </c>
      <c r="BY94" s="325"/>
      <c r="BZ94" s="325">
        <v>29080.69</v>
      </c>
      <c r="CA94" s="325"/>
      <c r="CB94" s="325">
        <v>475037.3</v>
      </c>
      <c r="CC94" s="357">
        <f t="shared" ref="CC94:CC102" si="117">IF(CB94=0,0,(IF(BW94&lt;=CB94,BW94,CB94)))</f>
        <v>0</v>
      </c>
    </row>
    <row r="95" spans="1:81" s="77" customFormat="1" ht="15.95" customHeight="1">
      <c r="A95" s="287" t="s">
        <v>94</v>
      </c>
      <c r="B95" s="137">
        <v>23</v>
      </c>
      <c r="C95" s="131">
        <f t="shared" si="102"/>
        <v>48869</v>
      </c>
      <c r="D95" s="131">
        <f t="shared" si="103"/>
        <v>2124.7391304347825</v>
      </c>
      <c r="E95" s="133"/>
      <c r="F95" s="133"/>
      <c r="G95" s="133">
        <v>13009</v>
      </c>
      <c r="H95" s="133"/>
      <c r="I95" s="133">
        <v>35860</v>
      </c>
      <c r="J95" s="133">
        <v>13009</v>
      </c>
      <c r="K95" s="235">
        <f t="shared" si="104"/>
        <v>0</v>
      </c>
      <c r="L95" s="137">
        <v>13</v>
      </c>
      <c r="M95" s="131">
        <f t="shared" si="105"/>
        <v>90990</v>
      </c>
      <c r="N95" s="131">
        <f t="shared" si="106"/>
        <v>6999.2307692307695</v>
      </c>
      <c r="O95" s="133"/>
      <c r="P95" s="133"/>
      <c r="Q95" s="133">
        <v>32172</v>
      </c>
      <c r="R95" s="133"/>
      <c r="S95" s="133">
        <v>58818</v>
      </c>
      <c r="T95" s="133">
        <v>32172</v>
      </c>
      <c r="U95" s="235">
        <f t="shared" si="107"/>
        <v>0</v>
      </c>
      <c r="V95" s="137">
        <v>17</v>
      </c>
      <c r="W95" s="131">
        <f t="shared" ref="W95:W102" si="118">SUM(Y95:AC95)</f>
        <v>47047</v>
      </c>
      <c r="X95" s="131">
        <f t="shared" ref="X95:X102" si="119">IFERROR(W95/V95,0)</f>
        <v>2767.4705882352941</v>
      </c>
      <c r="Y95" s="133"/>
      <c r="Z95" s="133"/>
      <c r="AA95" s="133">
        <v>18454</v>
      </c>
      <c r="AC95" s="133">
        <v>28593</v>
      </c>
      <c r="AD95" s="133">
        <v>18454</v>
      </c>
      <c r="AE95" s="235">
        <f t="shared" si="108"/>
        <v>0</v>
      </c>
      <c r="AF95" s="137">
        <v>39</v>
      </c>
      <c r="AG95" s="131">
        <f t="shared" ref="AG95:AG102" si="120">SUM(AI95:AM95)</f>
        <v>243106</v>
      </c>
      <c r="AH95" s="131">
        <f t="shared" ref="AH95:AH102" si="121">IFERROR(AG95/AF95,0)</f>
        <v>6233.4871794871797</v>
      </c>
      <c r="AI95" s="133"/>
      <c r="AJ95" s="133"/>
      <c r="AK95" s="133">
        <v>16258</v>
      </c>
      <c r="AM95" s="133">
        <v>226848</v>
      </c>
      <c r="AN95" s="133">
        <v>138974</v>
      </c>
      <c r="AO95" s="235">
        <f t="shared" si="109"/>
        <v>0</v>
      </c>
      <c r="AP95" s="137">
        <v>44</v>
      </c>
      <c r="AQ95" s="131">
        <f t="shared" ref="AQ95:AQ102" si="122">SUM(AS95:AW95)</f>
        <v>203444.37</v>
      </c>
      <c r="AR95" s="131">
        <f t="shared" ref="AR95:AR102" si="123">IFERROR(AQ95/AP95,0)</f>
        <v>4623.7356818181815</v>
      </c>
      <c r="AS95" s="133"/>
      <c r="AT95" s="133"/>
      <c r="AU95" s="133">
        <v>20902.939999999999</v>
      </c>
      <c r="AW95" s="133">
        <v>182541.43</v>
      </c>
      <c r="AX95" s="133">
        <v>102243.08</v>
      </c>
      <c r="AY95" s="235">
        <f t="shared" si="110"/>
        <v>0</v>
      </c>
      <c r="AZ95" s="137">
        <v>34</v>
      </c>
      <c r="BA95" s="131">
        <f t="shared" ref="BA95:BA102" si="124">SUM(BC95:BG95)</f>
        <v>187464</v>
      </c>
      <c r="BB95" s="131">
        <f t="shared" ref="BB95:BB102" si="125">IFERROR(BA95/AZ95,0)</f>
        <v>5513.6470588235297</v>
      </c>
      <c r="BC95" s="133"/>
      <c r="BD95" s="133"/>
      <c r="BE95" s="133">
        <v>27050</v>
      </c>
      <c r="BF95" s="77">
        <v>160414</v>
      </c>
      <c r="BG95" s="133"/>
      <c r="BH95" s="133">
        <v>88932</v>
      </c>
      <c r="BI95" s="235">
        <f t="shared" si="111"/>
        <v>0</v>
      </c>
      <c r="BJ95" s="137">
        <v>35</v>
      </c>
      <c r="BK95" s="131">
        <f t="shared" si="112"/>
        <v>190918</v>
      </c>
      <c r="BL95" s="131">
        <f t="shared" si="113"/>
        <v>5454.8</v>
      </c>
      <c r="BM95" s="133"/>
      <c r="BN95" s="133"/>
      <c r="BO95" s="133">
        <v>25016</v>
      </c>
      <c r="BP95" s="133">
        <v>165902</v>
      </c>
      <c r="BQ95" s="133"/>
      <c r="BR95" s="133">
        <v>72786</v>
      </c>
      <c r="BS95" s="235">
        <f t="shared" si="114"/>
        <v>0</v>
      </c>
      <c r="BT95" s="324">
        <v>31</v>
      </c>
      <c r="BU95" s="131">
        <f t="shared" si="115"/>
        <v>181070.91</v>
      </c>
      <c r="BV95" s="131">
        <f t="shared" si="116"/>
        <v>5840.9970967741938</v>
      </c>
      <c r="BW95" s="325"/>
      <c r="BX95" s="325"/>
      <c r="BY95" s="325">
        <v>56600.3</v>
      </c>
      <c r="BZ95" s="325">
        <v>124470.61</v>
      </c>
      <c r="CA95" s="325"/>
      <c r="CB95" s="325">
        <v>66475.83</v>
      </c>
      <c r="CC95" s="357">
        <f t="shared" si="117"/>
        <v>0</v>
      </c>
    </row>
    <row r="96" spans="1:81" s="77" customFormat="1" ht="15.95" customHeight="1">
      <c r="A96" s="287" t="s">
        <v>95</v>
      </c>
      <c r="B96" s="137">
        <v>187</v>
      </c>
      <c r="C96" s="131">
        <f t="shared" si="102"/>
        <v>339340</v>
      </c>
      <c r="D96" s="131">
        <f t="shared" si="103"/>
        <v>1814.6524064171124</v>
      </c>
      <c r="E96" s="133"/>
      <c r="F96" s="133">
        <v>73703</v>
      </c>
      <c r="G96" s="133"/>
      <c r="H96" s="133">
        <v>265637</v>
      </c>
      <c r="I96" s="133"/>
      <c r="J96" s="133">
        <v>213284</v>
      </c>
      <c r="K96" s="235">
        <f t="shared" si="104"/>
        <v>0</v>
      </c>
      <c r="L96" s="137">
        <v>149</v>
      </c>
      <c r="M96" s="131">
        <f t="shared" si="105"/>
        <v>325645</v>
      </c>
      <c r="N96" s="131">
        <f t="shared" si="106"/>
        <v>2185.5369127516778</v>
      </c>
      <c r="O96" s="133"/>
      <c r="P96" s="133">
        <v>73229</v>
      </c>
      <c r="Q96" s="133"/>
      <c r="R96" s="133">
        <v>252416</v>
      </c>
      <c r="S96" s="133"/>
      <c r="T96" s="133">
        <v>195088</v>
      </c>
      <c r="U96" s="235">
        <f t="shared" si="107"/>
        <v>0</v>
      </c>
      <c r="V96" s="137">
        <v>120</v>
      </c>
      <c r="W96" s="131">
        <f t="shared" si="118"/>
        <v>274751</v>
      </c>
      <c r="X96" s="131">
        <f t="shared" si="119"/>
        <v>2289.5916666666667</v>
      </c>
      <c r="Y96" s="133"/>
      <c r="Z96" s="133">
        <v>61764</v>
      </c>
      <c r="AB96" s="133">
        <v>212987</v>
      </c>
      <c r="AC96" s="133"/>
      <c r="AD96" s="133">
        <v>166698</v>
      </c>
      <c r="AE96" s="235">
        <f t="shared" si="108"/>
        <v>0</v>
      </c>
      <c r="AF96" s="137">
        <v>142</v>
      </c>
      <c r="AG96" s="131">
        <f t="shared" si="120"/>
        <v>338858</v>
      </c>
      <c r="AH96" s="131">
        <f t="shared" si="121"/>
        <v>2386.323943661972</v>
      </c>
      <c r="AI96" s="133"/>
      <c r="AJ96" s="133">
        <v>74622</v>
      </c>
      <c r="AL96" s="133">
        <v>264236</v>
      </c>
      <c r="AM96" s="133"/>
      <c r="AN96" s="133">
        <v>220413</v>
      </c>
      <c r="AO96" s="235">
        <f t="shared" si="109"/>
        <v>0</v>
      </c>
      <c r="AP96" s="137">
        <v>113</v>
      </c>
      <c r="AQ96" s="131">
        <f t="shared" si="122"/>
        <v>231690.75</v>
      </c>
      <c r="AR96" s="131">
        <f t="shared" si="123"/>
        <v>2050.3606194690265</v>
      </c>
      <c r="AS96" s="133"/>
      <c r="AT96" s="133">
        <v>51798.54</v>
      </c>
      <c r="AV96" s="133">
        <v>179892.21</v>
      </c>
      <c r="AW96" s="133"/>
      <c r="AX96" s="133">
        <v>164699.87</v>
      </c>
      <c r="AY96" s="235">
        <f t="shared" si="110"/>
        <v>0</v>
      </c>
      <c r="AZ96" s="137">
        <v>128</v>
      </c>
      <c r="BA96" s="131">
        <f t="shared" si="124"/>
        <v>260367</v>
      </c>
      <c r="BB96" s="131">
        <f t="shared" si="125"/>
        <v>2034.1171875</v>
      </c>
      <c r="BC96" s="133"/>
      <c r="BD96" s="133">
        <v>52712</v>
      </c>
      <c r="BF96" s="133">
        <v>207655</v>
      </c>
      <c r="BG96" s="133"/>
      <c r="BH96" s="133">
        <v>166881</v>
      </c>
      <c r="BI96" s="235">
        <f t="shared" si="111"/>
        <v>0</v>
      </c>
      <c r="BJ96" s="137">
        <v>125</v>
      </c>
      <c r="BK96" s="131">
        <f t="shared" si="112"/>
        <v>290612</v>
      </c>
      <c r="BL96" s="131">
        <f t="shared" si="113"/>
        <v>2324.8960000000002</v>
      </c>
      <c r="BM96" s="133"/>
      <c r="BN96" s="133">
        <v>18255</v>
      </c>
      <c r="BO96" s="133"/>
      <c r="BP96" s="133">
        <v>272357</v>
      </c>
      <c r="BQ96" s="133"/>
      <c r="BR96" s="133">
        <v>186020</v>
      </c>
      <c r="BS96" s="235">
        <f t="shared" si="114"/>
        <v>0</v>
      </c>
      <c r="BT96" s="324">
        <v>112</v>
      </c>
      <c r="BU96" s="131">
        <f t="shared" si="115"/>
        <v>194489.27000000002</v>
      </c>
      <c r="BV96" s="131">
        <f t="shared" si="116"/>
        <v>1736.5113392857145</v>
      </c>
      <c r="BW96" s="325"/>
      <c r="BX96" s="325">
        <v>42525.45</v>
      </c>
      <c r="BY96" s="325"/>
      <c r="BZ96" s="325">
        <v>151963.82</v>
      </c>
      <c r="CA96" s="325"/>
      <c r="CB96" s="325">
        <v>97502.19</v>
      </c>
      <c r="CC96" s="357">
        <f t="shared" si="117"/>
        <v>0</v>
      </c>
    </row>
    <row r="97" spans="1:81" s="77" customFormat="1" ht="15.95" customHeight="1">
      <c r="A97" s="326"/>
      <c r="B97" s="137"/>
      <c r="C97" s="131">
        <f t="shared" si="102"/>
        <v>0</v>
      </c>
      <c r="D97" s="131">
        <f t="shared" si="103"/>
        <v>0</v>
      </c>
      <c r="E97" s="133"/>
      <c r="F97" s="133"/>
      <c r="G97" s="133"/>
      <c r="H97" s="133"/>
      <c r="I97" s="133"/>
      <c r="J97" s="133"/>
      <c r="K97" s="235">
        <f t="shared" si="104"/>
        <v>0</v>
      </c>
      <c r="L97" s="137"/>
      <c r="M97" s="131">
        <f t="shared" si="105"/>
        <v>0</v>
      </c>
      <c r="N97" s="131">
        <f t="shared" si="106"/>
        <v>0</v>
      </c>
      <c r="O97" s="133"/>
      <c r="P97" s="133"/>
      <c r="Q97" s="133"/>
      <c r="R97" s="133"/>
      <c r="S97" s="133"/>
      <c r="T97" s="133"/>
      <c r="U97" s="235">
        <f t="shared" si="107"/>
        <v>0</v>
      </c>
      <c r="V97" s="137"/>
      <c r="W97" s="131">
        <f t="shared" si="118"/>
        <v>0</v>
      </c>
      <c r="X97" s="131">
        <f t="shared" si="119"/>
        <v>0</v>
      </c>
      <c r="Y97" s="133"/>
      <c r="Z97" s="133"/>
      <c r="AA97" s="133"/>
      <c r="AB97" s="133"/>
      <c r="AC97" s="133"/>
      <c r="AD97" s="133"/>
      <c r="AE97" s="235">
        <f t="shared" si="108"/>
        <v>0</v>
      </c>
      <c r="AF97" s="137"/>
      <c r="AG97" s="131">
        <f t="shared" si="120"/>
        <v>0</v>
      </c>
      <c r="AH97" s="131">
        <f t="shared" si="121"/>
        <v>0</v>
      </c>
      <c r="AI97" s="133"/>
      <c r="AJ97" s="133"/>
      <c r="AK97" s="133"/>
      <c r="AL97" s="133"/>
      <c r="AM97" s="133"/>
      <c r="AN97" s="133"/>
      <c r="AO97" s="235">
        <f t="shared" si="109"/>
        <v>0</v>
      </c>
      <c r="AP97" s="137"/>
      <c r="AQ97" s="131">
        <f t="shared" si="122"/>
        <v>0</v>
      </c>
      <c r="AR97" s="131">
        <f t="shared" si="123"/>
        <v>0</v>
      </c>
      <c r="AS97" s="133"/>
      <c r="AT97" s="133"/>
      <c r="AU97" s="133"/>
      <c r="AV97" s="133"/>
      <c r="AW97" s="133"/>
      <c r="AX97" s="133"/>
      <c r="AY97" s="235">
        <f t="shared" si="110"/>
        <v>0</v>
      </c>
      <c r="AZ97" s="137"/>
      <c r="BA97" s="131">
        <f t="shared" si="124"/>
        <v>0</v>
      </c>
      <c r="BB97" s="131">
        <f t="shared" si="125"/>
        <v>0</v>
      </c>
      <c r="BC97" s="133"/>
      <c r="BD97" s="133"/>
      <c r="BE97" s="133"/>
      <c r="BF97" s="133"/>
      <c r="BG97" s="133"/>
      <c r="BH97" s="133"/>
      <c r="BI97" s="235">
        <f t="shared" si="111"/>
        <v>0</v>
      </c>
      <c r="BJ97" s="137"/>
      <c r="BK97" s="131">
        <f t="shared" si="112"/>
        <v>0</v>
      </c>
      <c r="BL97" s="131">
        <f t="shared" si="113"/>
        <v>0</v>
      </c>
      <c r="BM97" s="133"/>
      <c r="BN97" s="133"/>
      <c r="BO97" s="133"/>
      <c r="BP97" s="133"/>
      <c r="BQ97" s="133"/>
      <c r="BR97" s="133"/>
      <c r="BS97" s="235">
        <f t="shared" si="114"/>
        <v>0</v>
      </c>
      <c r="BT97" s="324"/>
      <c r="BU97" s="131">
        <f t="shared" si="115"/>
        <v>0</v>
      </c>
      <c r="BV97" s="131">
        <f t="shared" si="116"/>
        <v>0</v>
      </c>
      <c r="BW97" s="325"/>
      <c r="BX97" s="325"/>
      <c r="BY97" s="325"/>
      <c r="BZ97" s="325"/>
      <c r="CA97" s="325"/>
      <c r="CB97" s="325"/>
      <c r="CC97" s="357">
        <f t="shared" si="117"/>
        <v>0</v>
      </c>
    </row>
    <row r="98" spans="1:81" s="77" customFormat="1" ht="15.95" customHeight="1">
      <c r="A98" s="326"/>
      <c r="B98" s="137"/>
      <c r="C98" s="131">
        <f t="shared" si="102"/>
        <v>0</v>
      </c>
      <c r="D98" s="131">
        <f t="shared" si="103"/>
        <v>0</v>
      </c>
      <c r="E98" s="133"/>
      <c r="F98" s="133"/>
      <c r="G98" s="133"/>
      <c r="H98" s="133"/>
      <c r="I98" s="133"/>
      <c r="J98" s="133"/>
      <c r="K98" s="235">
        <f t="shared" si="104"/>
        <v>0</v>
      </c>
      <c r="L98" s="137"/>
      <c r="M98" s="131">
        <f t="shared" si="105"/>
        <v>0</v>
      </c>
      <c r="N98" s="131">
        <f t="shared" si="106"/>
        <v>0</v>
      </c>
      <c r="O98" s="133"/>
      <c r="P98" s="133"/>
      <c r="Q98" s="133"/>
      <c r="R98" s="133"/>
      <c r="S98" s="133"/>
      <c r="T98" s="133"/>
      <c r="U98" s="235">
        <f t="shared" si="107"/>
        <v>0</v>
      </c>
      <c r="V98" s="137"/>
      <c r="W98" s="131">
        <f t="shared" si="118"/>
        <v>0</v>
      </c>
      <c r="X98" s="131">
        <f t="shared" si="119"/>
        <v>0</v>
      </c>
      <c r="Y98" s="133"/>
      <c r="Z98" s="133"/>
      <c r="AA98" s="133"/>
      <c r="AB98" s="133"/>
      <c r="AC98" s="133"/>
      <c r="AD98" s="133"/>
      <c r="AE98" s="235">
        <f t="shared" si="108"/>
        <v>0</v>
      </c>
      <c r="AF98" s="137"/>
      <c r="AG98" s="131">
        <f t="shared" si="120"/>
        <v>0</v>
      </c>
      <c r="AH98" s="131">
        <f t="shared" si="121"/>
        <v>0</v>
      </c>
      <c r="AI98" s="133"/>
      <c r="AJ98" s="133"/>
      <c r="AK98" s="133"/>
      <c r="AL98" s="133"/>
      <c r="AM98" s="133"/>
      <c r="AN98" s="133"/>
      <c r="AO98" s="235">
        <f t="shared" si="109"/>
        <v>0</v>
      </c>
      <c r="AP98" s="137"/>
      <c r="AQ98" s="131">
        <f t="shared" si="122"/>
        <v>0</v>
      </c>
      <c r="AR98" s="131">
        <f t="shared" si="123"/>
        <v>0</v>
      </c>
      <c r="AS98" s="133"/>
      <c r="AT98" s="133"/>
      <c r="AU98" s="133"/>
      <c r="AV98" s="133"/>
      <c r="AW98" s="133"/>
      <c r="AX98" s="133"/>
      <c r="AY98" s="235">
        <f t="shared" si="110"/>
        <v>0</v>
      </c>
      <c r="AZ98" s="137"/>
      <c r="BA98" s="131">
        <f t="shared" si="124"/>
        <v>0</v>
      </c>
      <c r="BB98" s="131">
        <f t="shared" si="125"/>
        <v>0</v>
      </c>
      <c r="BC98" s="133"/>
      <c r="BD98" s="133"/>
      <c r="BE98" s="133"/>
      <c r="BF98" s="133"/>
      <c r="BG98" s="133"/>
      <c r="BH98" s="133"/>
      <c r="BI98" s="235">
        <f t="shared" si="111"/>
        <v>0</v>
      </c>
      <c r="BJ98" s="137"/>
      <c r="BK98" s="131">
        <f t="shared" si="112"/>
        <v>0</v>
      </c>
      <c r="BL98" s="131">
        <f t="shared" si="113"/>
        <v>0</v>
      </c>
      <c r="BM98" s="133"/>
      <c r="BN98" s="133"/>
      <c r="BO98" s="133"/>
      <c r="BP98" s="133"/>
      <c r="BQ98" s="133"/>
      <c r="BR98" s="133"/>
      <c r="BS98" s="235">
        <f t="shared" si="114"/>
        <v>0</v>
      </c>
      <c r="BT98" s="324"/>
      <c r="BU98" s="131">
        <f t="shared" si="115"/>
        <v>0</v>
      </c>
      <c r="BV98" s="131">
        <f t="shared" si="116"/>
        <v>0</v>
      </c>
      <c r="BW98" s="325"/>
      <c r="BX98" s="325"/>
      <c r="BY98" s="325"/>
      <c r="BZ98" s="325"/>
      <c r="CA98" s="325"/>
      <c r="CB98" s="325"/>
      <c r="CC98" s="357">
        <f t="shared" si="117"/>
        <v>0</v>
      </c>
    </row>
    <row r="99" spans="1:81" s="77" customFormat="1" ht="15.95" customHeight="1">
      <c r="A99" s="326"/>
      <c r="B99" s="137"/>
      <c r="C99" s="131">
        <f t="shared" si="102"/>
        <v>0</v>
      </c>
      <c r="D99" s="131">
        <f t="shared" si="103"/>
        <v>0</v>
      </c>
      <c r="E99" s="133"/>
      <c r="F99" s="133"/>
      <c r="G99" s="133"/>
      <c r="H99" s="133"/>
      <c r="I99" s="133"/>
      <c r="J99" s="133"/>
      <c r="K99" s="235">
        <f t="shared" si="104"/>
        <v>0</v>
      </c>
      <c r="L99" s="137"/>
      <c r="M99" s="131">
        <f t="shared" si="105"/>
        <v>0</v>
      </c>
      <c r="N99" s="131">
        <f t="shared" si="106"/>
        <v>0</v>
      </c>
      <c r="O99" s="133"/>
      <c r="P99" s="133"/>
      <c r="Q99" s="133"/>
      <c r="R99" s="133"/>
      <c r="S99" s="133"/>
      <c r="T99" s="133"/>
      <c r="U99" s="235">
        <f t="shared" si="107"/>
        <v>0</v>
      </c>
      <c r="V99" s="137"/>
      <c r="W99" s="131">
        <f t="shared" si="118"/>
        <v>0</v>
      </c>
      <c r="X99" s="131">
        <f t="shared" si="119"/>
        <v>0</v>
      </c>
      <c r="Y99" s="133"/>
      <c r="Z99" s="133"/>
      <c r="AA99" s="133"/>
      <c r="AB99" s="133"/>
      <c r="AC99" s="133"/>
      <c r="AD99" s="133"/>
      <c r="AE99" s="235">
        <f t="shared" si="108"/>
        <v>0</v>
      </c>
      <c r="AF99" s="137"/>
      <c r="AG99" s="131">
        <f t="shared" si="120"/>
        <v>0</v>
      </c>
      <c r="AH99" s="131">
        <f t="shared" si="121"/>
        <v>0</v>
      </c>
      <c r="AI99" s="133"/>
      <c r="AJ99" s="133"/>
      <c r="AK99" s="133"/>
      <c r="AL99" s="133"/>
      <c r="AM99" s="133"/>
      <c r="AN99" s="133"/>
      <c r="AO99" s="235">
        <f t="shared" si="109"/>
        <v>0</v>
      </c>
      <c r="AP99" s="137"/>
      <c r="AQ99" s="131">
        <f t="shared" si="122"/>
        <v>0</v>
      </c>
      <c r="AR99" s="131">
        <f t="shared" si="123"/>
        <v>0</v>
      </c>
      <c r="AS99" s="133"/>
      <c r="AT99" s="133"/>
      <c r="AU99" s="133"/>
      <c r="AV99" s="133"/>
      <c r="AW99" s="133"/>
      <c r="AX99" s="133"/>
      <c r="AY99" s="235">
        <f t="shared" si="110"/>
        <v>0</v>
      </c>
      <c r="AZ99" s="137"/>
      <c r="BA99" s="131">
        <f t="shared" si="124"/>
        <v>0</v>
      </c>
      <c r="BB99" s="131">
        <f t="shared" si="125"/>
        <v>0</v>
      </c>
      <c r="BC99" s="133"/>
      <c r="BD99" s="133"/>
      <c r="BE99" s="133"/>
      <c r="BF99" s="133"/>
      <c r="BG99" s="133"/>
      <c r="BH99" s="133"/>
      <c r="BI99" s="235">
        <f t="shared" si="111"/>
        <v>0</v>
      </c>
      <c r="BJ99" s="137"/>
      <c r="BK99" s="131">
        <f t="shared" si="112"/>
        <v>0</v>
      </c>
      <c r="BL99" s="131">
        <f t="shared" si="113"/>
        <v>0</v>
      </c>
      <c r="BM99" s="133"/>
      <c r="BN99" s="133"/>
      <c r="BO99" s="133"/>
      <c r="BP99" s="133"/>
      <c r="BQ99" s="133"/>
      <c r="BR99" s="133"/>
      <c r="BS99" s="235">
        <f t="shared" si="114"/>
        <v>0</v>
      </c>
      <c r="BT99" s="324"/>
      <c r="BU99" s="131">
        <f t="shared" si="115"/>
        <v>0</v>
      </c>
      <c r="BV99" s="131">
        <f t="shared" si="116"/>
        <v>0</v>
      </c>
      <c r="BW99" s="325"/>
      <c r="BX99" s="325"/>
      <c r="BY99" s="325"/>
      <c r="BZ99" s="325"/>
      <c r="CA99" s="325"/>
      <c r="CB99" s="325"/>
      <c r="CC99" s="357">
        <f t="shared" si="117"/>
        <v>0</v>
      </c>
    </row>
    <row r="100" spans="1:81" s="77" customFormat="1" ht="15.95" customHeight="1">
      <c r="A100" s="326"/>
      <c r="B100" s="137"/>
      <c r="C100" s="131">
        <f t="shared" si="102"/>
        <v>0</v>
      </c>
      <c r="D100" s="131">
        <f t="shared" si="103"/>
        <v>0</v>
      </c>
      <c r="E100" s="133"/>
      <c r="F100" s="133"/>
      <c r="G100" s="133"/>
      <c r="H100" s="133"/>
      <c r="I100" s="133"/>
      <c r="J100" s="133"/>
      <c r="K100" s="235">
        <f t="shared" si="104"/>
        <v>0</v>
      </c>
      <c r="L100" s="137"/>
      <c r="M100" s="131">
        <f t="shared" si="105"/>
        <v>0</v>
      </c>
      <c r="N100" s="131">
        <f t="shared" si="106"/>
        <v>0</v>
      </c>
      <c r="O100" s="133"/>
      <c r="P100" s="133"/>
      <c r="Q100" s="133"/>
      <c r="R100" s="133"/>
      <c r="S100" s="133"/>
      <c r="T100" s="133"/>
      <c r="U100" s="235">
        <f t="shared" si="107"/>
        <v>0</v>
      </c>
      <c r="V100" s="137"/>
      <c r="W100" s="131">
        <f t="shared" si="118"/>
        <v>0</v>
      </c>
      <c r="X100" s="131">
        <f t="shared" si="119"/>
        <v>0</v>
      </c>
      <c r="Y100" s="133"/>
      <c r="Z100" s="133"/>
      <c r="AA100" s="133"/>
      <c r="AB100" s="133"/>
      <c r="AC100" s="133"/>
      <c r="AD100" s="133"/>
      <c r="AE100" s="235">
        <f t="shared" si="108"/>
        <v>0</v>
      </c>
      <c r="AF100" s="137"/>
      <c r="AG100" s="131">
        <f t="shared" si="120"/>
        <v>0</v>
      </c>
      <c r="AH100" s="131">
        <f t="shared" si="121"/>
        <v>0</v>
      </c>
      <c r="AI100" s="133"/>
      <c r="AJ100" s="133"/>
      <c r="AK100" s="133"/>
      <c r="AL100" s="133"/>
      <c r="AM100" s="133"/>
      <c r="AN100" s="133"/>
      <c r="AO100" s="235">
        <f t="shared" si="109"/>
        <v>0</v>
      </c>
      <c r="AP100" s="137"/>
      <c r="AQ100" s="131">
        <f t="shared" si="122"/>
        <v>0</v>
      </c>
      <c r="AR100" s="131">
        <f t="shared" si="123"/>
        <v>0</v>
      </c>
      <c r="AS100" s="133"/>
      <c r="AT100" s="133"/>
      <c r="AU100" s="133"/>
      <c r="AV100" s="133"/>
      <c r="AW100" s="133"/>
      <c r="AX100" s="133"/>
      <c r="AY100" s="235">
        <f t="shared" si="110"/>
        <v>0</v>
      </c>
      <c r="AZ100" s="137"/>
      <c r="BA100" s="131">
        <f t="shared" si="124"/>
        <v>0</v>
      </c>
      <c r="BB100" s="131">
        <f t="shared" si="125"/>
        <v>0</v>
      </c>
      <c r="BC100" s="133"/>
      <c r="BD100" s="133"/>
      <c r="BE100" s="133"/>
      <c r="BF100" s="133"/>
      <c r="BG100" s="133"/>
      <c r="BH100" s="133"/>
      <c r="BI100" s="235">
        <f t="shared" si="111"/>
        <v>0</v>
      </c>
      <c r="BJ100" s="137"/>
      <c r="BK100" s="131">
        <f t="shared" si="112"/>
        <v>0</v>
      </c>
      <c r="BL100" s="131">
        <f t="shared" si="113"/>
        <v>0</v>
      </c>
      <c r="BM100" s="133"/>
      <c r="BN100" s="133"/>
      <c r="BO100" s="133"/>
      <c r="BP100" s="133"/>
      <c r="BQ100" s="133"/>
      <c r="BR100" s="133"/>
      <c r="BS100" s="235">
        <f t="shared" si="114"/>
        <v>0</v>
      </c>
      <c r="BT100" s="324"/>
      <c r="BU100" s="131">
        <f t="shared" si="115"/>
        <v>0</v>
      </c>
      <c r="BV100" s="131">
        <f t="shared" si="116"/>
        <v>0</v>
      </c>
      <c r="BW100" s="325"/>
      <c r="BX100" s="325"/>
      <c r="BY100" s="325"/>
      <c r="BZ100" s="325"/>
      <c r="CA100" s="325"/>
      <c r="CB100" s="325"/>
      <c r="CC100" s="357">
        <f t="shared" si="117"/>
        <v>0</v>
      </c>
    </row>
    <row r="101" spans="1:81" s="77" customFormat="1" ht="15.95" customHeight="1">
      <c r="A101" s="326"/>
      <c r="B101" s="137"/>
      <c r="C101" s="131">
        <f t="shared" si="102"/>
        <v>0</v>
      </c>
      <c r="D101" s="131">
        <f t="shared" si="103"/>
        <v>0</v>
      </c>
      <c r="E101" s="133"/>
      <c r="F101" s="133"/>
      <c r="G101" s="133"/>
      <c r="H101" s="133"/>
      <c r="I101" s="133"/>
      <c r="J101" s="133"/>
      <c r="K101" s="235">
        <f t="shared" si="104"/>
        <v>0</v>
      </c>
      <c r="L101" s="137"/>
      <c r="M101" s="131">
        <f t="shared" si="105"/>
        <v>0</v>
      </c>
      <c r="N101" s="131">
        <f t="shared" si="106"/>
        <v>0</v>
      </c>
      <c r="O101" s="133"/>
      <c r="P101" s="133"/>
      <c r="Q101" s="133"/>
      <c r="R101" s="133"/>
      <c r="S101" s="133"/>
      <c r="T101" s="133"/>
      <c r="U101" s="235">
        <f t="shared" si="107"/>
        <v>0</v>
      </c>
      <c r="V101" s="137"/>
      <c r="W101" s="131">
        <f t="shared" si="118"/>
        <v>0</v>
      </c>
      <c r="X101" s="131">
        <f t="shared" si="119"/>
        <v>0</v>
      </c>
      <c r="Y101" s="133"/>
      <c r="Z101" s="133"/>
      <c r="AA101" s="133"/>
      <c r="AB101" s="133"/>
      <c r="AC101" s="133"/>
      <c r="AD101" s="133"/>
      <c r="AE101" s="235">
        <f t="shared" si="108"/>
        <v>0</v>
      </c>
      <c r="AF101" s="137"/>
      <c r="AG101" s="131">
        <f t="shared" si="120"/>
        <v>0</v>
      </c>
      <c r="AH101" s="131">
        <f t="shared" si="121"/>
        <v>0</v>
      </c>
      <c r="AI101" s="133"/>
      <c r="AJ101" s="133"/>
      <c r="AK101" s="133"/>
      <c r="AL101" s="133"/>
      <c r="AM101" s="133"/>
      <c r="AN101" s="133"/>
      <c r="AO101" s="235">
        <f t="shared" si="109"/>
        <v>0</v>
      </c>
      <c r="AP101" s="137"/>
      <c r="AQ101" s="131">
        <f t="shared" si="122"/>
        <v>0</v>
      </c>
      <c r="AR101" s="131">
        <f t="shared" si="123"/>
        <v>0</v>
      </c>
      <c r="AS101" s="133"/>
      <c r="AT101" s="133"/>
      <c r="AU101" s="133"/>
      <c r="AV101" s="133"/>
      <c r="AW101" s="133"/>
      <c r="AX101" s="133"/>
      <c r="AY101" s="235">
        <f t="shared" si="110"/>
        <v>0</v>
      </c>
      <c r="AZ101" s="137"/>
      <c r="BA101" s="131">
        <f t="shared" si="124"/>
        <v>0</v>
      </c>
      <c r="BB101" s="131">
        <f t="shared" si="125"/>
        <v>0</v>
      </c>
      <c r="BC101" s="133"/>
      <c r="BD101" s="133"/>
      <c r="BE101" s="133"/>
      <c r="BF101" s="133"/>
      <c r="BG101" s="133"/>
      <c r="BH101" s="133"/>
      <c r="BI101" s="235">
        <f t="shared" si="111"/>
        <v>0</v>
      </c>
      <c r="BJ101" s="137"/>
      <c r="BK101" s="131">
        <f t="shared" si="112"/>
        <v>0</v>
      </c>
      <c r="BL101" s="131">
        <f t="shared" si="113"/>
        <v>0</v>
      </c>
      <c r="BM101" s="133"/>
      <c r="BN101" s="133"/>
      <c r="BO101" s="133"/>
      <c r="BP101" s="133"/>
      <c r="BQ101" s="133"/>
      <c r="BR101" s="133"/>
      <c r="BS101" s="235">
        <f t="shared" si="114"/>
        <v>0</v>
      </c>
      <c r="BT101" s="324"/>
      <c r="BU101" s="131">
        <f t="shared" si="115"/>
        <v>0</v>
      </c>
      <c r="BV101" s="131">
        <f t="shared" si="116"/>
        <v>0</v>
      </c>
      <c r="BW101" s="325"/>
      <c r="BX101" s="325"/>
      <c r="BY101" s="325"/>
      <c r="BZ101" s="325"/>
      <c r="CA101" s="325"/>
      <c r="CB101" s="325"/>
      <c r="CC101" s="357">
        <f t="shared" si="117"/>
        <v>0</v>
      </c>
    </row>
    <row r="102" spans="1:81" s="77" customFormat="1" ht="15.95" customHeight="1">
      <c r="A102" s="326"/>
      <c r="B102" s="137"/>
      <c r="C102" s="131">
        <f t="shared" si="102"/>
        <v>0</v>
      </c>
      <c r="D102" s="131">
        <f t="shared" si="103"/>
        <v>0</v>
      </c>
      <c r="E102" s="133"/>
      <c r="F102" s="133"/>
      <c r="G102" s="133"/>
      <c r="H102" s="133"/>
      <c r="I102" s="133"/>
      <c r="J102" s="133"/>
      <c r="K102" s="235">
        <f t="shared" si="104"/>
        <v>0</v>
      </c>
      <c r="L102" s="137"/>
      <c r="M102" s="131">
        <f t="shared" si="105"/>
        <v>0</v>
      </c>
      <c r="N102" s="131">
        <f t="shared" si="106"/>
        <v>0</v>
      </c>
      <c r="O102" s="133"/>
      <c r="P102" s="133"/>
      <c r="Q102" s="133"/>
      <c r="R102" s="133"/>
      <c r="S102" s="133"/>
      <c r="T102" s="133"/>
      <c r="U102" s="235">
        <f t="shared" si="107"/>
        <v>0</v>
      </c>
      <c r="V102" s="137"/>
      <c r="W102" s="131">
        <f t="shared" si="118"/>
        <v>0</v>
      </c>
      <c r="X102" s="131">
        <f t="shared" si="119"/>
        <v>0</v>
      </c>
      <c r="Y102" s="133"/>
      <c r="Z102" s="133"/>
      <c r="AA102" s="133"/>
      <c r="AB102" s="133"/>
      <c r="AC102" s="133"/>
      <c r="AD102" s="133"/>
      <c r="AE102" s="235">
        <f t="shared" si="108"/>
        <v>0</v>
      </c>
      <c r="AF102" s="137"/>
      <c r="AG102" s="131">
        <f t="shared" si="120"/>
        <v>0</v>
      </c>
      <c r="AH102" s="131">
        <f t="shared" si="121"/>
        <v>0</v>
      </c>
      <c r="AI102" s="133"/>
      <c r="AJ102" s="133"/>
      <c r="AK102" s="133"/>
      <c r="AL102" s="133"/>
      <c r="AM102" s="133"/>
      <c r="AN102" s="133"/>
      <c r="AO102" s="235">
        <f t="shared" si="109"/>
        <v>0</v>
      </c>
      <c r="AP102" s="137"/>
      <c r="AQ102" s="131">
        <f t="shared" si="122"/>
        <v>0</v>
      </c>
      <c r="AR102" s="131">
        <f t="shared" si="123"/>
        <v>0</v>
      </c>
      <c r="AS102" s="133"/>
      <c r="AT102" s="133"/>
      <c r="AU102" s="133"/>
      <c r="AV102" s="133"/>
      <c r="AW102" s="133"/>
      <c r="AX102" s="133"/>
      <c r="AY102" s="235">
        <f t="shared" si="110"/>
        <v>0</v>
      </c>
      <c r="AZ102" s="137"/>
      <c r="BA102" s="131">
        <f t="shared" si="124"/>
        <v>0</v>
      </c>
      <c r="BB102" s="131">
        <f t="shared" si="125"/>
        <v>0</v>
      </c>
      <c r="BC102" s="133"/>
      <c r="BD102" s="133"/>
      <c r="BE102" s="133"/>
      <c r="BF102" s="133"/>
      <c r="BG102" s="133"/>
      <c r="BH102" s="133"/>
      <c r="BI102" s="235">
        <f t="shared" si="111"/>
        <v>0</v>
      </c>
      <c r="BJ102" s="137"/>
      <c r="BK102" s="131">
        <f t="shared" si="112"/>
        <v>0</v>
      </c>
      <c r="BL102" s="131">
        <f t="shared" si="113"/>
        <v>0</v>
      </c>
      <c r="BM102" s="133"/>
      <c r="BN102" s="133"/>
      <c r="BO102" s="133"/>
      <c r="BP102" s="133"/>
      <c r="BQ102" s="133"/>
      <c r="BR102" s="133"/>
      <c r="BS102" s="235">
        <f t="shared" si="114"/>
        <v>0</v>
      </c>
      <c r="BT102" s="324"/>
      <c r="BU102" s="131">
        <f t="shared" si="115"/>
        <v>0</v>
      </c>
      <c r="BV102" s="131">
        <f t="shared" si="116"/>
        <v>0</v>
      </c>
      <c r="BW102" s="325"/>
      <c r="BX102" s="325"/>
      <c r="BY102" s="325"/>
      <c r="BZ102" s="325"/>
      <c r="CA102" s="325"/>
      <c r="CB102" s="325"/>
      <c r="CC102" s="357">
        <f t="shared" si="117"/>
        <v>0</v>
      </c>
    </row>
    <row r="103" spans="1:81" ht="15.95" customHeight="1">
      <c r="A103" s="293" t="s">
        <v>177</v>
      </c>
      <c r="B103" s="136"/>
      <c r="C103" s="126"/>
      <c r="D103" s="126"/>
      <c r="E103" s="128"/>
      <c r="F103" s="128"/>
      <c r="G103" s="128"/>
      <c r="H103" s="128"/>
      <c r="I103" s="128"/>
      <c r="J103" s="128"/>
      <c r="K103" s="240"/>
      <c r="L103" s="136"/>
      <c r="M103" s="126"/>
      <c r="N103" s="126"/>
      <c r="O103" s="128"/>
      <c r="P103" s="128"/>
      <c r="Q103" s="128"/>
      <c r="R103" s="128"/>
      <c r="S103" s="128"/>
      <c r="T103" s="128"/>
      <c r="U103" s="240"/>
      <c r="V103" s="136"/>
      <c r="W103" s="126"/>
      <c r="X103" s="126"/>
      <c r="Y103" s="128"/>
      <c r="Z103" s="128"/>
      <c r="AA103" s="128"/>
      <c r="AB103" s="128"/>
      <c r="AC103" s="128"/>
      <c r="AD103" s="128"/>
      <c r="AE103" s="240"/>
      <c r="AF103" s="136"/>
      <c r="AG103" s="126"/>
      <c r="AH103" s="126"/>
      <c r="AI103" s="128"/>
      <c r="AJ103" s="128"/>
      <c r="AK103" s="128"/>
      <c r="AL103" s="128"/>
      <c r="AM103" s="128"/>
      <c r="AN103" s="128"/>
      <c r="AO103" s="240"/>
      <c r="AP103" s="136"/>
      <c r="AQ103" s="126"/>
      <c r="AR103" s="126"/>
      <c r="AS103" s="128"/>
      <c r="AT103" s="128"/>
      <c r="AU103" s="128"/>
      <c r="AV103" s="128"/>
      <c r="AW103" s="128"/>
      <c r="AX103" s="128"/>
      <c r="AY103" s="240"/>
      <c r="AZ103" s="136"/>
      <c r="BA103" s="126"/>
      <c r="BB103" s="126"/>
      <c r="BC103" s="128"/>
      <c r="BD103" s="128"/>
      <c r="BE103" s="128"/>
      <c r="BF103" s="128"/>
      <c r="BG103" s="128"/>
      <c r="BH103" s="128"/>
      <c r="BI103" s="240"/>
      <c r="BJ103" s="136"/>
      <c r="BK103" s="126"/>
      <c r="BL103" s="126"/>
      <c r="BM103" s="128"/>
      <c r="BN103" s="128"/>
      <c r="BO103" s="128"/>
      <c r="BP103" s="128"/>
      <c r="BQ103" s="128"/>
      <c r="BR103" s="128"/>
      <c r="BS103" s="240"/>
      <c r="BT103" s="136"/>
      <c r="BU103" s="126"/>
      <c r="BV103" s="126"/>
      <c r="BW103" s="128"/>
      <c r="BX103" s="128"/>
      <c r="BY103" s="128"/>
      <c r="BZ103" s="128"/>
      <c r="CA103" s="128"/>
      <c r="CB103" s="128"/>
      <c r="CC103" s="240"/>
    </row>
    <row r="104" spans="1:81" s="77" customFormat="1" ht="15.95" customHeight="1">
      <c r="A104" s="288" t="s">
        <v>69</v>
      </c>
      <c r="B104" s="79">
        <f>SUM(B$93:B103)</f>
        <v>621</v>
      </c>
      <c r="C104" s="131">
        <f>SUM(C$93:C103)</f>
        <v>1238241</v>
      </c>
      <c r="D104" s="131">
        <f>IFERROR(C104/B104,0)</f>
        <v>1993.9468599033817</v>
      </c>
      <c r="E104" s="132">
        <f>SUM(E$93:E103)</f>
        <v>0</v>
      </c>
      <c r="F104" s="132">
        <f>SUM(F$93:F103)</f>
        <v>923735</v>
      </c>
      <c r="G104" s="132">
        <f>SUM(G$93:G103)</f>
        <v>13009</v>
      </c>
      <c r="H104" s="132">
        <f>SUM(H$93:H103)</f>
        <v>265637</v>
      </c>
      <c r="I104" s="132">
        <f>SUM(I$93:I103)</f>
        <v>35860</v>
      </c>
      <c r="J104" s="132">
        <f>SUM(J$93:J103)</f>
        <v>795814</v>
      </c>
      <c r="K104" s="235">
        <f>SUM(K$93:K103)</f>
        <v>0</v>
      </c>
      <c r="L104" s="79">
        <f>SUM(L$93:L103)</f>
        <v>547</v>
      </c>
      <c r="M104" s="131">
        <f>SUM(M$93:M103)</f>
        <v>1364413</v>
      </c>
      <c r="N104" s="131">
        <f>IFERROR(M104/L104,0)</f>
        <v>2494.3564899451553</v>
      </c>
      <c r="O104" s="132">
        <f>SUM(O$93:O103)</f>
        <v>0</v>
      </c>
      <c r="P104" s="132">
        <f>SUM(P$93:P103)</f>
        <v>1021007</v>
      </c>
      <c r="Q104" s="132">
        <f>SUM(Q$93:Q103)</f>
        <v>32172</v>
      </c>
      <c r="R104" s="132">
        <f>SUM(R$93:R103)</f>
        <v>252416</v>
      </c>
      <c r="S104" s="132">
        <f>SUM(S$93:S103)</f>
        <v>58818</v>
      </c>
      <c r="T104" s="132">
        <f>SUM(T$93:T103)</f>
        <v>862271</v>
      </c>
      <c r="U104" s="235">
        <f>SUM(U$93:U103)</f>
        <v>0</v>
      </c>
      <c r="V104" s="79">
        <f>SUM(V$93:V103)</f>
        <v>507</v>
      </c>
      <c r="W104" s="131">
        <f>SUM(W$93:W103)</f>
        <v>1275825</v>
      </c>
      <c r="X104" s="131">
        <f>IFERROR(W104/V104,0)</f>
        <v>2516.4201183431951</v>
      </c>
      <c r="Y104" s="132">
        <f>SUM(Y$93:Y103)</f>
        <v>0</v>
      </c>
      <c r="Z104" s="132">
        <f>SUM(Z$93:Z103)</f>
        <v>1015791</v>
      </c>
      <c r="AA104" s="132">
        <f>SUM(AA$93:AA103)</f>
        <v>18454</v>
      </c>
      <c r="AB104" s="132">
        <f>SUM(AB$93:AB103)</f>
        <v>212987</v>
      </c>
      <c r="AC104" s="132">
        <f>SUM(AC$93:AC103)</f>
        <v>28593</v>
      </c>
      <c r="AD104" s="132">
        <f>SUM(AD$93:AD103)</f>
        <v>824350</v>
      </c>
      <c r="AE104" s="235">
        <f>SUM(AE$93:AE103)</f>
        <v>0</v>
      </c>
      <c r="AF104" s="79">
        <f>SUM(AF$93:AF103)</f>
        <v>560</v>
      </c>
      <c r="AG104" s="131">
        <f>SUM(AG$93:AG103)</f>
        <v>1422669</v>
      </c>
      <c r="AH104" s="131">
        <f>IFERROR(AG104/AF104,0)</f>
        <v>2540.480357142857</v>
      </c>
      <c r="AI104" s="132">
        <f>SUM(AI$93:AI103)</f>
        <v>0</v>
      </c>
      <c r="AJ104" s="132">
        <f>SUM(AJ$93:AJ103)</f>
        <v>889418</v>
      </c>
      <c r="AK104" s="132">
        <f>SUM(AK$93:AK103)</f>
        <v>16258</v>
      </c>
      <c r="AL104" s="132">
        <f>SUM(AL$93:AL103)</f>
        <v>290145</v>
      </c>
      <c r="AM104" s="132">
        <f>SUM(AM$93:AM103)</f>
        <v>226848</v>
      </c>
      <c r="AN104" s="132">
        <f>SUM(AN$93:AN103)</f>
        <v>664100</v>
      </c>
      <c r="AO104" s="235">
        <f>SUM(AO$93:AO103)</f>
        <v>0</v>
      </c>
      <c r="AP104" s="79">
        <f>SUM(AP$93:AP103)</f>
        <v>499</v>
      </c>
      <c r="AQ104" s="131">
        <f>SUM(AQ$93:AQ103)</f>
        <v>1335456.08</v>
      </c>
      <c r="AR104" s="131">
        <f>IFERROR(AQ104/AP104,0)</f>
        <v>2676.2646893787578</v>
      </c>
      <c r="AS104" s="132">
        <f>SUM(AS$93:AS103)</f>
        <v>0</v>
      </c>
      <c r="AT104" s="132">
        <f>SUM(AT$93:AT103)</f>
        <v>923083.91</v>
      </c>
      <c r="AU104" s="132">
        <f>SUM(AU$93:AU103)</f>
        <v>20902.939999999999</v>
      </c>
      <c r="AV104" s="132">
        <f>SUM(AV$93:AV103)</f>
        <v>208927.8</v>
      </c>
      <c r="AW104" s="132">
        <f>SUM(AW$93:AW103)</f>
        <v>182541.43</v>
      </c>
      <c r="AX104" s="132">
        <f>SUM(AX$93:AX103)</f>
        <v>578807.67999999993</v>
      </c>
      <c r="AY104" s="235">
        <f>SUM(AY$93:AY103)</f>
        <v>0</v>
      </c>
      <c r="AZ104" s="79">
        <f>SUM(AZ$93:AZ103)</f>
        <v>487</v>
      </c>
      <c r="BA104" s="131">
        <f>SUM(BA$93:BA103)</f>
        <v>1236215</v>
      </c>
      <c r="BB104" s="131">
        <f>IFERROR(BA104/AZ104,0)</f>
        <v>2538.4291581108828</v>
      </c>
      <c r="BC104" s="132">
        <f>SUM(BC$93:BC103)</f>
        <v>0</v>
      </c>
      <c r="BD104" s="132">
        <f>SUM(BD$93:BD103)</f>
        <v>810868</v>
      </c>
      <c r="BE104" s="132">
        <f>SUM(BE$93:BE103)</f>
        <v>27050</v>
      </c>
      <c r="BF104" s="132">
        <f>SUM(BF$93:BF103)</f>
        <v>398297</v>
      </c>
      <c r="BG104" s="132">
        <f>SUM(BG$93:BG103)</f>
        <v>0</v>
      </c>
      <c r="BH104" s="132">
        <f>SUM(BH$93:BH103)</f>
        <v>610950</v>
      </c>
      <c r="BI104" s="235">
        <f>SUM(BI$93:BI103)</f>
        <v>0</v>
      </c>
      <c r="BJ104" s="79">
        <f>SUM(BJ$93:BJ103)</f>
        <v>555</v>
      </c>
      <c r="BK104" s="131">
        <f>SUM(BK$93:BK103)</f>
        <v>1365824</v>
      </c>
      <c r="BL104" s="131">
        <f>IFERROR(BK104/BJ104,0)</f>
        <v>2460.944144144144</v>
      </c>
      <c r="BM104" s="132">
        <f>SUM(BM$93:BM103)</f>
        <v>0</v>
      </c>
      <c r="BN104" s="132">
        <f>SUM(BN$93:BN103)</f>
        <v>872741</v>
      </c>
      <c r="BO104" s="132">
        <f>SUM(BO$93:BO103)</f>
        <v>25016</v>
      </c>
      <c r="BP104" s="132">
        <f>SUM(BP$93:BP103)</f>
        <v>468067</v>
      </c>
      <c r="BQ104" s="132">
        <f>SUM(BQ$93:BQ103)</f>
        <v>0</v>
      </c>
      <c r="BR104" s="132">
        <f>SUM(BR$93:BR103)</f>
        <v>679275</v>
      </c>
      <c r="BS104" s="235">
        <f>SUM(BS$93:BS103)</f>
        <v>0</v>
      </c>
      <c r="BT104" s="79">
        <f>SUM(BT$93:BT103)</f>
        <v>588</v>
      </c>
      <c r="BU104" s="131">
        <f>SUM(BU$93:BU103)</f>
        <v>1406612.42</v>
      </c>
      <c r="BV104" s="131">
        <f>IFERROR(BU104/BT104,0)</f>
        <v>2392.1979931972787</v>
      </c>
      <c r="BW104" s="132">
        <f>SUM(BW$93:BW103)</f>
        <v>0</v>
      </c>
      <c r="BX104" s="132">
        <f>SUM(BX$93:BX103)</f>
        <v>1044497</v>
      </c>
      <c r="BY104" s="132">
        <f>SUM(BY$93:BY103)</f>
        <v>56600.3</v>
      </c>
      <c r="BZ104" s="132">
        <f>SUM(BZ$93:BZ103)</f>
        <v>305515.12</v>
      </c>
      <c r="CA104" s="132">
        <f>SUM(CA$93:CA103)</f>
        <v>0</v>
      </c>
      <c r="CB104" s="132">
        <f>SUM(CB$93:CB103)</f>
        <v>639015.32000000007</v>
      </c>
      <c r="CC104" s="235">
        <f>SUM(CC$93:CC103)</f>
        <v>0</v>
      </c>
    </row>
    <row r="105" spans="1:81" ht="15.95" customHeight="1">
      <c r="A105" s="285"/>
      <c r="B105" s="136"/>
      <c r="C105" s="126"/>
      <c r="D105" s="126"/>
      <c r="E105" s="128"/>
      <c r="F105" s="128"/>
      <c r="G105" s="128"/>
      <c r="H105" s="128"/>
      <c r="I105" s="128"/>
      <c r="J105" s="128"/>
      <c r="K105" s="240"/>
      <c r="L105" s="136"/>
      <c r="M105" s="126"/>
      <c r="N105" s="126"/>
      <c r="O105" s="128"/>
      <c r="P105" s="128"/>
      <c r="Q105" s="128"/>
      <c r="R105" s="128"/>
      <c r="S105" s="128"/>
      <c r="T105" s="128"/>
      <c r="U105" s="240"/>
      <c r="V105" s="136"/>
      <c r="W105" s="126"/>
      <c r="X105" s="126"/>
      <c r="Y105" s="128"/>
      <c r="Z105" s="128"/>
      <c r="AA105" s="128"/>
      <c r="AB105" s="128"/>
      <c r="AC105" s="128"/>
      <c r="AD105" s="128"/>
      <c r="AE105" s="240"/>
      <c r="AF105" s="136"/>
      <c r="AG105" s="126"/>
      <c r="AH105" s="126"/>
      <c r="AI105" s="128"/>
      <c r="AJ105" s="128"/>
      <c r="AK105" s="128"/>
      <c r="AL105" s="128"/>
      <c r="AM105" s="128"/>
      <c r="AN105" s="128"/>
      <c r="AO105" s="240"/>
      <c r="AP105" s="136"/>
      <c r="AQ105" s="126"/>
      <c r="AR105" s="126"/>
      <c r="AS105" s="128"/>
      <c r="AT105" s="128"/>
      <c r="AU105" s="128"/>
      <c r="AV105" s="128"/>
      <c r="AW105" s="128"/>
      <c r="AX105" s="128"/>
      <c r="AY105" s="240"/>
      <c r="AZ105" s="136"/>
      <c r="BA105" s="126"/>
      <c r="BB105" s="126"/>
      <c r="BC105" s="128"/>
      <c r="BD105" s="128"/>
      <c r="BE105" s="128"/>
      <c r="BF105" s="128"/>
      <c r="BG105" s="128"/>
      <c r="BH105" s="128"/>
      <c r="BI105" s="240"/>
      <c r="BJ105" s="136"/>
      <c r="BK105" s="126"/>
      <c r="BL105" s="126"/>
      <c r="BM105" s="128"/>
      <c r="BN105" s="128"/>
      <c r="BO105" s="128"/>
      <c r="BP105" s="128"/>
      <c r="BQ105" s="128"/>
      <c r="BR105" s="128"/>
      <c r="BS105" s="240"/>
      <c r="BT105" s="136"/>
      <c r="BU105" s="126"/>
      <c r="BV105" s="126"/>
      <c r="BW105" s="128"/>
      <c r="BX105" s="128"/>
      <c r="BY105" s="128"/>
      <c r="BZ105" s="128"/>
      <c r="CA105" s="128"/>
      <c r="CB105" s="128"/>
      <c r="CC105" s="240"/>
    </row>
    <row r="106" spans="1:81" ht="15.95" customHeight="1">
      <c r="A106" s="286" t="s">
        <v>70</v>
      </c>
      <c r="B106" s="136"/>
      <c r="C106" s="126"/>
      <c r="D106" s="126"/>
      <c r="E106" s="128"/>
      <c r="F106" s="128"/>
      <c r="G106" s="128"/>
      <c r="H106" s="128"/>
      <c r="I106" s="128"/>
      <c r="J106" s="128"/>
      <c r="K106" s="240"/>
      <c r="L106" s="136"/>
      <c r="M106" s="126"/>
      <c r="N106" s="126"/>
      <c r="O106" s="128"/>
      <c r="P106" s="128"/>
      <c r="Q106" s="128"/>
      <c r="R106" s="128"/>
      <c r="S106" s="128"/>
      <c r="T106" s="128"/>
      <c r="U106" s="240"/>
      <c r="V106" s="136"/>
      <c r="W106" s="126"/>
      <c r="X106" s="126"/>
      <c r="Y106" s="128"/>
      <c r="Z106" s="128"/>
      <c r="AA106" s="128"/>
      <c r="AB106" s="128"/>
      <c r="AC106" s="128"/>
      <c r="AD106" s="128"/>
      <c r="AE106" s="240"/>
      <c r="AF106" s="136"/>
      <c r="AG106" s="126"/>
      <c r="AH106" s="126"/>
      <c r="AI106" s="128"/>
      <c r="AJ106" s="128"/>
      <c r="AK106" s="128"/>
      <c r="AL106" s="128"/>
      <c r="AM106" s="128"/>
      <c r="AN106" s="128"/>
      <c r="AO106" s="240"/>
      <c r="AP106" s="136"/>
      <c r="AQ106" s="126"/>
      <c r="AR106" s="126"/>
      <c r="AS106" s="128"/>
      <c r="AT106" s="128"/>
      <c r="AU106" s="128"/>
      <c r="AV106" s="128"/>
      <c r="AW106" s="128"/>
      <c r="AX106" s="128"/>
      <c r="AY106" s="240"/>
      <c r="AZ106" s="136"/>
      <c r="BA106" s="126"/>
      <c r="BB106" s="126"/>
      <c r="BC106" s="128"/>
      <c r="BD106" s="128"/>
      <c r="BE106" s="128"/>
      <c r="BF106" s="128"/>
      <c r="BG106" s="128"/>
      <c r="BH106" s="128"/>
      <c r="BI106" s="240"/>
      <c r="BJ106" s="136"/>
      <c r="BK106" s="126"/>
      <c r="BL106" s="126"/>
      <c r="BM106" s="128"/>
      <c r="BN106" s="128"/>
      <c r="BO106" s="128"/>
      <c r="BP106" s="128"/>
      <c r="BQ106" s="128"/>
      <c r="BR106" s="128"/>
      <c r="BS106" s="240"/>
      <c r="BT106" s="136"/>
      <c r="BU106" s="126"/>
      <c r="BV106" s="126"/>
      <c r="BW106" s="128"/>
      <c r="BX106" s="128"/>
      <c r="BY106" s="128"/>
      <c r="BZ106" s="128"/>
      <c r="CA106" s="128"/>
      <c r="CB106" s="128"/>
      <c r="CC106" s="240"/>
    </row>
    <row r="107" spans="1:81" ht="15.95" customHeight="1">
      <c r="A107" s="287" t="s">
        <v>173</v>
      </c>
      <c r="B107" s="136"/>
      <c r="C107" s="126"/>
      <c r="D107" s="126"/>
      <c r="E107" s="128"/>
      <c r="F107" s="128"/>
      <c r="G107" s="128"/>
      <c r="H107" s="128"/>
      <c r="I107" s="128"/>
      <c r="J107" s="128"/>
      <c r="K107" s="235">
        <f t="shared" ref="K107:K130" si="126">IF(J107=0,0,(IF(E107&lt;=J107,E107,J107)))</f>
        <v>0</v>
      </c>
      <c r="L107" s="136">
        <v>80</v>
      </c>
      <c r="M107" s="131">
        <f t="shared" ref="M107:M120" si="127">SUM(O107:S107)</f>
        <v>133256</v>
      </c>
      <c r="N107" s="131">
        <f t="shared" ref="N107:N120" si="128">IFERROR(M107/L107,0)</f>
        <v>1665.7</v>
      </c>
      <c r="O107" s="128">
        <v>133256</v>
      </c>
      <c r="P107" s="128"/>
      <c r="Q107" s="128"/>
      <c r="R107" s="128"/>
      <c r="S107" s="128"/>
      <c r="T107" s="128">
        <v>65170</v>
      </c>
      <c r="U107" s="235">
        <f t="shared" ref="U107:U130" si="129">IF(T107=0,0,(IF(O107&lt;=T107,O107,T107)))</f>
        <v>65170</v>
      </c>
      <c r="V107" s="136">
        <v>128</v>
      </c>
      <c r="W107" s="131">
        <f>SUM(Y107:AC107)</f>
        <v>254177</v>
      </c>
      <c r="X107" s="131">
        <f>IFERROR(W107/V107,0)</f>
        <v>1985.7578125</v>
      </c>
      <c r="Y107" s="128">
        <v>254177</v>
      </c>
      <c r="Z107" s="128"/>
      <c r="AA107" s="128"/>
      <c r="AB107" s="128"/>
      <c r="AC107" s="128"/>
      <c r="AD107" s="128">
        <v>120664</v>
      </c>
      <c r="AE107" s="235">
        <f t="shared" ref="AE107:AE130" si="130">IF(AD107=0,0,(IF(Y107&lt;=AD107,Y107,AD107)))</f>
        <v>120664</v>
      </c>
      <c r="AF107" s="136">
        <v>130</v>
      </c>
      <c r="AG107" s="131">
        <f t="shared" ref="AG107:AG130" si="131">SUM(AI107:AM107)</f>
        <v>311980</v>
      </c>
      <c r="AH107" s="131">
        <f t="shared" ref="AH107:AH130" si="132">IFERROR(AG107/AF107,0)</f>
        <v>2399.8461538461538</v>
      </c>
      <c r="AI107" s="128">
        <v>311980</v>
      </c>
      <c r="AJ107" s="128"/>
      <c r="AK107" s="128"/>
      <c r="AL107" s="128"/>
      <c r="AM107" s="128"/>
      <c r="AN107" s="128">
        <v>136957</v>
      </c>
      <c r="AO107" s="235">
        <f t="shared" ref="AO107:AO130" si="133">IF(AN107=0,0,(IF(AI107&lt;=AN107,AI107,AN107)))</f>
        <v>136957</v>
      </c>
      <c r="AP107" s="136">
        <v>78</v>
      </c>
      <c r="AQ107" s="131">
        <f t="shared" ref="AQ107:AQ120" si="134">SUM(AS107:AW107)</f>
        <v>183312.29</v>
      </c>
      <c r="AR107" s="131">
        <f t="shared" ref="AR107:AR120" si="135">IFERROR(AQ107/AP107,0)</f>
        <v>2350.1575641025643</v>
      </c>
      <c r="AS107" s="128">
        <v>183312.29</v>
      </c>
      <c r="AT107" s="128"/>
      <c r="AU107" s="128"/>
      <c r="AV107" s="128"/>
      <c r="AW107" s="128"/>
      <c r="AX107" s="128">
        <v>87254.5</v>
      </c>
      <c r="AY107" s="235">
        <f t="shared" ref="AY107:AY130" si="136">IF(AX107=0,0,(IF(AS107&lt;=AX107,AS107,AX107)))</f>
        <v>87254.5</v>
      </c>
      <c r="AZ107" s="136">
        <v>48</v>
      </c>
      <c r="BA107" s="131">
        <f t="shared" ref="BA107:BA130" si="137">SUM(BC107:BG107)</f>
        <v>109387</v>
      </c>
      <c r="BB107" s="131">
        <f t="shared" ref="BB107:BB130" si="138">IFERROR(BA107/AZ107,0)</f>
        <v>2278.8958333333335</v>
      </c>
      <c r="BC107" s="128">
        <v>109387</v>
      </c>
      <c r="BD107" s="128"/>
      <c r="BE107" s="128"/>
      <c r="BF107" s="128"/>
      <c r="BG107" s="128"/>
      <c r="BH107" s="128">
        <v>43818</v>
      </c>
      <c r="BI107" s="235">
        <f t="shared" ref="BI107:BI130" si="139">IF(BH107=0,0,(IF(BC107&lt;=BH107,BC107,BH107)))</f>
        <v>43818</v>
      </c>
      <c r="BJ107" s="137">
        <v>25</v>
      </c>
      <c r="BK107" s="131">
        <f t="shared" ref="BK107:BK130" si="140">SUM(BM107:BQ107)</f>
        <v>59392</v>
      </c>
      <c r="BL107" s="131">
        <f t="shared" ref="BL107:BL130" si="141">IFERROR(BK107/BJ107,0)</f>
        <v>2375.6799999999998</v>
      </c>
      <c r="BM107" s="133">
        <v>59392</v>
      </c>
      <c r="BN107" s="133"/>
      <c r="BO107" s="133"/>
      <c r="BP107" s="133"/>
      <c r="BQ107" s="133"/>
      <c r="BR107" s="133">
        <v>23616</v>
      </c>
      <c r="BS107" s="235">
        <f t="shared" ref="BS107:BS130" si="142">IF(BR107=0,0,(IF(BM107&lt;=BR107,BM107,BR107)))</f>
        <v>23616</v>
      </c>
      <c r="BT107" s="324">
        <v>0</v>
      </c>
      <c r="BU107" s="131">
        <f t="shared" ref="BU107:BU130" si="143">SUM(BW107:CA107)</f>
        <v>0</v>
      </c>
      <c r="BV107" s="131">
        <f t="shared" ref="BV107:BV130" si="144">IFERROR(BU107/BT107,0)</f>
        <v>0</v>
      </c>
      <c r="BW107" s="325"/>
      <c r="BX107" s="325"/>
      <c r="BY107" s="325"/>
      <c r="BZ107" s="325"/>
      <c r="CA107" s="325"/>
      <c r="CB107" s="325"/>
      <c r="CC107" s="357">
        <f t="shared" ref="CC107:CC130" si="145">IF(CB107=0,0,(IF(BW107&lt;=CB107,BW107,CB107)))</f>
        <v>0</v>
      </c>
    </row>
    <row r="108" spans="1:81" ht="15.95" customHeight="1">
      <c r="A108" s="287" t="s">
        <v>192</v>
      </c>
      <c r="B108" s="136"/>
      <c r="C108" s="126"/>
      <c r="D108" s="126"/>
      <c r="E108" s="128"/>
      <c r="F108" s="128"/>
      <c r="G108" s="128"/>
      <c r="H108" s="128"/>
      <c r="I108" s="128"/>
      <c r="J108" s="128"/>
      <c r="K108" s="235">
        <f t="shared" si="126"/>
        <v>0</v>
      </c>
      <c r="L108" s="136"/>
      <c r="M108" s="131"/>
      <c r="N108" s="131"/>
      <c r="O108" s="128"/>
      <c r="P108" s="128"/>
      <c r="Q108" s="128"/>
      <c r="R108" s="128"/>
      <c r="S108" s="128"/>
      <c r="T108" s="128"/>
      <c r="U108" s="235">
        <f t="shared" si="129"/>
        <v>0</v>
      </c>
      <c r="V108" s="136">
        <v>91</v>
      </c>
      <c r="W108" s="131">
        <f t="shared" ref="W108:W130" si="146">SUM(Y108:AC108)</f>
        <v>75730</v>
      </c>
      <c r="X108" s="131">
        <f t="shared" ref="X108:X130" si="147">IFERROR(W108/V108,0)</f>
        <v>832.19780219780216</v>
      </c>
      <c r="Y108" s="128">
        <v>75730</v>
      </c>
      <c r="Z108" s="128"/>
      <c r="AA108" s="128"/>
      <c r="AB108" s="128"/>
      <c r="AC108" s="128"/>
      <c r="AD108" s="128">
        <v>36490</v>
      </c>
      <c r="AE108" s="235">
        <f t="shared" si="130"/>
        <v>36490</v>
      </c>
      <c r="AF108" s="136"/>
      <c r="AG108" s="131">
        <f t="shared" si="131"/>
        <v>0</v>
      </c>
      <c r="AH108" s="131">
        <f t="shared" si="132"/>
        <v>0</v>
      </c>
      <c r="AI108" s="128"/>
      <c r="AJ108" s="128"/>
      <c r="AK108" s="128"/>
      <c r="AL108" s="128"/>
      <c r="AM108" s="128"/>
      <c r="AN108" s="128"/>
      <c r="AO108" s="235">
        <f t="shared" si="133"/>
        <v>0</v>
      </c>
      <c r="AP108" s="136">
        <v>49</v>
      </c>
      <c r="AQ108" s="131">
        <f t="shared" si="134"/>
        <v>45500</v>
      </c>
      <c r="AR108" s="131">
        <f t="shared" si="135"/>
        <v>928.57142857142856</v>
      </c>
      <c r="AS108" s="128">
        <v>45500</v>
      </c>
      <c r="AT108" s="128"/>
      <c r="AU108" s="128"/>
      <c r="AV108" s="128"/>
      <c r="AW108" s="128"/>
      <c r="AX108" s="128">
        <v>20500</v>
      </c>
      <c r="AY108" s="235">
        <f t="shared" si="136"/>
        <v>20500</v>
      </c>
      <c r="AZ108" s="136">
        <v>57</v>
      </c>
      <c r="BA108" s="131">
        <f t="shared" si="137"/>
        <v>65750</v>
      </c>
      <c r="BB108" s="131">
        <f t="shared" si="138"/>
        <v>1153.5087719298247</v>
      </c>
      <c r="BC108" s="128">
        <v>65750</v>
      </c>
      <c r="BD108" s="128"/>
      <c r="BE108" s="128"/>
      <c r="BF108" s="128"/>
      <c r="BG108" s="128"/>
      <c r="BH108" s="128">
        <v>32000</v>
      </c>
      <c r="BI108" s="235">
        <f t="shared" si="139"/>
        <v>32000</v>
      </c>
      <c r="BJ108" s="137">
        <v>40</v>
      </c>
      <c r="BK108" s="131">
        <f t="shared" si="140"/>
        <v>44500</v>
      </c>
      <c r="BL108" s="131">
        <f t="shared" si="141"/>
        <v>1112.5</v>
      </c>
      <c r="BM108" s="133">
        <v>44500</v>
      </c>
      <c r="BN108" s="133"/>
      <c r="BO108" s="133"/>
      <c r="BP108" s="133"/>
      <c r="BQ108" s="133"/>
      <c r="BR108" s="133">
        <v>19500</v>
      </c>
      <c r="BS108" s="235">
        <f t="shared" si="142"/>
        <v>19500</v>
      </c>
      <c r="BT108" s="324">
        <v>28</v>
      </c>
      <c r="BU108" s="131">
        <f t="shared" si="143"/>
        <v>30191</v>
      </c>
      <c r="BV108" s="131">
        <f t="shared" si="144"/>
        <v>1078.25</v>
      </c>
      <c r="BW108" s="325">
        <v>30191</v>
      </c>
      <c r="BX108" s="325"/>
      <c r="BY108" s="325"/>
      <c r="BZ108" s="325"/>
      <c r="CA108" s="325"/>
      <c r="CB108" s="325">
        <v>13866</v>
      </c>
      <c r="CC108" s="357">
        <f t="shared" si="145"/>
        <v>13866</v>
      </c>
    </row>
    <row r="109" spans="1:81" ht="15.95" customHeight="1">
      <c r="A109" s="287" t="s">
        <v>174</v>
      </c>
      <c r="B109" s="136"/>
      <c r="C109" s="126"/>
      <c r="D109" s="126"/>
      <c r="E109" s="128"/>
      <c r="F109" s="128"/>
      <c r="G109" s="128"/>
      <c r="H109" s="128"/>
      <c r="I109" s="128"/>
      <c r="J109" s="128"/>
      <c r="K109" s="235">
        <f t="shared" si="126"/>
        <v>0</v>
      </c>
      <c r="L109" s="136">
        <v>20</v>
      </c>
      <c r="M109" s="131">
        <f t="shared" si="127"/>
        <v>59965</v>
      </c>
      <c r="N109" s="131">
        <f t="shared" si="128"/>
        <v>2998.25</v>
      </c>
      <c r="O109" s="128">
        <v>59965</v>
      </c>
      <c r="P109" s="128"/>
      <c r="Q109" s="128"/>
      <c r="R109" s="128"/>
      <c r="S109" s="128"/>
      <c r="T109" s="128">
        <v>21520</v>
      </c>
      <c r="U109" s="235">
        <f t="shared" si="129"/>
        <v>21520</v>
      </c>
      <c r="V109" s="136">
        <v>21</v>
      </c>
      <c r="W109" s="131">
        <f t="shared" si="146"/>
        <v>57362</v>
      </c>
      <c r="X109" s="131">
        <f t="shared" si="147"/>
        <v>2731.5238095238096</v>
      </c>
      <c r="Y109" s="128">
        <v>55862</v>
      </c>
      <c r="Z109" s="128"/>
      <c r="AA109" s="128"/>
      <c r="AB109" s="128"/>
      <c r="AC109" s="128">
        <v>1500</v>
      </c>
      <c r="AD109" s="128">
        <v>25408</v>
      </c>
      <c r="AE109" s="235">
        <f t="shared" si="130"/>
        <v>25408</v>
      </c>
      <c r="AF109" s="136">
        <v>25</v>
      </c>
      <c r="AG109" s="131">
        <f t="shared" si="131"/>
        <v>64179</v>
      </c>
      <c r="AH109" s="131">
        <f t="shared" si="132"/>
        <v>2567.16</v>
      </c>
      <c r="AI109" s="128">
        <v>55168</v>
      </c>
      <c r="AJ109" s="128">
        <v>9011</v>
      </c>
      <c r="AK109" s="128"/>
      <c r="AL109" s="128"/>
      <c r="AM109" s="128"/>
      <c r="AN109" s="128">
        <v>23362</v>
      </c>
      <c r="AO109" s="235">
        <f t="shared" si="133"/>
        <v>23362</v>
      </c>
      <c r="AP109" s="136">
        <v>24</v>
      </c>
      <c r="AQ109" s="131">
        <f t="shared" si="134"/>
        <v>62314.33</v>
      </c>
      <c r="AR109" s="131">
        <f t="shared" si="135"/>
        <v>2596.4304166666666</v>
      </c>
      <c r="AS109" s="128">
        <v>50749.5</v>
      </c>
      <c r="AT109" s="128">
        <v>11564.83</v>
      </c>
      <c r="AU109" s="128"/>
      <c r="AV109" s="128"/>
      <c r="AW109" s="128"/>
      <c r="AX109" s="128">
        <v>17492.21</v>
      </c>
      <c r="AY109" s="235">
        <f t="shared" si="136"/>
        <v>17492.21</v>
      </c>
      <c r="AZ109" s="136">
        <v>20</v>
      </c>
      <c r="BA109" s="131">
        <f t="shared" si="137"/>
        <v>73328</v>
      </c>
      <c r="BB109" s="131">
        <f t="shared" si="138"/>
        <v>3666.4</v>
      </c>
      <c r="BC109" s="128">
        <v>47161</v>
      </c>
      <c r="BD109" s="128">
        <v>26167</v>
      </c>
      <c r="BE109" s="128"/>
      <c r="BF109" s="128"/>
      <c r="BG109" s="128"/>
      <c r="BH109" s="128">
        <v>22080</v>
      </c>
      <c r="BI109" s="235">
        <f t="shared" si="139"/>
        <v>22080</v>
      </c>
      <c r="BJ109" s="137">
        <v>24</v>
      </c>
      <c r="BK109" s="131">
        <f t="shared" si="140"/>
        <v>86227</v>
      </c>
      <c r="BL109" s="131">
        <f t="shared" si="141"/>
        <v>3592.7916666666665</v>
      </c>
      <c r="BM109" s="133">
        <v>55552</v>
      </c>
      <c r="BN109" s="133">
        <v>30675</v>
      </c>
      <c r="BO109" s="133"/>
      <c r="BP109" s="133"/>
      <c r="BQ109" s="133"/>
      <c r="BR109" s="133">
        <v>50210</v>
      </c>
      <c r="BS109" s="235">
        <f t="shared" si="142"/>
        <v>50210</v>
      </c>
      <c r="BT109" s="324">
        <v>22</v>
      </c>
      <c r="BU109" s="131">
        <f t="shared" si="143"/>
        <v>61755</v>
      </c>
      <c r="BV109" s="131">
        <f t="shared" si="144"/>
        <v>2807.0454545454545</v>
      </c>
      <c r="BW109" s="325">
        <v>35595</v>
      </c>
      <c r="BX109" s="325">
        <v>26160</v>
      </c>
      <c r="BY109" s="325"/>
      <c r="BZ109" s="325"/>
      <c r="CA109" s="325"/>
      <c r="CB109" s="325">
        <v>31418.5</v>
      </c>
      <c r="CC109" s="357">
        <f t="shared" si="145"/>
        <v>31418.5</v>
      </c>
    </row>
    <row r="110" spans="1:81" ht="15.95" customHeight="1">
      <c r="A110" s="287" t="s">
        <v>175</v>
      </c>
      <c r="B110" s="136"/>
      <c r="C110" s="126"/>
      <c r="D110" s="126"/>
      <c r="E110" s="128"/>
      <c r="F110" s="128"/>
      <c r="G110" s="128"/>
      <c r="H110" s="128"/>
      <c r="I110" s="128"/>
      <c r="J110" s="128"/>
      <c r="K110" s="235">
        <f t="shared" si="126"/>
        <v>0</v>
      </c>
      <c r="L110" s="136">
        <v>17</v>
      </c>
      <c r="M110" s="131">
        <f t="shared" si="127"/>
        <v>6515</v>
      </c>
      <c r="N110" s="131">
        <f t="shared" si="128"/>
        <v>383.23529411764707</v>
      </c>
      <c r="O110" s="128">
        <v>6515</v>
      </c>
      <c r="P110" s="128"/>
      <c r="Q110" s="128"/>
      <c r="R110" s="128"/>
      <c r="S110" s="128"/>
      <c r="T110" s="128">
        <v>3250</v>
      </c>
      <c r="U110" s="235">
        <f t="shared" si="129"/>
        <v>3250</v>
      </c>
      <c r="V110" s="136">
        <v>14</v>
      </c>
      <c r="W110" s="131">
        <f t="shared" si="146"/>
        <v>6500</v>
      </c>
      <c r="X110" s="131">
        <f t="shared" si="147"/>
        <v>464.28571428571428</v>
      </c>
      <c r="Y110" s="128">
        <v>6500</v>
      </c>
      <c r="Z110" s="128"/>
      <c r="AA110" s="128"/>
      <c r="AB110" s="128"/>
      <c r="AC110" s="128"/>
      <c r="AD110" s="128">
        <v>2750</v>
      </c>
      <c r="AE110" s="235">
        <f t="shared" si="130"/>
        <v>2750</v>
      </c>
      <c r="AF110" s="136">
        <v>15</v>
      </c>
      <c r="AG110" s="131">
        <f t="shared" si="131"/>
        <v>5250</v>
      </c>
      <c r="AH110" s="131">
        <f t="shared" si="132"/>
        <v>350</v>
      </c>
      <c r="AI110" s="128">
        <v>5250</v>
      </c>
      <c r="AJ110" s="128"/>
      <c r="AK110" s="128"/>
      <c r="AL110" s="128"/>
      <c r="AM110" s="128"/>
      <c r="AN110" s="128">
        <v>3250</v>
      </c>
      <c r="AO110" s="235">
        <f t="shared" si="133"/>
        <v>3250</v>
      </c>
      <c r="AP110" s="136">
        <v>13</v>
      </c>
      <c r="AQ110" s="131">
        <f t="shared" si="134"/>
        <v>5500</v>
      </c>
      <c r="AR110" s="131">
        <f t="shared" si="135"/>
        <v>423.07692307692309</v>
      </c>
      <c r="AS110" s="128">
        <v>5500</v>
      </c>
      <c r="AT110" s="128"/>
      <c r="AU110" s="128"/>
      <c r="AV110" s="128"/>
      <c r="AW110" s="128"/>
      <c r="AX110" s="128">
        <v>4750</v>
      </c>
      <c r="AY110" s="235">
        <f t="shared" si="136"/>
        <v>4750</v>
      </c>
      <c r="AZ110" s="136">
        <v>15</v>
      </c>
      <c r="BA110" s="131">
        <f t="shared" si="137"/>
        <v>7437</v>
      </c>
      <c r="BB110" s="131">
        <f t="shared" si="138"/>
        <v>495.8</v>
      </c>
      <c r="BC110" s="128">
        <v>7437</v>
      </c>
      <c r="BD110" s="128"/>
      <c r="BE110" s="128"/>
      <c r="BF110" s="128"/>
      <c r="BG110" s="128"/>
      <c r="BH110" s="128">
        <v>5000</v>
      </c>
      <c r="BI110" s="235">
        <f t="shared" si="139"/>
        <v>5000</v>
      </c>
      <c r="BJ110" s="137">
        <v>12</v>
      </c>
      <c r="BK110" s="131">
        <f t="shared" si="140"/>
        <v>6000</v>
      </c>
      <c r="BL110" s="131">
        <f t="shared" si="141"/>
        <v>500</v>
      </c>
      <c r="BM110" s="133">
        <v>6000</v>
      </c>
      <c r="BN110" s="133"/>
      <c r="BO110" s="133"/>
      <c r="BP110" s="133"/>
      <c r="BQ110" s="133"/>
      <c r="BR110" s="133">
        <v>3000</v>
      </c>
      <c r="BS110" s="235">
        <f t="shared" si="142"/>
        <v>3000</v>
      </c>
      <c r="BT110" s="324">
        <v>15</v>
      </c>
      <c r="BU110" s="131">
        <f t="shared" si="143"/>
        <v>6500</v>
      </c>
      <c r="BV110" s="131">
        <f t="shared" si="144"/>
        <v>433.33333333333331</v>
      </c>
      <c r="BW110" s="325">
        <v>6500</v>
      </c>
      <c r="BX110" s="325"/>
      <c r="BY110" s="325"/>
      <c r="BZ110" s="325"/>
      <c r="CA110" s="325"/>
      <c r="CB110" s="325">
        <v>3250</v>
      </c>
      <c r="CC110" s="357">
        <f t="shared" si="145"/>
        <v>3250</v>
      </c>
    </row>
    <row r="111" spans="1:81" s="77" customFormat="1" ht="15.95" customHeight="1">
      <c r="A111" s="287" t="s">
        <v>176</v>
      </c>
      <c r="B111" s="137">
        <f>61+3</f>
        <v>64</v>
      </c>
      <c r="C111" s="131">
        <f t="shared" ref="C111:C120" si="148">SUM(E111:I111)</f>
        <v>128958</v>
      </c>
      <c r="D111" s="131">
        <f t="shared" ref="D111:D120" si="149">IFERROR(C111/B111,0)</f>
        <v>2014.96875</v>
      </c>
      <c r="E111" s="133">
        <v>122525</v>
      </c>
      <c r="F111" s="133">
        <v>6433</v>
      </c>
      <c r="G111" s="133"/>
      <c r="H111" s="133"/>
      <c r="I111" s="133"/>
      <c r="J111" s="133">
        <v>58295</v>
      </c>
      <c r="K111" s="235">
        <f t="shared" si="126"/>
        <v>58295</v>
      </c>
      <c r="L111" s="137">
        <v>5</v>
      </c>
      <c r="M111" s="131">
        <f t="shared" si="127"/>
        <v>7402</v>
      </c>
      <c r="N111" s="131">
        <f t="shared" si="128"/>
        <v>1480.4</v>
      </c>
      <c r="O111" s="133">
        <v>7402</v>
      </c>
      <c r="P111" s="133"/>
      <c r="Q111" s="133"/>
      <c r="R111" s="133"/>
      <c r="S111" s="133"/>
      <c r="T111" s="133">
        <v>4122</v>
      </c>
      <c r="U111" s="235">
        <f t="shared" si="129"/>
        <v>4122</v>
      </c>
      <c r="V111" s="137">
        <v>6</v>
      </c>
      <c r="W111" s="131">
        <f t="shared" si="146"/>
        <v>9071</v>
      </c>
      <c r="X111" s="131">
        <f t="shared" si="147"/>
        <v>1511.8333333333333</v>
      </c>
      <c r="Y111" s="133">
        <v>9071</v>
      </c>
      <c r="Z111" s="133"/>
      <c r="AA111" s="133"/>
      <c r="AB111" s="133"/>
      <c r="AC111" s="133"/>
      <c r="AD111" s="133">
        <v>8175</v>
      </c>
      <c r="AE111" s="235">
        <f t="shared" si="130"/>
        <v>8175</v>
      </c>
      <c r="AF111" s="137">
        <v>9</v>
      </c>
      <c r="AG111" s="131">
        <f t="shared" si="131"/>
        <v>6524</v>
      </c>
      <c r="AH111" s="131">
        <f t="shared" si="132"/>
        <v>724.88888888888891</v>
      </c>
      <c r="AI111" s="133">
        <v>6524</v>
      </c>
      <c r="AJ111" s="133"/>
      <c r="AK111" s="133"/>
      <c r="AL111" s="133"/>
      <c r="AM111" s="133"/>
      <c r="AN111" s="133">
        <v>3453</v>
      </c>
      <c r="AO111" s="235">
        <f t="shared" si="133"/>
        <v>3453</v>
      </c>
      <c r="AP111" s="137">
        <v>39</v>
      </c>
      <c r="AQ111" s="131">
        <f t="shared" si="134"/>
        <v>23723.75</v>
      </c>
      <c r="AR111" s="131">
        <f t="shared" si="135"/>
        <v>608.3012820512821</v>
      </c>
      <c r="AS111" s="133">
        <v>23723.75</v>
      </c>
      <c r="AT111" s="133"/>
      <c r="AU111" s="133"/>
      <c r="AV111" s="133"/>
      <c r="AW111" s="133"/>
      <c r="AX111" s="133">
        <v>13088.75</v>
      </c>
      <c r="AY111" s="235">
        <f t="shared" si="136"/>
        <v>13088.75</v>
      </c>
      <c r="AZ111" s="137">
        <v>5</v>
      </c>
      <c r="BA111" s="131">
        <f t="shared" si="137"/>
        <v>4279</v>
      </c>
      <c r="BB111" s="131">
        <f t="shared" si="138"/>
        <v>855.8</v>
      </c>
      <c r="BC111" s="133">
        <v>4279</v>
      </c>
      <c r="BD111" s="133"/>
      <c r="BE111" s="133"/>
      <c r="BF111" s="133"/>
      <c r="BG111" s="133"/>
      <c r="BH111" s="133">
        <v>672</v>
      </c>
      <c r="BI111" s="235">
        <f t="shared" si="139"/>
        <v>672</v>
      </c>
      <c r="BJ111" s="137">
        <v>9</v>
      </c>
      <c r="BK111" s="131">
        <f t="shared" si="140"/>
        <v>14663</v>
      </c>
      <c r="BL111" s="131">
        <f t="shared" si="141"/>
        <v>1629.2222222222222</v>
      </c>
      <c r="BM111" s="133">
        <v>14663</v>
      </c>
      <c r="BN111" s="133"/>
      <c r="BO111" s="133"/>
      <c r="BP111" s="133"/>
      <c r="BQ111" s="133"/>
      <c r="BR111" s="133">
        <v>5904</v>
      </c>
      <c r="BS111" s="235">
        <f t="shared" si="142"/>
        <v>5904</v>
      </c>
      <c r="BT111" s="324">
        <v>14</v>
      </c>
      <c r="BU111" s="131">
        <f t="shared" si="143"/>
        <v>21424</v>
      </c>
      <c r="BV111" s="131">
        <f t="shared" si="144"/>
        <v>1530.2857142857142</v>
      </c>
      <c r="BW111" s="325">
        <v>21424</v>
      </c>
      <c r="BX111" s="325"/>
      <c r="BY111" s="325"/>
      <c r="BZ111" s="325"/>
      <c r="CA111" s="325"/>
      <c r="CB111" s="325">
        <v>3388</v>
      </c>
      <c r="CC111" s="357">
        <f t="shared" si="145"/>
        <v>3388</v>
      </c>
    </row>
    <row r="112" spans="1:81" s="77" customFormat="1" ht="15.95" customHeight="1">
      <c r="A112" s="287" t="s">
        <v>96</v>
      </c>
      <c r="B112" s="137">
        <v>6</v>
      </c>
      <c r="C112" s="131">
        <f t="shared" si="148"/>
        <v>6600</v>
      </c>
      <c r="D112" s="131">
        <f t="shared" si="149"/>
        <v>1100</v>
      </c>
      <c r="E112" s="133"/>
      <c r="F112" s="133"/>
      <c r="G112" s="133"/>
      <c r="H112" s="133"/>
      <c r="I112" s="133">
        <v>6600</v>
      </c>
      <c r="J112" s="133">
        <v>3600</v>
      </c>
      <c r="K112" s="235">
        <f t="shared" si="126"/>
        <v>0</v>
      </c>
      <c r="L112" s="137">
        <v>11</v>
      </c>
      <c r="M112" s="131">
        <f t="shared" si="127"/>
        <v>6246</v>
      </c>
      <c r="N112" s="131">
        <f t="shared" si="128"/>
        <v>567.81818181818187</v>
      </c>
      <c r="O112" s="133"/>
      <c r="P112" s="133"/>
      <c r="Q112" s="133"/>
      <c r="R112" s="133"/>
      <c r="S112" s="133">
        <v>6246</v>
      </c>
      <c r="T112" s="133">
        <v>3296</v>
      </c>
      <c r="U112" s="235">
        <f t="shared" si="129"/>
        <v>0</v>
      </c>
      <c r="V112" s="137">
        <v>12</v>
      </c>
      <c r="W112" s="131">
        <f t="shared" si="146"/>
        <v>6800</v>
      </c>
      <c r="X112" s="131">
        <f t="shared" si="147"/>
        <v>566.66666666666663</v>
      </c>
      <c r="Y112" s="133"/>
      <c r="Z112" s="133"/>
      <c r="AA112" s="133"/>
      <c r="AB112" s="133"/>
      <c r="AC112" s="133">
        <v>6800</v>
      </c>
      <c r="AD112" s="133">
        <v>4800</v>
      </c>
      <c r="AE112" s="235">
        <f t="shared" si="130"/>
        <v>0</v>
      </c>
      <c r="AF112" s="137">
        <v>66</v>
      </c>
      <c r="AG112" s="131">
        <f t="shared" si="131"/>
        <v>80036</v>
      </c>
      <c r="AH112" s="131">
        <f t="shared" si="132"/>
        <v>1212.6666666666667</v>
      </c>
      <c r="AI112" s="133"/>
      <c r="AJ112" s="133"/>
      <c r="AK112" s="133"/>
      <c r="AL112" s="133"/>
      <c r="AM112" s="133">
        <v>80036</v>
      </c>
      <c r="AN112" s="133">
        <v>17455</v>
      </c>
      <c r="AO112" s="235">
        <f t="shared" si="133"/>
        <v>0</v>
      </c>
      <c r="AP112" s="137">
        <v>49</v>
      </c>
      <c r="AQ112" s="131">
        <f t="shared" si="134"/>
        <v>70012.070000000007</v>
      </c>
      <c r="AR112" s="131">
        <f t="shared" si="135"/>
        <v>1428.817755102041</v>
      </c>
      <c r="AS112" s="133"/>
      <c r="AT112" s="133"/>
      <c r="AU112" s="133"/>
      <c r="AV112" s="133"/>
      <c r="AW112" s="133">
        <v>70012.070000000007</v>
      </c>
      <c r="AX112" s="133">
        <v>23424.78</v>
      </c>
      <c r="AY112" s="235">
        <f t="shared" si="136"/>
        <v>0</v>
      </c>
      <c r="AZ112" s="137">
        <v>77</v>
      </c>
      <c r="BA112" s="131">
        <f t="shared" si="137"/>
        <v>124278</v>
      </c>
      <c r="BB112" s="131">
        <f t="shared" si="138"/>
        <v>1614</v>
      </c>
      <c r="BC112" s="133"/>
      <c r="BD112" s="133"/>
      <c r="BE112" s="133"/>
      <c r="BF112" s="133"/>
      <c r="BG112" s="133">
        <v>124278</v>
      </c>
      <c r="BH112" s="133">
        <v>27207</v>
      </c>
      <c r="BI112" s="235">
        <f t="shared" si="139"/>
        <v>0</v>
      </c>
      <c r="BJ112" s="137">
        <v>79</v>
      </c>
      <c r="BK112" s="131">
        <f t="shared" si="140"/>
        <v>151684</v>
      </c>
      <c r="BL112" s="131">
        <f t="shared" si="141"/>
        <v>1920.0506329113923</v>
      </c>
      <c r="BM112" s="133"/>
      <c r="BN112" s="133"/>
      <c r="BO112" s="133"/>
      <c r="BP112" s="133"/>
      <c r="BQ112" s="133">
        <v>151684</v>
      </c>
      <c r="BR112" s="133">
        <v>21304</v>
      </c>
      <c r="BS112" s="235">
        <f t="shared" si="142"/>
        <v>0</v>
      </c>
      <c r="BT112" s="324">
        <v>139</v>
      </c>
      <c r="BU112" s="131">
        <f t="shared" si="143"/>
        <v>283219.15000000002</v>
      </c>
      <c r="BV112" s="131">
        <f t="shared" si="144"/>
        <v>2037.5478417266188</v>
      </c>
      <c r="BW112" s="325"/>
      <c r="BX112" s="325"/>
      <c r="BY112" s="325"/>
      <c r="BZ112" s="325"/>
      <c r="CA112" s="325">
        <v>283219.15000000002</v>
      </c>
      <c r="CB112" s="325">
        <v>61358.15</v>
      </c>
      <c r="CC112" s="357">
        <f t="shared" si="145"/>
        <v>0</v>
      </c>
    </row>
    <row r="113" spans="1:81" s="77" customFormat="1" ht="15.95" customHeight="1">
      <c r="A113" s="287" t="s">
        <v>97</v>
      </c>
      <c r="B113" s="137">
        <v>31</v>
      </c>
      <c r="C113" s="131">
        <f t="shared" si="148"/>
        <v>82614</v>
      </c>
      <c r="D113" s="131">
        <f t="shared" si="149"/>
        <v>2664.9677419354839</v>
      </c>
      <c r="E113" s="133">
        <v>82614</v>
      </c>
      <c r="F113" s="133"/>
      <c r="G113" s="133"/>
      <c r="H113" s="133"/>
      <c r="I113" s="133"/>
      <c r="J113" s="133">
        <v>82614</v>
      </c>
      <c r="K113" s="235">
        <f t="shared" si="126"/>
        <v>82614</v>
      </c>
      <c r="L113" s="137">
        <v>18</v>
      </c>
      <c r="M113" s="131">
        <f t="shared" si="127"/>
        <v>59376</v>
      </c>
      <c r="N113" s="131">
        <f t="shared" si="128"/>
        <v>3298.6666666666665</v>
      </c>
      <c r="O113" s="133">
        <v>59376</v>
      </c>
      <c r="P113" s="133"/>
      <c r="Q113" s="133"/>
      <c r="R113" s="133"/>
      <c r="S113" s="133"/>
      <c r="T113" s="133">
        <v>59376</v>
      </c>
      <c r="U113" s="235">
        <f t="shared" si="129"/>
        <v>59376</v>
      </c>
      <c r="V113" s="137">
        <v>18</v>
      </c>
      <c r="W113" s="131">
        <f t="shared" si="146"/>
        <v>47724</v>
      </c>
      <c r="X113" s="131">
        <f t="shared" si="147"/>
        <v>2651.3333333333335</v>
      </c>
      <c r="Y113" s="133">
        <v>47724</v>
      </c>
      <c r="Z113" s="133"/>
      <c r="AA113" s="133"/>
      <c r="AB113" s="133"/>
      <c r="AC113" s="133"/>
      <c r="AD113" s="133">
        <v>47724</v>
      </c>
      <c r="AE113" s="235">
        <f t="shared" si="130"/>
        <v>47724</v>
      </c>
      <c r="AF113" s="137">
        <v>11</v>
      </c>
      <c r="AG113" s="131">
        <f t="shared" si="131"/>
        <v>36615</v>
      </c>
      <c r="AH113" s="131">
        <f t="shared" si="132"/>
        <v>3328.6363636363635</v>
      </c>
      <c r="AI113" s="133">
        <v>36615</v>
      </c>
      <c r="AJ113" s="133"/>
      <c r="AK113" s="133"/>
      <c r="AL113" s="133"/>
      <c r="AM113" s="133"/>
      <c r="AN113" s="133">
        <v>36615</v>
      </c>
      <c r="AO113" s="235">
        <f t="shared" si="133"/>
        <v>36615</v>
      </c>
      <c r="AP113" s="137">
        <v>10</v>
      </c>
      <c r="AQ113" s="131">
        <f t="shared" si="134"/>
        <v>33369</v>
      </c>
      <c r="AR113" s="131">
        <f t="shared" si="135"/>
        <v>3336.9</v>
      </c>
      <c r="AS113" s="133">
        <v>33369</v>
      </c>
      <c r="AT113" s="133"/>
      <c r="AU113" s="133"/>
      <c r="AV113" s="133"/>
      <c r="AW113" s="133"/>
      <c r="AX113" s="133">
        <v>33369</v>
      </c>
      <c r="AY113" s="235">
        <f t="shared" si="136"/>
        <v>33369</v>
      </c>
      <c r="AZ113" s="137">
        <v>11</v>
      </c>
      <c r="BA113" s="131">
        <f t="shared" si="137"/>
        <v>36968</v>
      </c>
      <c r="BB113" s="131">
        <f t="shared" si="138"/>
        <v>3360.7272727272725</v>
      </c>
      <c r="BC113" s="133">
        <v>36968</v>
      </c>
      <c r="BD113" s="133"/>
      <c r="BE113" s="133"/>
      <c r="BF113" s="133"/>
      <c r="BG113" s="133"/>
      <c r="BH113" s="133">
        <v>36968</v>
      </c>
      <c r="BI113" s="235">
        <f t="shared" si="139"/>
        <v>36968</v>
      </c>
      <c r="BJ113" s="137">
        <v>10</v>
      </c>
      <c r="BK113" s="131">
        <f t="shared" si="140"/>
        <v>29295</v>
      </c>
      <c r="BL113" s="131">
        <f t="shared" si="141"/>
        <v>2929.5</v>
      </c>
      <c r="BM113" s="133">
        <v>29295</v>
      </c>
      <c r="BN113" s="133"/>
      <c r="BO113" s="133"/>
      <c r="BP113" s="133"/>
      <c r="BQ113" s="133"/>
      <c r="BR113" s="133">
        <v>29295</v>
      </c>
      <c r="BS113" s="235">
        <f t="shared" si="142"/>
        <v>29295</v>
      </c>
      <c r="BT113" s="324">
        <v>10</v>
      </c>
      <c r="BU113" s="131">
        <f t="shared" si="143"/>
        <v>34875</v>
      </c>
      <c r="BV113" s="131">
        <f t="shared" si="144"/>
        <v>3487.5</v>
      </c>
      <c r="BW113" s="325">
        <v>34875</v>
      </c>
      <c r="BX113" s="325"/>
      <c r="BY113" s="325"/>
      <c r="BZ113" s="325"/>
      <c r="CA113" s="325"/>
      <c r="CB113" s="325">
        <v>34875</v>
      </c>
      <c r="CC113" s="357">
        <f t="shared" si="145"/>
        <v>34875</v>
      </c>
    </row>
    <row r="114" spans="1:81" s="77" customFormat="1" ht="15.95" customHeight="1">
      <c r="A114" s="287" t="s">
        <v>98</v>
      </c>
      <c r="B114" s="137">
        <f>111+55+83+58</f>
        <v>307</v>
      </c>
      <c r="C114" s="131">
        <f t="shared" si="148"/>
        <v>676196</v>
      </c>
      <c r="D114" s="131">
        <f t="shared" si="149"/>
        <v>2202.5928338762214</v>
      </c>
      <c r="E114" s="133">
        <v>294846</v>
      </c>
      <c r="F114" s="133">
        <v>314120</v>
      </c>
      <c r="G114" s="133"/>
      <c r="H114" s="133"/>
      <c r="I114" s="133">
        <v>67230</v>
      </c>
      <c r="J114" s="133">
        <f>129466+8278</f>
        <v>137744</v>
      </c>
      <c r="K114" s="235">
        <f t="shared" si="126"/>
        <v>137744</v>
      </c>
      <c r="L114" s="137">
        <v>277</v>
      </c>
      <c r="M114" s="131">
        <f t="shared" si="127"/>
        <v>674592</v>
      </c>
      <c r="N114" s="131">
        <f t="shared" si="128"/>
        <v>2435.3501805054152</v>
      </c>
      <c r="O114" s="133">
        <v>307871</v>
      </c>
      <c r="P114" s="133">
        <v>292707</v>
      </c>
      <c r="Q114" s="133"/>
      <c r="R114" s="133"/>
      <c r="S114" s="133">
        <v>74014</v>
      </c>
      <c r="T114" s="133">
        <v>131499</v>
      </c>
      <c r="U114" s="235">
        <f t="shared" si="129"/>
        <v>131499</v>
      </c>
      <c r="V114" s="137">
        <v>189</v>
      </c>
      <c r="W114" s="131">
        <f t="shared" si="146"/>
        <v>768059</v>
      </c>
      <c r="X114" s="131">
        <f t="shared" si="147"/>
        <v>4063.8042328042329</v>
      </c>
      <c r="Y114" s="133">
        <v>356274</v>
      </c>
      <c r="Z114" s="133">
        <v>350064</v>
      </c>
      <c r="AA114" s="133"/>
      <c r="AB114" s="133"/>
      <c r="AC114" s="133">
        <v>61721</v>
      </c>
      <c r="AD114" s="133">
        <v>174146</v>
      </c>
      <c r="AE114" s="235">
        <f t="shared" si="130"/>
        <v>174146</v>
      </c>
      <c r="AF114" s="137">
        <v>167</v>
      </c>
      <c r="AG114" s="131">
        <f t="shared" si="131"/>
        <v>772212</v>
      </c>
      <c r="AH114" s="131">
        <f t="shared" si="132"/>
        <v>4624.0239520958085</v>
      </c>
      <c r="AI114" s="133">
        <v>343626</v>
      </c>
      <c r="AJ114" s="133">
        <v>428586</v>
      </c>
      <c r="AK114" s="133"/>
      <c r="AL114" s="133"/>
      <c r="AM114" s="133"/>
      <c r="AN114" s="133">
        <v>145982</v>
      </c>
      <c r="AO114" s="235">
        <f t="shared" si="133"/>
        <v>145982</v>
      </c>
      <c r="AP114" s="137">
        <v>170</v>
      </c>
      <c r="AQ114" s="131">
        <f t="shared" si="134"/>
        <v>696701.17999999993</v>
      </c>
      <c r="AR114" s="131">
        <f t="shared" si="135"/>
        <v>4098.2422352941176</v>
      </c>
      <c r="AS114" s="133">
        <v>356270.64</v>
      </c>
      <c r="AT114" s="133">
        <v>340430.54</v>
      </c>
      <c r="AU114" s="133"/>
      <c r="AV114" s="133"/>
      <c r="AW114" s="133"/>
      <c r="AX114" s="133">
        <v>137523.23000000001</v>
      </c>
      <c r="AY114" s="235">
        <f t="shared" si="136"/>
        <v>137523.23000000001</v>
      </c>
      <c r="AZ114" s="137">
        <v>179</v>
      </c>
      <c r="BA114" s="131">
        <f t="shared" si="137"/>
        <v>814742</v>
      </c>
      <c r="BB114" s="131">
        <f t="shared" si="138"/>
        <v>4551.6312849162014</v>
      </c>
      <c r="BC114" s="133">
        <v>360919</v>
      </c>
      <c r="BD114" s="133">
        <v>453823</v>
      </c>
      <c r="BE114" s="133"/>
      <c r="BF114" s="133"/>
      <c r="BG114" s="133"/>
      <c r="BH114" s="133">
        <v>140595</v>
      </c>
      <c r="BI114" s="235">
        <f t="shared" si="139"/>
        <v>140595</v>
      </c>
      <c r="BJ114" s="137">
        <v>170</v>
      </c>
      <c r="BK114" s="131">
        <f t="shared" si="140"/>
        <v>858095</v>
      </c>
      <c r="BL114" s="131">
        <f t="shared" si="141"/>
        <v>5047.6176470588234</v>
      </c>
      <c r="BM114" s="133">
        <v>414421</v>
      </c>
      <c r="BN114" s="133">
        <v>443674</v>
      </c>
      <c r="BO114" s="133"/>
      <c r="BP114" s="133"/>
      <c r="BQ114" s="133"/>
      <c r="BR114" s="133">
        <v>147026</v>
      </c>
      <c r="BS114" s="235">
        <f t="shared" si="142"/>
        <v>147026</v>
      </c>
      <c r="BT114" s="324">
        <v>165</v>
      </c>
      <c r="BU114" s="131">
        <f t="shared" si="143"/>
        <v>791685.09000000008</v>
      </c>
      <c r="BV114" s="131">
        <f t="shared" si="144"/>
        <v>4798.0914545454552</v>
      </c>
      <c r="BW114" s="325">
        <v>341918.13</v>
      </c>
      <c r="BX114" s="325">
        <v>449766.96</v>
      </c>
      <c r="BY114" s="325"/>
      <c r="BZ114" s="325"/>
      <c r="CA114" s="325"/>
      <c r="CB114" s="325">
        <v>98920.5</v>
      </c>
      <c r="CC114" s="357">
        <f t="shared" si="145"/>
        <v>98920.5</v>
      </c>
    </row>
    <row r="115" spans="1:81" s="77" customFormat="1" ht="15.95" customHeight="1">
      <c r="A115" s="287" t="s">
        <v>99</v>
      </c>
      <c r="B115" s="137">
        <v>17</v>
      </c>
      <c r="C115" s="131">
        <f t="shared" si="148"/>
        <v>51064</v>
      </c>
      <c r="D115" s="131">
        <f t="shared" si="149"/>
        <v>3003.7647058823532</v>
      </c>
      <c r="E115" s="133">
        <v>51064</v>
      </c>
      <c r="F115" s="133"/>
      <c r="G115" s="133"/>
      <c r="H115" s="133"/>
      <c r="I115" s="133"/>
      <c r="J115" s="133"/>
      <c r="K115" s="235">
        <f t="shared" si="126"/>
        <v>0</v>
      </c>
      <c r="L115" s="137">
        <v>32</v>
      </c>
      <c r="M115" s="131">
        <f t="shared" si="127"/>
        <v>99400</v>
      </c>
      <c r="N115" s="131">
        <f t="shared" si="128"/>
        <v>3106.25</v>
      </c>
      <c r="O115" s="133">
        <v>99400</v>
      </c>
      <c r="P115" s="133"/>
      <c r="Q115" s="133"/>
      <c r="R115" s="133"/>
      <c r="S115" s="133"/>
      <c r="T115" s="133"/>
      <c r="U115" s="235">
        <f t="shared" si="129"/>
        <v>0</v>
      </c>
      <c r="V115" s="137">
        <v>6</v>
      </c>
      <c r="W115" s="131">
        <f t="shared" si="146"/>
        <v>23220</v>
      </c>
      <c r="X115" s="131">
        <f t="shared" si="147"/>
        <v>3870</v>
      </c>
      <c r="Y115" s="133">
        <v>23220</v>
      </c>
      <c r="Z115" s="133"/>
      <c r="AA115" s="133"/>
      <c r="AB115" s="133"/>
      <c r="AC115" s="133"/>
      <c r="AD115" s="133"/>
      <c r="AE115" s="235">
        <f t="shared" si="130"/>
        <v>0</v>
      </c>
      <c r="AF115" s="137">
        <v>9</v>
      </c>
      <c r="AG115" s="131">
        <f t="shared" si="131"/>
        <v>37170</v>
      </c>
      <c r="AH115" s="131">
        <f t="shared" si="132"/>
        <v>4130</v>
      </c>
      <c r="AI115" s="133">
        <v>37170</v>
      </c>
      <c r="AJ115" s="133"/>
      <c r="AK115" s="133"/>
      <c r="AL115" s="133"/>
      <c r="AM115" s="133"/>
      <c r="AN115" s="133"/>
      <c r="AO115" s="235">
        <f t="shared" si="133"/>
        <v>0</v>
      </c>
      <c r="AP115" s="137">
        <v>10</v>
      </c>
      <c r="AQ115" s="131">
        <f t="shared" si="134"/>
        <v>33596</v>
      </c>
      <c r="AR115" s="131">
        <f t="shared" si="135"/>
        <v>3359.6</v>
      </c>
      <c r="AS115" s="133">
        <v>33596</v>
      </c>
      <c r="AT115" s="133"/>
      <c r="AU115" s="133"/>
      <c r="AV115" s="133"/>
      <c r="AW115" s="133"/>
      <c r="AX115" s="133"/>
      <c r="AY115" s="235">
        <f t="shared" si="136"/>
        <v>0</v>
      </c>
      <c r="AZ115" s="137">
        <v>10</v>
      </c>
      <c r="BA115" s="131">
        <f t="shared" si="137"/>
        <v>33678</v>
      </c>
      <c r="BB115" s="131">
        <f t="shared" si="138"/>
        <v>3367.8</v>
      </c>
      <c r="BC115" s="133">
        <v>33678</v>
      </c>
      <c r="BD115" s="133"/>
      <c r="BE115" s="133"/>
      <c r="BF115" s="133"/>
      <c r="BG115" s="133"/>
      <c r="BH115" s="133"/>
      <c r="BI115" s="235">
        <f t="shared" si="139"/>
        <v>0</v>
      </c>
      <c r="BJ115" s="137">
        <v>10</v>
      </c>
      <c r="BK115" s="131">
        <f t="shared" si="140"/>
        <v>27203</v>
      </c>
      <c r="BL115" s="131">
        <f t="shared" si="141"/>
        <v>2720.3</v>
      </c>
      <c r="BM115" s="133">
        <v>27203</v>
      </c>
      <c r="BN115" s="133"/>
      <c r="BO115" s="133"/>
      <c r="BP115" s="133"/>
      <c r="BQ115" s="133"/>
      <c r="BR115" s="133"/>
      <c r="BS115" s="235">
        <f t="shared" si="142"/>
        <v>0</v>
      </c>
      <c r="BT115" s="324">
        <v>6</v>
      </c>
      <c r="BU115" s="131">
        <f t="shared" si="143"/>
        <v>24970.5</v>
      </c>
      <c r="BV115" s="131">
        <f t="shared" si="144"/>
        <v>4161.75</v>
      </c>
      <c r="BW115" s="325">
        <v>24970.5</v>
      </c>
      <c r="BX115" s="325"/>
      <c r="BY115" s="325"/>
      <c r="BZ115" s="325"/>
      <c r="CA115" s="325"/>
      <c r="CB115" s="325"/>
      <c r="CC115" s="357">
        <f t="shared" si="145"/>
        <v>0</v>
      </c>
    </row>
    <row r="116" spans="1:81" s="77" customFormat="1" ht="15.95" customHeight="1">
      <c r="A116" s="287" t="s">
        <v>100</v>
      </c>
      <c r="B116" s="137">
        <v>13</v>
      </c>
      <c r="C116" s="131">
        <f t="shared" si="148"/>
        <v>7519</v>
      </c>
      <c r="D116" s="131">
        <f t="shared" si="149"/>
        <v>578.38461538461536</v>
      </c>
      <c r="E116" s="133">
        <v>7519</v>
      </c>
      <c r="F116" s="133"/>
      <c r="G116" s="133"/>
      <c r="H116" s="133"/>
      <c r="I116" s="133"/>
      <c r="J116" s="133">
        <v>7519</v>
      </c>
      <c r="K116" s="235">
        <f t="shared" si="126"/>
        <v>7519</v>
      </c>
      <c r="L116" s="137">
        <v>28</v>
      </c>
      <c r="M116" s="131">
        <f t="shared" si="127"/>
        <v>15737</v>
      </c>
      <c r="N116" s="131">
        <f t="shared" si="128"/>
        <v>562.03571428571433</v>
      </c>
      <c r="O116" s="133">
        <v>15737</v>
      </c>
      <c r="P116" s="133"/>
      <c r="Q116" s="133"/>
      <c r="R116" s="133"/>
      <c r="S116" s="133"/>
      <c r="T116" s="133">
        <v>15737</v>
      </c>
      <c r="U116" s="235">
        <f t="shared" si="129"/>
        <v>15737</v>
      </c>
      <c r="V116" s="137">
        <v>25</v>
      </c>
      <c r="W116" s="131">
        <f t="shared" si="146"/>
        <v>13459</v>
      </c>
      <c r="X116" s="131">
        <f t="shared" si="147"/>
        <v>538.36</v>
      </c>
      <c r="Y116" s="133">
        <v>13459</v>
      </c>
      <c r="Z116" s="133"/>
      <c r="AA116" s="133"/>
      <c r="AB116" s="133"/>
      <c r="AC116" s="133"/>
      <c r="AD116" s="133">
        <v>13459</v>
      </c>
      <c r="AE116" s="235">
        <f t="shared" si="130"/>
        <v>13459</v>
      </c>
      <c r="AF116" s="137">
        <v>6</v>
      </c>
      <c r="AG116" s="131">
        <f t="shared" si="131"/>
        <v>8186</v>
      </c>
      <c r="AH116" s="131">
        <f t="shared" si="132"/>
        <v>1364.3333333333333</v>
      </c>
      <c r="AI116" s="133">
        <v>8186</v>
      </c>
      <c r="AJ116" s="133"/>
      <c r="AK116" s="133"/>
      <c r="AL116" s="133"/>
      <c r="AM116" s="133"/>
      <c r="AN116" s="133">
        <v>8186</v>
      </c>
      <c r="AO116" s="235">
        <f t="shared" si="133"/>
        <v>8186</v>
      </c>
      <c r="AP116" s="137">
        <v>13</v>
      </c>
      <c r="AQ116" s="131">
        <f t="shared" si="134"/>
        <v>12029.5</v>
      </c>
      <c r="AR116" s="131">
        <f t="shared" si="135"/>
        <v>925.34615384615381</v>
      </c>
      <c r="AS116" s="133">
        <v>12029.5</v>
      </c>
      <c r="AT116" s="133"/>
      <c r="AU116" s="133"/>
      <c r="AV116" s="133"/>
      <c r="AW116" s="133"/>
      <c r="AX116" s="133">
        <v>12029.5</v>
      </c>
      <c r="AY116" s="235">
        <f t="shared" si="136"/>
        <v>12029.5</v>
      </c>
      <c r="AZ116" s="137">
        <v>11</v>
      </c>
      <c r="BA116" s="131">
        <f t="shared" si="137"/>
        <v>11997</v>
      </c>
      <c r="BB116" s="131">
        <f t="shared" si="138"/>
        <v>1090.6363636363637</v>
      </c>
      <c r="BC116" s="133">
        <v>11997</v>
      </c>
      <c r="BD116" s="133"/>
      <c r="BE116" s="133"/>
      <c r="BF116" s="133"/>
      <c r="BG116" s="133"/>
      <c r="BH116" s="133">
        <v>11997</v>
      </c>
      <c r="BI116" s="235">
        <f t="shared" si="139"/>
        <v>11997</v>
      </c>
      <c r="BJ116" s="137">
        <v>9</v>
      </c>
      <c r="BK116" s="131">
        <f t="shared" si="140"/>
        <v>7533</v>
      </c>
      <c r="BL116" s="131">
        <f t="shared" si="141"/>
        <v>837</v>
      </c>
      <c r="BM116" s="133">
        <v>7533</v>
      </c>
      <c r="BN116" s="133"/>
      <c r="BO116" s="133"/>
      <c r="BP116" s="133"/>
      <c r="BQ116" s="133"/>
      <c r="BR116" s="133">
        <v>7533</v>
      </c>
      <c r="BS116" s="235">
        <f t="shared" si="142"/>
        <v>7533</v>
      </c>
      <c r="BT116" s="324">
        <v>7</v>
      </c>
      <c r="BU116" s="131">
        <f t="shared" si="143"/>
        <v>8323.5</v>
      </c>
      <c r="BV116" s="131">
        <f t="shared" si="144"/>
        <v>1189.0714285714287</v>
      </c>
      <c r="BW116" s="325">
        <v>8323.5</v>
      </c>
      <c r="BX116" s="325"/>
      <c r="BY116" s="325"/>
      <c r="BZ116" s="325"/>
      <c r="CA116" s="325"/>
      <c r="CB116" s="325">
        <v>8137.5</v>
      </c>
      <c r="CC116" s="357">
        <f t="shared" si="145"/>
        <v>8137.5</v>
      </c>
    </row>
    <row r="117" spans="1:81" s="77" customFormat="1" ht="15.95" customHeight="1">
      <c r="A117" s="287" t="s">
        <v>101</v>
      </c>
      <c r="B117" s="137">
        <v>110</v>
      </c>
      <c r="C117" s="131">
        <f t="shared" si="148"/>
        <v>258512</v>
      </c>
      <c r="D117" s="131">
        <f t="shared" si="149"/>
        <v>2350.1090909090908</v>
      </c>
      <c r="E117" s="133"/>
      <c r="F117" s="133">
        <f>203337+55175</f>
        <v>258512</v>
      </c>
      <c r="G117" s="133"/>
      <c r="H117" s="133"/>
      <c r="I117" s="133"/>
      <c r="J117" s="133">
        <v>63646</v>
      </c>
      <c r="K117" s="235">
        <f t="shared" si="126"/>
        <v>0</v>
      </c>
      <c r="L117" s="137">
        <v>107</v>
      </c>
      <c r="M117" s="131">
        <f t="shared" si="127"/>
        <v>279867</v>
      </c>
      <c r="N117" s="131">
        <f t="shared" si="128"/>
        <v>2615.5794392523367</v>
      </c>
      <c r="O117" s="133"/>
      <c r="P117" s="133">
        <v>279867</v>
      </c>
      <c r="Q117" s="133"/>
      <c r="R117" s="133"/>
      <c r="S117" s="133"/>
      <c r="T117" s="133">
        <v>148612</v>
      </c>
      <c r="U117" s="235">
        <f t="shared" si="129"/>
        <v>0</v>
      </c>
      <c r="V117" s="137">
        <v>55</v>
      </c>
      <c r="W117" s="131">
        <f t="shared" si="146"/>
        <v>289394</v>
      </c>
      <c r="X117" s="131">
        <f t="shared" si="147"/>
        <v>5261.7090909090912</v>
      </c>
      <c r="Y117" s="133"/>
      <c r="Z117" s="133">
        <v>289394</v>
      </c>
      <c r="AA117" s="133"/>
      <c r="AB117" s="133"/>
      <c r="AC117" s="133"/>
      <c r="AD117" s="133">
        <v>154724</v>
      </c>
      <c r="AE117" s="235">
        <f t="shared" si="130"/>
        <v>0</v>
      </c>
      <c r="AF117" s="137">
        <v>48</v>
      </c>
      <c r="AG117" s="131">
        <f t="shared" si="131"/>
        <v>281034</v>
      </c>
      <c r="AH117" s="131">
        <f t="shared" si="132"/>
        <v>5854.875</v>
      </c>
      <c r="AI117" s="133"/>
      <c r="AJ117" s="133">
        <v>281034</v>
      </c>
      <c r="AK117" s="133"/>
      <c r="AL117" s="133"/>
      <c r="AM117" s="133"/>
      <c r="AN117" s="133">
        <v>156291</v>
      </c>
      <c r="AO117" s="235">
        <f t="shared" si="133"/>
        <v>0</v>
      </c>
      <c r="AP117" s="137">
        <v>49</v>
      </c>
      <c r="AQ117" s="131">
        <f t="shared" si="134"/>
        <v>278665.96999999997</v>
      </c>
      <c r="AR117" s="131">
        <f t="shared" si="135"/>
        <v>5687.0606122448971</v>
      </c>
      <c r="AS117" s="133"/>
      <c r="AT117" s="133">
        <v>278665.96999999997</v>
      </c>
      <c r="AU117" s="133"/>
      <c r="AV117" s="133"/>
      <c r="AW117" s="133"/>
      <c r="AX117" s="133">
        <v>174628.19</v>
      </c>
      <c r="AY117" s="235">
        <f t="shared" si="136"/>
        <v>0</v>
      </c>
      <c r="AZ117" s="137">
        <v>49</v>
      </c>
      <c r="BA117" s="131">
        <f t="shared" si="137"/>
        <v>298955</v>
      </c>
      <c r="BB117" s="131">
        <f t="shared" si="138"/>
        <v>6101.1224489795923</v>
      </c>
      <c r="BC117" s="133"/>
      <c r="BD117" s="133">
        <v>298955</v>
      </c>
      <c r="BE117" s="133"/>
      <c r="BF117" s="133"/>
      <c r="BG117" s="133"/>
      <c r="BH117" s="133">
        <v>164655</v>
      </c>
      <c r="BI117" s="235">
        <f t="shared" si="139"/>
        <v>0</v>
      </c>
      <c r="BJ117" s="137">
        <v>53</v>
      </c>
      <c r="BK117" s="131">
        <f t="shared" si="140"/>
        <v>294685</v>
      </c>
      <c r="BL117" s="131">
        <f t="shared" si="141"/>
        <v>5560.0943396226412</v>
      </c>
      <c r="BM117" s="133"/>
      <c r="BN117" s="133">
        <v>294685</v>
      </c>
      <c r="BO117" s="133"/>
      <c r="BP117" s="133"/>
      <c r="BQ117" s="133"/>
      <c r="BR117" s="133">
        <v>192540</v>
      </c>
      <c r="BS117" s="235">
        <f t="shared" si="142"/>
        <v>0</v>
      </c>
      <c r="BT117" s="324">
        <v>56</v>
      </c>
      <c r="BU117" s="131">
        <f t="shared" si="143"/>
        <v>317990</v>
      </c>
      <c r="BV117" s="131">
        <f t="shared" si="144"/>
        <v>5678.3928571428569</v>
      </c>
      <c r="BW117" s="325"/>
      <c r="BX117" s="325">
        <v>317990</v>
      </c>
      <c r="BY117" s="325"/>
      <c r="BZ117" s="325"/>
      <c r="CA117" s="325"/>
      <c r="CB117" s="325">
        <v>179445</v>
      </c>
      <c r="CC117" s="357">
        <f t="shared" si="145"/>
        <v>0</v>
      </c>
    </row>
    <row r="118" spans="1:81" s="77" customFormat="1" ht="15.95" customHeight="1">
      <c r="A118" s="287" t="s">
        <v>102</v>
      </c>
      <c r="B118" s="137">
        <v>95</v>
      </c>
      <c r="C118" s="131">
        <f t="shared" si="148"/>
        <v>124831</v>
      </c>
      <c r="D118" s="131">
        <f t="shared" si="149"/>
        <v>1314.0105263157895</v>
      </c>
      <c r="E118" s="133">
        <v>124831</v>
      </c>
      <c r="F118" s="133"/>
      <c r="G118" s="133"/>
      <c r="H118" s="133"/>
      <c r="I118" s="133"/>
      <c r="J118" s="133">
        <v>78551</v>
      </c>
      <c r="K118" s="235">
        <f t="shared" si="126"/>
        <v>78551</v>
      </c>
      <c r="L118" s="137">
        <v>90</v>
      </c>
      <c r="M118" s="131">
        <f t="shared" si="127"/>
        <v>101076</v>
      </c>
      <c r="N118" s="131">
        <f t="shared" si="128"/>
        <v>1123.0666666666666</v>
      </c>
      <c r="O118" s="133">
        <v>101076</v>
      </c>
      <c r="P118" s="133"/>
      <c r="Q118" s="133"/>
      <c r="R118" s="133"/>
      <c r="S118" s="133"/>
      <c r="T118" s="133">
        <v>50293</v>
      </c>
      <c r="U118" s="235">
        <f t="shared" si="129"/>
        <v>50293</v>
      </c>
      <c r="V118" s="137">
        <v>65</v>
      </c>
      <c r="W118" s="131">
        <f t="shared" si="146"/>
        <v>111135</v>
      </c>
      <c r="X118" s="131">
        <f t="shared" si="147"/>
        <v>1709.7692307692307</v>
      </c>
      <c r="Y118" s="133">
        <v>111135</v>
      </c>
      <c r="Z118" s="133"/>
      <c r="AA118" s="133"/>
      <c r="AB118" s="133"/>
      <c r="AC118" s="133"/>
      <c r="AD118" s="133">
        <v>66194</v>
      </c>
      <c r="AE118" s="235">
        <f t="shared" si="130"/>
        <v>66194</v>
      </c>
      <c r="AF118" s="137">
        <v>70</v>
      </c>
      <c r="AG118" s="131">
        <f t="shared" si="131"/>
        <v>106530</v>
      </c>
      <c r="AH118" s="131">
        <f t="shared" si="132"/>
        <v>1521.8571428571429</v>
      </c>
      <c r="AI118" s="133">
        <v>106530</v>
      </c>
      <c r="AJ118" s="133"/>
      <c r="AK118" s="133"/>
      <c r="AL118" s="133"/>
      <c r="AM118" s="133"/>
      <c r="AN118" s="133">
        <v>61310</v>
      </c>
      <c r="AO118" s="235">
        <f t="shared" si="133"/>
        <v>61310</v>
      </c>
      <c r="AP118" s="137">
        <v>66</v>
      </c>
      <c r="AQ118" s="131">
        <f t="shared" si="134"/>
        <v>118132.8</v>
      </c>
      <c r="AR118" s="131">
        <f t="shared" si="135"/>
        <v>1789.8909090909092</v>
      </c>
      <c r="AS118" s="133">
        <v>118132.8</v>
      </c>
      <c r="AT118" s="133"/>
      <c r="AU118" s="133"/>
      <c r="AV118" s="133"/>
      <c r="AW118" s="133"/>
      <c r="AX118" s="133">
        <v>71574.759999999995</v>
      </c>
      <c r="AY118" s="235">
        <f t="shared" si="136"/>
        <v>71574.759999999995</v>
      </c>
      <c r="AZ118" s="137">
        <v>52</v>
      </c>
      <c r="BA118" s="131">
        <f t="shared" si="137"/>
        <v>73684</v>
      </c>
      <c r="BB118" s="131">
        <f t="shared" si="138"/>
        <v>1417</v>
      </c>
      <c r="BC118" s="133">
        <v>73684</v>
      </c>
      <c r="BD118" s="133"/>
      <c r="BE118" s="133"/>
      <c r="BF118" s="133"/>
      <c r="BG118" s="133"/>
      <c r="BH118" s="133">
        <v>43449</v>
      </c>
      <c r="BI118" s="235">
        <f t="shared" si="139"/>
        <v>43449</v>
      </c>
      <c r="BJ118" s="137">
        <v>45</v>
      </c>
      <c r="BK118" s="131">
        <f t="shared" si="140"/>
        <v>73501</v>
      </c>
      <c r="BL118" s="131">
        <f t="shared" si="141"/>
        <v>1633.3555555555556</v>
      </c>
      <c r="BM118" s="133">
        <v>73501</v>
      </c>
      <c r="BN118" s="133"/>
      <c r="BO118" s="133"/>
      <c r="BP118" s="133"/>
      <c r="BQ118" s="133"/>
      <c r="BR118" s="133">
        <v>34128</v>
      </c>
      <c r="BS118" s="235">
        <f t="shared" si="142"/>
        <v>34128</v>
      </c>
      <c r="BT118" s="324">
        <v>22</v>
      </c>
      <c r="BU118" s="131">
        <f t="shared" si="143"/>
        <v>35655.160000000003</v>
      </c>
      <c r="BV118" s="131">
        <f t="shared" si="144"/>
        <v>1620.689090909091</v>
      </c>
      <c r="BW118" s="325">
        <v>35655.160000000003</v>
      </c>
      <c r="BX118" s="325"/>
      <c r="BY118" s="325"/>
      <c r="BZ118" s="325"/>
      <c r="CA118" s="325"/>
      <c r="CB118" s="325">
        <v>21989</v>
      </c>
      <c r="CC118" s="357">
        <f t="shared" si="145"/>
        <v>21989</v>
      </c>
    </row>
    <row r="119" spans="1:81" s="77" customFormat="1" ht="15.95" customHeight="1">
      <c r="A119" s="287" t="s">
        <v>103</v>
      </c>
      <c r="B119" s="137">
        <v>8</v>
      </c>
      <c r="C119" s="131">
        <f t="shared" si="148"/>
        <v>4590</v>
      </c>
      <c r="D119" s="131">
        <f t="shared" si="149"/>
        <v>573.75</v>
      </c>
      <c r="E119" s="133">
        <v>4590</v>
      </c>
      <c r="F119" s="133"/>
      <c r="G119" s="133"/>
      <c r="H119" s="133"/>
      <c r="I119" s="133"/>
      <c r="J119" s="133">
        <v>4590</v>
      </c>
      <c r="K119" s="235">
        <f t="shared" si="126"/>
        <v>4590</v>
      </c>
      <c r="L119" s="137">
        <v>10</v>
      </c>
      <c r="M119" s="131">
        <f t="shared" si="127"/>
        <v>6000</v>
      </c>
      <c r="N119" s="131">
        <f t="shared" si="128"/>
        <v>600</v>
      </c>
      <c r="O119" s="133">
        <v>6000</v>
      </c>
      <c r="P119" s="133"/>
      <c r="Q119" s="133"/>
      <c r="R119" s="133"/>
      <c r="S119" s="133"/>
      <c r="T119" s="133">
        <v>6000</v>
      </c>
      <c r="U119" s="235">
        <f t="shared" si="129"/>
        <v>6000</v>
      </c>
      <c r="V119" s="137">
        <v>1</v>
      </c>
      <c r="W119" s="131">
        <f t="shared" si="146"/>
        <v>-600</v>
      </c>
      <c r="X119" s="131">
        <f t="shared" si="147"/>
        <v>-600</v>
      </c>
      <c r="Y119" s="133">
        <v>-600</v>
      </c>
      <c r="Z119" s="133"/>
      <c r="AA119" s="133"/>
      <c r="AB119" s="133"/>
      <c r="AC119" s="133"/>
      <c r="AD119" s="133">
        <v>-600</v>
      </c>
      <c r="AE119" s="235">
        <f t="shared" si="130"/>
        <v>-600</v>
      </c>
      <c r="AF119" s="137">
        <v>5</v>
      </c>
      <c r="AG119" s="131">
        <f t="shared" si="131"/>
        <v>750</v>
      </c>
      <c r="AH119" s="131">
        <f t="shared" si="132"/>
        <v>150</v>
      </c>
      <c r="AI119" s="133">
        <v>750</v>
      </c>
      <c r="AJ119" s="133"/>
      <c r="AK119" s="133"/>
      <c r="AL119" s="133"/>
      <c r="AM119" s="133"/>
      <c r="AN119" s="133">
        <v>600</v>
      </c>
      <c r="AO119" s="235">
        <f t="shared" si="133"/>
        <v>600</v>
      </c>
      <c r="AP119" s="137">
        <v>9</v>
      </c>
      <c r="AQ119" s="131">
        <f t="shared" si="134"/>
        <v>1125</v>
      </c>
      <c r="AR119" s="131">
        <f t="shared" si="135"/>
        <v>125</v>
      </c>
      <c r="AS119" s="133">
        <v>1125</v>
      </c>
      <c r="AT119" s="133"/>
      <c r="AU119" s="133"/>
      <c r="AV119" s="133"/>
      <c r="AW119" s="133"/>
      <c r="AX119" s="133">
        <v>375</v>
      </c>
      <c r="AY119" s="235">
        <f t="shared" si="136"/>
        <v>375</v>
      </c>
      <c r="AZ119" s="137"/>
      <c r="BA119" s="131">
        <f t="shared" si="137"/>
        <v>0</v>
      </c>
      <c r="BB119" s="131">
        <f t="shared" si="138"/>
        <v>0</v>
      </c>
      <c r="BC119" s="133"/>
      <c r="BD119" s="133"/>
      <c r="BE119" s="133"/>
      <c r="BF119" s="133"/>
      <c r="BG119" s="133"/>
      <c r="BH119" s="133"/>
      <c r="BI119" s="235">
        <f t="shared" si="139"/>
        <v>0</v>
      </c>
      <c r="BJ119" s="137">
        <v>5</v>
      </c>
      <c r="BK119" s="131">
        <f t="shared" si="140"/>
        <v>375</v>
      </c>
      <c r="BL119" s="131">
        <f t="shared" si="141"/>
        <v>75</v>
      </c>
      <c r="BM119" s="133"/>
      <c r="BN119" s="133">
        <v>375</v>
      </c>
      <c r="BO119" s="133"/>
      <c r="BP119" s="133"/>
      <c r="BQ119" s="133"/>
      <c r="BR119" s="133"/>
      <c r="BS119" s="235">
        <f t="shared" si="142"/>
        <v>0</v>
      </c>
      <c r="BT119" s="324">
        <v>0</v>
      </c>
      <c r="BU119" s="131">
        <f t="shared" si="143"/>
        <v>0</v>
      </c>
      <c r="BV119" s="131">
        <f t="shared" si="144"/>
        <v>0</v>
      </c>
      <c r="BW119" s="325"/>
      <c r="BX119" s="325"/>
      <c r="BY119" s="325"/>
      <c r="BZ119" s="325"/>
      <c r="CA119" s="325"/>
      <c r="CB119" s="325"/>
      <c r="CC119" s="357">
        <f t="shared" si="145"/>
        <v>0</v>
      </c>
    </row>
    <row r="120" spans="1:81" s="77" customFormat="1" ht="15.95" customHeight="1">
      <c r="A120" s="287" t="s">
        <v>104</v>
      </c>
      <c r="B120" s="137">
        <f>51+23+52+62</f>
        <v>188</v>
      </c>
      <c r="C120" s="131">
        <f t="shared" si="148"/>
        <v>419393</v>
      </c>
      <c r="D120" s="131">
        <f t="shared" si="149"/>
        <v>2230.8138297872342</v>
      </c>
      <c r="E120" s="133">
        <v>151638</v>
      </c>
      <c r="F120" s="133">
        <v>194707</v>
      </c>
      <c r="G120" s="133"/>
      <c r="H120" s="133"/>
      <c r="I120" s="133">
        <v>73048</v>
      </c>
      <c r="J120" s="133">
        <f>48356+13191</f>
        <v>61547</v>
      </c>
      <c r="K120" s="235">
        <f t="shared" si="126"/>
        <v>61547</v>
      </c>
      <c r="L120" s="137">
        <v>158</v>
      </c>
      <c r="M120" s="131">
        <f t="shared" si="127"/>
        <v>406182</v>
      </c>
      <c r="N120" s="131">
        <f t="shared" si="128"/>
        <v>2570.7721518987341</v>
      </c>
      <c r="O120" s="133">
        <v>139824</v>
      </c>
      <c r="P120" s="133">
        <v>193639</v>
      </c>
      <c r="Q120" s="133"/>
      <c r="R120" s="133"/>
      <c r="S120" s="133">
        <v>72719</v>
      </c>
      <c r="T120" s="133">
        <v>44029</v>
      </c>
      <c r="U120" s="235">
        <f t="shared" si="129"/>
        <v>44029</v>
      </c>
      <c r="V120" s="137">
        <v>92</v>
      </c>
      <c r="W120" s="131">
        <f t="shared" si="146"/>
        <v>388878</v>
      </c>
      <c r="X120" s="131">
        <f t="shared" si="147"/>
        <v>4226.934782608696</v>
      </c>
      <c r="Y120" s="133">
        <v>145546</v>
      </c>
      <c r="Z120" s="133">
        <v>200516</v>
      </c>
      <c r="AA120" s="133"/>
      <c r="AB120" s="133"/>
      <c r="AC120" s="133">
        <v>42816</v>
      </c>
      <c r="AD120" s="133">
        <v>76987</v>
      </c>
      <c r="AE120" s="235">
        <f t="shared" si="130"/>
        <v>76987</v>
      </c>
      <c r="AF120" s="137">
        <v>75</v>
      </c>
      <c r="AG120" s="131">
        <f t="shared" si="131"/>
        <v>342538</v>
      </c>
      <c r="AH120" s="131">
        <f t="shared" si="132"/>
        <v>4567.1733333333332</v>
      </c>
      <c r="AI120" s="133">
        <v>122428</v>
      </c>
      <c r="AJ120" s="133">
        <v>220110</v>
      </c>
      <c r="AK120" s="133"/>
      <c r="AL120" s="133"/>
      <c r="AM120" s="133"/>
      <c r="AN120" s="133">
        <v>91443</v>
      </c>
      <c r="AO120" s="235">
        <f t="shared" si="133"/>
        <v>91443</v>
      </c>
      <c r="AP120" s="137">
        <v>79</v>
      </c>
      <c r="AQ120" s="131">
        <f t="shared" si="134"/>
        <v>337104.24</v>
      </c>
      <c r="AR120" s="131">
        <f t="shared" si="135"/>
        <v>4267.1422784810129</v>
      </c>
      <c r="AS120" s="133">
        <v>149993.87</v>
      </c>
      <c r="AT120" s="133">
        <v>187110.37</v>
      </c>
      <c r="AU120" s="133"/>
      <c r="AV120" s="133"/>
      <c r="AW120" s="133"/>
      <c r="AX120" s="133">
        <v>92065.21</v>
      </c>
      <c r="AY120" s="235">
        <f t="shared" si="136"/>
        <v>92065.21</v>
      </c>
      <c r="AZ120" s="137">
        <v>83</v>
      </c>
      <c r="BA120" s="131">
        <f t="shared" si="137"/>
        <v>370266</v>
      </c>
      <c r="BB120" s="131">
        <f t="shared" si="138"/>
        <v>4461.0361445783128</v>
      </c>
      <c r="BC120" s="133">
        <v>186412</v>
      </c>
      <c r="BD120" s="133">
        <v>183854</v>
      </c>
      <c r="BE120" s="133"/>
      <c r="BF120" s="133"/>
      <c r="BG120" s="133"/>
      <c r="BH120" s="133">
        <v>75513</v>
      </c>
      <c r="BI120" s="235">
        <f t="shared" si="139"/>
        <v>75513</v>
      </c>
      <c r="BJ120" s="137">
        <v>94</v>
      </c>
      <c r="BK120" s="131">
        <f t="shared" si="140"/>
        <v>444381</v>
      </c>
      <c r="BL120" s="131">
        <f t="shared" si="141"/>
        <v>4727.4574468085102</v>
      </c>
      <c r="BM120" s="133">
        <v>184492</v>
      </c>
      <c r="BN120" s="133">
        <v>259889</v>
      </c>
      <c r="BO120" s="133"/>
      <c r="BP120" s="133"/>
      <c r="BQ120" s="133"/>
      <c r="BR120" s="133">
        <v>69902</v>
      </c>
      <c r="BS120" s="235">
        <f t="shared" si="142"/>
        <v>69902</v>
      </c>
      <c r="BT120" s="324">
        <v>90</v>
      </c>
      <c r="BU120" s="131">
        <f t="shared" si="143"/>
        <v>376721.75</v>
      </c>
      <c r="BV120" s="131">
        <f t="shared" si="144"/>
        <v>4185.7972222222224</v>
      </c>
      <c r="BW120" s="325">
        <v>157970</v>
      </c>
      <c r="BX120" s="325">
        <v>218751.75</v>
      </c>
      <c r="BY120" s="325"/>
      <c r="BZ120" s="325"/>
      <c r="CA120" s="325"/>
      <c r="CB120" s="325">
        <v>47225.5</v>
      </c>
      <c r="CC120" s="357">
        <f t="shared" si="145"/>
        <v>47225.5</v>
      </c>
    </row>
    <row r="121" spans="1:81" s="77" customFormat="1" ht="15.95" customHeight="1">
      <c r="A121" s="287" t="s">
        <v>209</v>
      </c>
      <c r="B121" s="137"/>
      <c r="C121" s="131"/>
      <c r="D121" s="131"/>
      <c r="E121" s="133"/>
      <c r="F121" s="133"/>
      <c r="G121" s="133"/>
      <c r="H121" s="133"/>
      <c r="I121" s="133"/>
      <c r="J121" s="133"/>
      <c r="K121" s="235">
        <f t="shared" si="126"/>
        <v>0</v>
      </c>
      <c r="L121" s="137"/>
      <c r="M121" s="131"/>
      <c r="N121" s="131"/>
      <c r="O121" s="133"/>
      <c r="P121" s="133"/>
      <c r="Q121" s="133"/>
      <c r="R121" s="133"/>
      <c r="S121" s="133"/>
      <c r="T121" s="133"/>
      <c r="U121" s="235">
        <f t="shared" si="129"/>
        <v>0</v>
      </c>
      <c r="V121" s="137"/>
      <c r="W121" s="131">
        <f t="shared" si="146"/>
        <v>0</v>
      </c>
      <c r="X121" s="131">
        <f t="shared" si="147"/>
        <v>0</v>
      </c>
      <c r="Y121" s="133"/>
      <c r="Z121" s="133"/>
      <c r="AA121" s="133"/>
      <c r="AB121" s="133"/>
      <c r="AC121" s="133"/>
      <c r="AD121" s="133"/>
      <c r="AE121" s="235">
        <f t="shared" si="130"/>
        <v>0</v>
      </c>
      <c r="AF121" s="137"/>
      <c r="AG121" s="131">
        <f t="shared" si="131"/>
        <v>0</v>
      </c>
      <c r="AH121" s="131">
        <f t="shared" si="132"/>
        <v>0</v>
      </c>
      <c r="AI121" s="133"/>
      <c r="AJ121" s="133"/>
      <c r="AK121" s="133"/>
      <c r="AL121" s="133"/>
      <c r="AM121" s="133"/>
      <c r="AN121" s="133"/>
      <c r="AO121" s="235">
        <f t="shared" si="133"/>
        <v>0</v>
      </c>
      <c r="AP121" s="137">
        <v>3</v>
      </c>
      <c r="AQ121" s="131">
        <f t="shared" ref="AQ121:AQ130" si="150">SUM(AS121:AW121)</f>
        <v>9528.75</v>
      </c>
      <c r="AR121" s="131">
        <f t="shared" ref="AR121:AR130" si="151">IFERROR(AQ121/AP121,0)</f>
        <v>3176.25</v>
      </c>
      <c r="AS121" s="133">
        <v>9528.75</v>
      </c>
      <c r="AT121" s="133"/>
      <c r="AU121" s="133"/>
      <c r="AV121" s="133"/>
      <c r="AW121" s="133"/>
      <c r="AX121" s="133">
        <v>9528.75</v>
      </c>
      <c r="AY121" s="235">
        <f t="shared" si="136"/>
        <v>9528.75</v>
      </c>
      <c r="AZ121" s="137">
        <v>3</v>
      </c>
      <c r="BA121" s="131">
        <f t="shared" si="137"/>
        <v>8370</v>
      </c>
      <c r="BB121" s="131">
        <f t="shared" si="138"/>
        <v>2790</v>
      </c>
      <c r="BC121" s="133">
        <v>8370</v>
      </c>
      <c r="BD121" s="133"/>
      <c r="BE121" s="133"/>
      <c r="BF121" s="133"/>
      <c r="BG121" s="133"/>
      <c r="BH121" s="133">
        <v>8370</v>
      </c>
      <c r="BI121" s="235">
        <f t="shared" si="139"/>
        <v>8370</v>
      </c>
      <c r="BJ121" s="137">
        <v>4</v>
      </c>
      <c r="BK121" s="131">
        <f t="shared" si="140"/>
        <v>11160</v>
      </c>
      <c r="BL121" s="131">
        <f t="shared" si="141"/>
        <v>2790</v>
      </c>
      <c r="BM121" s="133">
        <v>11160</v>
      </c>
      <c r="BN121" s="133"/>
      <c r="BO121" s="133"/>
      <c r="BP121" s="133"/>
      <c r="BQ121" s="133"/>
      <c r="BR121" s="133">
        <v>9905</v>
      </c>
      <c r="BS121" s="235">
        <f t="shared" si="142"/>
        <v>9905</v>
      </c>
      <c r="BT121" s="324">
        <v>0</v>
      </c>
      <c r="BU121" s="131">
        <f t="shared" si="143"/>
        <v>0</v>
      </c>
      <c r="BV121" s="131">
        <f t="shared" si="144"/>
        <v>0</v>
      </c>
      <c r="BW121" s="325"/>
      <c r="BX121" s="325"/>
      <c r="BY121" s="325"/>
      <c r="BZ121" s="325"/>
      <c r="CA121" s="325"/>
      <c r="CB121" s="325"/>
      <c r="CC121" s="357">
        <f t="shared" si="145"/>
        <v>0</v>
      </c>
    </row>
    <row r="122" spans="1:81" s="77" customFormat="1" ht="15.95" customHeight="1">
      <c r="A122" s="326" t="s">
        <v>251</v>
      </c>
      <c r="B122" s="137"/>
      <c r="C122" s="131"/>
      <c r="D122" s="131"/>
      <c r="E122" s="133"/>
      <c r="F122" s="133"/>
      <c r="G122" s="133"/>
      <c r="H122" s="133"/>
      <c r="I122" s="133"/>
      <c r="J122" s="133"/>
      <c r="K122" s="235"/>
      <c r="L122" s="137"/>
      <c r="M122" s="131"/>
      <c r="N122" s="131"/>
      <c r="O122" s="133"/>
      <c r="P122" s="133"/>
      <c r="Q122" s="133"/>
      <c r="R122" s="133"/>
      <c r="S122" s="133"/>
      <c r="T122" s="133"/>
      <c r="U122" s="235"/>
      <c r="V122" s="137"/>
      <c r="W122" s="131"/>
      <c r="X122" s="131"/>
      <c r="Y122" s="133"/>
      <c r="Z122" s="133"/>
      <c r="AA122" s="133"/>
      <c r="AB122" s="133"/>
      <c r="AC122" s="133"/>
      <c r="AD122" s="133"/>
      <c r="AE122" s="235"/>
      <c r="AF122" s="137"/>
      <c r="AG122" s="131"/>
      <c r="AH122" s="131"/>
      <c r="AI122" s="133"/>
      <c r="AJ122" s="133"/>
      <c r="AK122" s="133"/>
      <c r="AL122" s="133"/>
      <c r="AM122" s="133"/>
      <c r="AN122" s="133"/>
      <c r="AO122" s="235"/>
      <c r="AP122" s="137"/>
      <c r="AQ122" s="131"/>
      <c r="AR122" s="131"/>
      <c r="AS122" s="133"/>
      <c r="AT122" s="133"/>
      <c r="AU122" s="133"/>
      <c r="AV122" s="133"/>
      <c r="AW122" s="133"/>
      <c r="AX122" s="133"/>
      <c r="AY122" s="235"/>
      <c r="AZ122" s="137"/>
      <c r="BA122" s="131"/>
      <c r="BB122" s="131"/>
      <c r="BC122" s="133"/>
      <c r="BD122" s="133"/>
      <c r="BE122" s="133"/>
      <c r="BF122" s="133"/>
      <c r="BG122" s="133"/>
      <c r="BH122" s="133"/>
      <c r="BI122" s="235"/>
      <c r="BJ122" s="137"/>
      <c r="BK122" s="131">
        <f t="shared" si="140"/>
        <v>0</v>
      </c>
      <c r="BL122" s="131">
        <f t="shared" si="141"/>
        <v>0</v>
      </c>
      <c r="BM122" s="133"/>
      <c r="BN122" s="133"/>
      <c r="BO122" s="133"/>
      <c r="BP122" s="133"/>
      <c r="BQ122" s="133"/>
      <c r="BR122" s="133"/>
      <c r="BS122" s="235">
        <f t="shared" si="142"/>
        <v>0</v>
      </c>
      <c r="BT122" s="324">
        <v>1</v>
      </c>
      <c r="BU122" s="131">
        <f t="shared" si="143"/>
        <v>2092.5</v>
      </c>
      <c r="BV122" s="131">
        <f t="shared" si="144"/>
        <v>2092.5</v>
      </c>
      <c r="BW122" s="325">
        <v>2092.5</v>
      </c>
      <c r="BX122" s="325"/>
      <c r="BY122" s="325"/>
      <c r="BZ122" s="325"/>
      <c r="CA122" s="325"/>
      <c r="CB122" s="325">
        <v>2092.5</v>
      </c>
      <c r="CC122" s="357">
        <f t="shared" si="145"/>
        <v>2092.5</v>
      </c>
    </row>
    <row r="123" spans="1:81" s="77" customFormat="1" ht="15.95" customHeight="1">
      <c r="A123" s="326" t="s">
        <v>254</v>
      </c>
      <c r="B123" s="137"/>
      <c r="C123" s="131"/>
      <c r="D123" s="131"/>
      <c r="E123" s="133"/>
      <c r="F123" s="133"/>
      <c r="G123" s="133"/>
      <c r="H123" s="133"/>
      <c r="I123" s="133"/>
      <c r="J123" s="133"/>
      <c r="K123" s="235"/>
      <c r="L123" s="137"/>
      <c r="M123" s="131"/>
      <c r="N123" s="131"/>
      <c r="O123" s="133"/>
      <c r="P123" s="133"/>
      <c r="Q123" s="133"/>
      <c r="R123" s="133"/>
      <c r="S123" s="133"/>
      <c r="T123" s="133"/>
      <c r="U123" s="235"/>
      <c r="V123" s="137"/>
      <c r="W123" s="131"/>
      <c r="X123" s="131"/>
      <c r="Y123" s="133"/>
      <c r="Z123" s="133"/>
      <c r="AA123" s="133"/>
      <c r="AB123" s="133"/>
      <c r="AC123" s="133"/>
      <c r="AD123" s="133"/>
      <c r="AE123" s="235"/>
      <c r="AF123" s="137"/>
      <c r="AG123" s="131"/>
      <c r="AH123" s="131"/>
      <c r="AI123" s="133"/>
      <c r="AJ123" s="133"/>
      <c r="AK123" s="133"/>
      <c r="AL123" s="133"/>
      <c r="AM123" s="133"/>
      <c r="AN123" s="133"/>
      <c r="AO123" s="235"/>
      <c r="AP123" s="137"/>
      <c r="AQ123" s="131"/>
      <c r="AR123" s="131"/>
      <c r="AS123" s="133"/>
      <c r="AT123" s="133"/>
      <c r="AU123" s="133"/>
      <c r="AV123" s="133"/>
      <c r="AW123" s="133"/>
      <c r="AX123" s="133"/>
      <c r="AY123" s="235"/>
      <c r="AZ123" s="137"/>
      <c r="BA123" s="131"/>
      <c r="BB123" s="131"/>
      <c r="BC123" s="133"/>
      <c r="BD123" s="133"/>
      <c r="BE123" s="133"/>
      <c r="BF123" s="133"/>
      <c r="BG123" s="133"/>
      <c r="BH123" s="133"/>
      <c r="BI123" s="235"/>
      <c r="BJ123" s="137"/>
      <c r="BK123" s="131">
        <f t="shared" si="140"/>
        <v>0</v>
      </c>
      <c r="BL123" s="131">
        <f t="shared" si="141"/>
        <v>0</v>
      </c>
      <c r="BM123" s="133"/>
      <c r="BN123" s="133"/>
      <c r="BO123" s="133"/>
      <c r="BP123" s="133"/>
      <c r="BQ123" s="133"/>
      <c r="BR123" s="133"/>
      <c r="BS123" s="235">
        <f t="shared" si="142"/>
        <v>0</v>
      </c>
      <c r="BT123" s="324">
        <v>1</v>
      </c>
      <c r="BU123" s="131">
        <f t="shared" si="143"/>
        <v>2090.5</v>
      </c>
      <c r="BV123" s="131">
        <f t="shared" si="144"/>
        <v>2090.5</v>
      </c>
      <c r="BW123" s="325">
        <v>2090.5</v>
      </c>
      <c r="BX123" s="325"/>
      <c r="BY123" s="325"/>
      <c r="BZ123" s="325"/>
      <c r="CA123" s="325"/>
      <c r="CB123" s="325">
        <v>2091</v>
      </c>
      <c r="CC123" s="357">
        <f t="shared" si="145"/>
        <v>2090.5</v>
      </c>
    </row>
    <row r="124" spans="1:81" s="77" customFormat="1" ht="15.95" customHeight="1">
      <c r="A124" s="326"/>
      <c r="B124" s="137"/>
      <c r="C124" s="131">
        <f t="shared" ref="C124:C130" si="152">SUM(E124:I124)</f>
        <v>0</v>
      </c>
      <c r="D124" s="131">
        <f t="shared" ref="D124:D130" si="153">IFERROR(C124/B124,0)</f>
        <v>0</v>
      </c>
      <c r="E124" s="133"/>
      <c r="F124" s="133"/>
      <c r="G124" s="133"/>
      <c r="H124" s="133"/>
      <c r="I124" s="133"/>
      <c r="J124" s="133"/>
      <c r="K124" s="235">
        <f t="shared" si="126"/>
        <v>0</v>
      </c>
      <c r="L124" s="137"/>
      <c r="M124" s="131">
        <f t="shared" ref="M124:M130" si="154">SUM(O124:S124)</f>
        <v>0</v>
      </c>
      <c r="N124" s="131">
        <f t="shared" ref="N124:N130" si="155">IFERROR(M124/L124,0)</f>
        <v>0</v>
      </c>
      <c r="O124" s="133"/>
      <c r="P124" s="133"/>
      <c r="Q124" s="133"/>
      <c r="R124" s="133"/>
      <c r="S124" s="133"/>
      <c r="T124" s="133"/>
      <c r="U124" s="235">
        <f t="shared" si="129"/>
        <v>0</v>
      </c>
      <c r="V124" s="137"/>
      <c r="W124" s="131">
        <f t="shared" si="146"/>
        <v>0</v>
      </c>
      <c r="X124" s="131">
        <f t="shared" si="147"/>
        <v>0</v>
      </c>
      <c r="Y124" s="133"/>
      <c r="Z124" s="133"/>
      <c r="AA124" s="133"/>
      <c r="AB124" s="133"/>
      <c r="AC124" s="133"/>
      <c r="AD124" s="133"/>
      <c r="AE124" s="235">
        <f t="shared" si="130"/>
        <v>0</v>
      </c>
      <c r="AF124" s="137"/>
      <c r="AG124" s="131">
        <f t="shared" si="131"/>
        <v>0</v>
      </c>
      <c r="AH124" s="131">
        <f t="shared" si="132"/>
        <v>0</v>
      </c>
      <c r="AI124" s="133"/>
      <c r="AJ124" s="133"/>
      <c r="AK124" s="133"/>
      <c r="AL124" s="133"/>
      <c r="AM124" s="133"/>
      <c r="AN124" s="133"/>
      <c r="AO124" s="235">
        <f t="shared" si="133"/>
        <v>0</v>
      </c>
      <c r="AP124" s="137"/>
      <c r="AQ124" s="131">
        <f t="shared" si="150"/>
        <v>0</v>
      </c>
      <c r="AR124" s="131">
        <f t="shared" si="151"/>
        <v>0</v>
      </c>
      <c r="AS124" s="133"/>
      <c r="AT124" s="133"/>
      <c r="AU124" s="133"/>
      <c r="AV124" s="133"/>
      <c r="AW124" s="133"/>
      <c r="AX124" s="133"/>
      <c r="AY124" s="235">
        <f t="shared" si="136"/>
        <v>0</v>
      </c>
      <c r="AZ124" s="137"/>
      <c r="BA124" s="131">
        <f t="shared" si="137"/>
        <v>0</v>
      </c>
      <c r="BB124" s="131">
        <f t="shared" si="138"/>
        <v>0</v>
      </c>
      <c r="BC124" s="133"/>
      <c r="BD124" s="133"/>
      <c r="BE124" s="133"/>
      <c r="BF124" s="133"/>
      <c r="BG124" s="133"/>
      <c r="BH124" s="133"/>
      <c r="BI124" s="235">
        <f t="shared" si="139"/>
        <v>0</v>
      </c>
      <c r="BJ124" s="137"/>
      <c r="BK124" s="131">
        <f t="shared" si="140"/>
        <v>0</v>
      </c>
      <c r="BL124" s="131">
        <f t="shared" si="141"/>
        <v>0</v>
      </c>
      <c r="BM124" s="133"/>
      <c r="BN124" s="133"/>
      <c r="BO124" s="133"/>
      <c r="BP124" s="133"/>
      <c r="BQ124" s="133"/>
      <c r="BR124" s="133"/>
      <c r="BS124" s="235">
        <f t="shared" si="142"/>
        <v>0</v>
      </c>
      <c r="BT124" s="324"/>
      <c r="BU124" s="131">
        <f t="shared" si="143"/>
        <v>0</v>
      </c>
      <c r="BV124" s="131">
        <f t="shared" si="144"/>
        <v>0</v>
      </c>
      <c r="BW124" s="325"/>
      <c r="BX124" s="325"/>
      <c r="BY124" s="325"/>
      <c r="BZ124" s="325"/>
      <c r="CA124" s="325"/>
      <c r="CB124" s="325"/>
      <c r="CC124" s="357">
        <f t="shared" si="145"/>
        <v>0</v>
      </c>
    </row>
    <row r="125" spans="1:81" s="77" customFormat="1" ht="15.95" customHeight="1">
      <c r="A125" s="326"/>
      <c r="B125" s="137"/>
      <c r="C125" s="131">
        <f t="shared" si="152"/>
        <v>0</v>
      </c>
      <c r="D125" s="131">
        <f t="shared" si="153"/>
        <v>0</v>
      </c>
      <c r="E125" s="133"/>
      <c r="F125" s="133"/>
      <c r="G125" s="133"/>
      <c r="H125" s="133"/>
      <c r="I125" s="133"/>
      <c r="J125" s="133"/>
      <c r="K125" s="235">
        <f t="shared" si="126"/>
        <v>0</v>
      </c>
      <c r="L125" s="137"/>
      <c r="M125" s="131">
        <f t="shared" si="154"/>
        <v>0</v>
      </c>
      <c r="N125" s="131">
        <f t="shared" si="155"/>
        <v>0</v>
      </c>
      <c r="O125" s="133"/>
      <c r="P125" s="133"/>
      <c r="Q125" s="133"/>
      <c r="R125" s="133"/>
      <c r="S125" s="133"/>
      <c r="T125" s="133"/>
      <c r="U125" s="235">
        <f t="shared" si="129"/>
        <v>0</v>
      </c>
      <c r="V125" s="137"/>
      <c r="W125" s="131">
        <f t="shared" si="146"/>
        <v>0</v>
      </c>
      <c r="X125" s="131">
        <f t="shared" si="147"/>
        <v>0</v>
      </c>
      <c r="Y125" s="133"/>
      <c r="Z125" s="133"/>
      <c r="AA125" s="133"/>
      <c r="AB125" s="133"/>
      <c r="AC125" s="133"/>
      <c r="AD125" s="133"/>
      <c r="AE125" s="235">
        <f t="shared" si="130"/>
        <v>0</v>
      </c>
      <c r="AF125" s="137"/>
      <c r="AG125" s="131">
        <f t="shared" si="131"/>
        <v>0</v>
      </c>
      <c r="AH125" s="131">
        <f t="shared" si="132"/>
        <v>0</v>
      </c>
      <c r="AI125" s="133"/>
      <c r="AJ125" s="133"/>
      <c r="AK125" s="133"/>
      <c r="AL125" s="133"/>
      <c r="AM125" s="133"/>
      <c r="AN125" s="133"/>
      <c r="AO125" s="235">
        <f t="shared" si="133"/>
        <v>0</v>
      </c>
      <c r="AP125" s="137"/>
      <c r="AQ125" s="131">
        <f t="shared" si="150"/>
        <v>0</v>
      </c>
      <c r="AR125" s="131">
        <f t="shared" si="151"/>
        <v>0</v>
      </c>
      <c r="AS125" s="133"/>
      <c r="AT125" s="133"/>
      <c r="AU125" s="133"/>
      <c r="AV125" s="133"/>
      <c r="AW125" s="133"/>
      <c r="AX125" s="133"/>
      <c r="AY125" s="235">
        <f t="shared" si="136"/>
        <v>0</v>
      </c>
      <c r="AZ125" s="137"/>
      <c r="BA125" s="131">
        <f t="shared" si="137"/>
        <v>0</v>
      </c>
      <c r="BB125" s="131">
        <f t="shared" si="138"/>
        <v>0</v>
      </c>
      <c r="BC125" s="133"/>
      <c r="BD125" s="133"/>
      <c r="BE125" s="133"/>
      <c r="BF125" s="133"/>
      <c r="BG125" s="133"/>
      <c r="BH125" s="133"/>
      <c r="BI125" s="235">
        <f t="shared" si="139"/>
        <v>0</v>
      </c>
      <c r="BJ125" s="137"/>
      <c r="BK125" s="131">
        <f t="shared" si="140"/>
        <v>0</v>
      </c>
      <c r="BL125" s="131">
        <f t="shared" si="141"/>
        <v>0</v>
      </c>
      <c r="BM125" s="133"/>
      <c r="BN125" s="133"/>
      <c r="BO125" s="133"/>
      <c r="BP125" s="133"/>
      <c r="BQ125" s="133"/>
      <c r="BR125" s="133"/>
      <c r="BS125" s="235">
        <f t="shared" si="142"/>
        <v>0</v>
      </c>
      <c r="BT125" s="324"/>
      <c r="BU125" s="131">
        <f t="shared" si="143"/>
        <v>0</v>
      </c>
      <c r="BV125" s="131">
        <f t="shared" si="144"/>
        <v>0</v>
      </c>
      <c r="BW125" s="325"/>
      <c r="BX125" s="325"/>
      <c r="BY125" s="325"/>
      <c r="BZ125" s="325"/>
      <c r="CA125" s="325"/>
      <c r="CB125" s="325"/>
      <c r="CC125" s="357">
        <f t="shared" si="145"/>
        <v>0</v>
      </c>
    </row>
    <row r="126" spans="1:81" s="77" customFormat="1" ht="15.95" customHeight="1">
      <c r="A126" s="326"/>
      <c r="B126" s="137"/>
      <c r="C126" s="131">
        <f t="shared" si="152"/>
        <v>0</v>
      </c>
      <c r="D126" s="131">
        <f t="shared" si="153"/>
        <v>0</v>
      </c>
      <c r="E126" s="133"/>
      <c r="F126" s="133"/>
      <c r="G126" s="133"/>
      <c r="H126" s="133"/>
      <c r="I126" s="133"/>
      <c r="J126" s="133"/>
      <c r="K126" s="235">
        <f t="shared" si="126"/>
        <v>0</v>
      </c>
      <c r="L126" s="137"/>
      <c r="M126" s="131">
        <f t="shared" si="154"/>
        <v>0</v>
      </c>
      <c r="N126" s="131">
        <f t="shared" si="155"/>
        <v>0</v>
      </c>
      <c r="O126" s="133"/>
      <c r="P126" s="133"/>
      <c r="Q126" s="133"/>
      <c r="R126" s="133"/>
      <c r="S126" s="133"/>
      <c r="T126" s="133"/>
      <c r="U126" s="235">
        <f t="shared" si="129"/>
        <v>0</v>
      </c>
      <c r="V126" s="137"/>
      <c r="W126" s="131">
        <f t="shared" si="146"/>
        <v>0</v>
      </c>
      <c r="X126" s="131">
        <f t="shared" si="147"/>
        <v>0</v>
      </c>
      <c r="Y126" s="133"/>
      <c r="Z126" s="133"/>
      <c r="AA126" s="133"/>
      <c r="AB126" s="133"/>
      <c r="AC126" s="133"/>
      <c r="AD126" s="133"/>
      <c r="AE126" s="235">
        <f t="shared" si="130"/>
        <v>0</v>
      </c>
      <c r="AF126" s="137"/>
      <c r="AG126" s="131">
        <f t="shared" si="131"/>
        <v>0</v>
      </c>
      <c r="AH126" s="131">
        <f t="shared" si="132"/>
        <v>0</v>
      </c>
      <c r="AI126" s="133"/>
      <c r="AJ126" s="133"/>
      <c r="AK126" s="133"/>
      <c r="AL126" s="133"/>
      <c r="AM126" s="133"/>
      <c r="AN126" s="133"/>
      <c r="AO126" s="235">
        <f t="shared" si="133"/>
        <v>0</v>
      </c>
      <c r="AP126" s="137"/>
      <c r="AQ126" s="131">
        <f t="shared" si="150"/>
        <v>0</v>
      </c>
      <c r="AR126" s="131">
        <f t="shared" si="151"/>
        <v>0</v>
      </c>
      <c r="AS126" s="133"/>
      <c r="AT126" s="133"/>
      <c r="AU126" s="133"/>
      <c r="AV126" s="133"/>
      <c r="AW126" s="133"/>
      <c r="AX126" s="133"/>
      <c r="AY126" s="235">
        <f t="shared" si="136"/>
        <v>0</v>
      </c>
      <c r="AZ126" s="137"/>
      <c r="BA126" s="131">
        <f t="shared" si="137"/>
        <v>0</v>
      </c>
      <c r="BB126" s="131">
        <f t="shared" si="138"/>
        <v>0</v>
      </c>
      <c r="BC126" s="133"/>
      <c r="BD126" s="133"/>
      <c r="BE126" s="133"/>
      <c r="BF126" s="133"/>
      <c r="BG126" s="133"/>
      <c r="BH126" s="133"/>
      <c r="BI126" s="235">
        <f t="shared" si="139"/>
        <v>0</v>
      </c>
      <c r="BJ126" s="137"/>
      <c r="BK126" s="131">
        <f t="shared" si="140"/>
        <v>0</v>
      </c>
      <c r="BL126" s="131">
        <f t="shared" si="141"/>
        <v>0</v>
      </c>
      <c r="BM126" s="133"/>
      <c r="BN126" s="133"/>
      <c r="BO126" s="133"/>
      <c r="BP126" s="133"/>
      <c r="BQ126" s="133"/>
      <c r="BR126" s="133"/>
      <c r="BS126" s="235">
        <f t="shared" si="142"/>
        <v>0</v>
      </c>
      <c r="BT126" s="324"/>
      <c r="BU126" s="131">
        <f t="shared" si="143"/>
        <v>0</v>
      </c>
      <c r="BV126" s="131">
        <f t="shared" si="144"/>
        <v>0</v>
      </c>
      <c r="BW126" s="325"/>
      <c r="BX126" s="325"/>
      <c r="BY126" s="325"/>
      <c r="BZ126" s="325"/>
      <c r="CA126" s="325"/>
      <c r="CB126" s="325"/>
      <c r="CC126" s="357">
        <f t="shared" si="145"/>
        <v>0</v>
      </c>
    </row>
    <row r="127" spans="1:81" s="77" customFormat="1" ht="15.95" customHeight="1">
      <c r="A127" s="326"/>
      <c r="B127" s="137"/>
      <c r="C127" s="131">
        <f t="shared" si="152"/>
        <v>0</v>
      </c>
      <c r="D127" s="131">
        <f t="shared" si="153"/>
        <v>0</v>
      </c>
      <c r="E127" s="133"/>
      <c r="F127" s="133"/>
      <c r="G127" s="133"/>
      <c r="H127" s="133"/>
      <c r="I127" s="133"/>
      <c r="J127" s="133"/>
      <c r="K127" s="235">
        <f t="shared" si="126"/>
        <v>0</v>
      </c>
      <c r="L127" s="137"/>
      <c r="M127" s="131">
        <f t="shared" si="154"/>
        <v>0</v>
      </c>
      <c r="N127" s="131">
        <f t="shared" si="155"/>
        <v>0</v>
      </c>
      <c r="O127" s="133"/>
      <c r="P127" s="133"/>
      <c r="Q127" s="133"/>
      <c r="R127" s="133"/>
      <c r="S127" s="133"/>
      <c r="T127" s="133"/>
      <c r="U127" s="235">
        <f t="shared" si="129"/>
        <v>0</v>
      </c>
      <c r="V127" s="137"/>
      <c r="W127" s="131">
        <f t="shared" si="146"/>
        <v>0</v>
      </c>
      <c r="X127" s="131">
        <f t="shared" si="147"/>
        <v>0</v>
      </c>
      <c r="Y127" s="133"/>
      <c r="Z127" s="133"/>
      <c r="AA127" s="133"/>
      <c r="AB127" s="133"/>
      <c r="AC127" s="133"/>
      <c r="AD127" s="133"/>
      <c r="AE127" s="235">
        <f t="shared" si="130"/>
        <v>0</v>
      </c>
      <c r="AF127" s="137"/>
      <c r="AG127" s="131">
        <f t="shared" si="131"/>
        <v>0</v>
      </c>
      <c r="AH127" s="131">
        <f t="shared" si="132"/>
        <v>0</v>
      </c>
      <c r="AI127" s="133"/>
      <c r="AJ127" s="133"/>
      <c r="AK127" s="133"/>
      <c r="AL127" s="133"/>
      <c r="AM127" s="133"/>
      <c r="AN127" s="133"/>
      <c r="AO127" s="235">
        <f t="shared" si="133"/>
        <v>0</v>
      </c>
      <c r="AP127" s="137"/>
      <c r="AQ127" s="131">
        <f t="shared" si="150"/>
        <v>0</v>
      </c>
      <c r="AR127" s="131">
        <f t="shared" si="151"/>
        <v>0</v>
      </c>
      <c r="AS127" s="133"/>
      <c r="AT127" s="133"/>
      <c r="AU127" s="133"/>
      <c r="AV127" s="133"/>
      <c r="AW127" s="133"/>
      <c r="AX127" s="133"/>
      <c r="AY127" s="235">
        <f t="shared" si="136"/>
        <v>0</v>
      </c>
      <c r="AZ127" s="137"/>
      <c r="BA127" s="131">
        <f t="shared" si="137"/>
        <v>0</v>
      </c>
      <c r="BB127" s="131">
        <f t="shared" si="138"/>
        <v>0</v>
      </c>
      <c r="BC127" s="133"/>
      <c r="BD127" s="133"/>
      <c r="BE127" s="133"/>
      <c r="BF127" s="133"/>
      <c r="BG127" s="133"/>
      <c r="BH127" s="133"/>
      <c r="BI127" s="235">
        <f t="shared" si="139"/>
        <v>0</v>
      </c>
      <c r="BJ127" s="137"/>
      <c r="BK127" s="131">
        <f t="shared" si="140"/>
        <v>0</v>
      </c>
      <c r="BL127" s="131">
        <f t="shared" si="141"/>
        <v>0</v>
      </c>
      <c r="BM127" s="133"/>
      <c r="BN127" s="133"/>
      <c r="BO127" s="133"/>
      <c r="BP127" s="133"/>
      <c r="BQ127" s="133"/>
      <c r="BR127" s="133"/>
      <c r="BS127" s="235">
        <f t="shared" si="142"/>
        <v>0</v>
      </c>
      <c r="BT127" s="324"/>
      <c r="BU127" s="131">
        <f t="shared" si="143"/>
        <v>0</v>
      </c>
      <c r="BV127" s="131">
        <f t="shared" si="144"/>
        <v>0</v>
      </c>
      <c r="BW127" s="325"/>
      <c r="BX127" s="325"/>
      <c r="BY127" s="325"/>
      <c r="BZ127" s="325"/>
      <c r="CA127" s="325"/>
      <c r="CB127" s="325"/>
      <c r="CC127" s="357">
        <f t="shared" si="145"/>
        <v>0</v>
      </c>
    </row>
    <row r="128" spans="1:81" s="77" customFormat="1" ht="15.95" customHeight="1">
      <c r="A128" s="326"/>
      <c r="B128" s="137"/>
      <c r="C128" s="131">
        <f t="shared" si="152"/>
        <v>0</v>
      </c>
      <c r="D128" s="131">
        <f t="shared" si="153"/>
        <v>0</v>
      </c>
      <c r="E128" s="133"/>
      <c r="F128" s="133"/>
      <c r="G128" s="133"/>
      <c r="H128" s="133"/>
      <c r="I128" s="133"/>
      <c r="J128" s="133"/>
      <c r="K128" s="235">
        <f t="shared" si="126"/>
        <v>0</v>
      </c>
      <c r="L128" s="137"/>
      <c r="M128" s="131">
        <f t="shared" si="154"/>
        <v>0</v>
      </c>
      <c r="N128" s="131">
        <f t="shared" si="155"/>
        <v>0</v>
      </c>
      <c r="O128" s="133"/>
      <c r="P128" s="133"/>
      <c r="Q128" s="133"/>
      <c r="R128" s="133"/>
      <c r="S128" s="133"/>
      <c r="T128" s="133"/>
      <c r="U128" s="235">
        <f t="shared" si="129"/>
        <v>0</v>
      </c>
      <c r="V128" s="137"/>
      <c r="W128" s="131">
        <f t="shared" si="146"/>
        <v>0</v>
      </c>
      <c r="X128" s="131">
        <f t="shared" si="147"/>
        <v>0</v>
      </c>
      <c r="Y128" s="133"/>
      <c r="Z128" s="133"/>
      <c r="AA128" s="133"/>
      <c r="AB128" s="133"/>
      <c r="AC128" s="133"/>
      <c r="AD128" s="133"/>
      <c r="AE128" s="235">
        <f t="shared" si="130"/>
        <v>0</v>
      </c>
      <c r="AF128" s="137"/>
      <c r="AG128" s="131">
        <f t="shared" si="131"/>
        <v>0</v>
      </c>
      <c r="AH128" s="131">
        <f t="shared" si="132"/>
        <v>0</v>
      </c>
      <c r="AI128" s="133"/>
      <c r="AJ128" s="133"/>
      <c r="AK128" s="133"/>
      <c r="AL128" s="133"/>
      <c r="AM128" s="133"/>
      <c r="AN128" s="133"/>
      <c r="AO128" s="235">
        <f t="shared" si="133"/>
        <v>0</v>
      </c>
      <c r="AP128" s="137"/>
      <c r="AQ128" s="131">
        <f t="shared" si="150"/>
        <v>0</v>
      </c>
      <c r="AR128" s="131">
        <f t="shared" si="151"/>
        <v>0</v>
      </c>
      <c r="AS128" s="133"/>
      <c r="AT128" s="133"/>
      <c r="AU128" s="133"/>
      <c r="AV128" s="133"/>
      <c r="AW128" s="133"/>
      <c r="AX128" s="133"/>
      <c r="AY128" s="235">
        <f t="shared" si="136"/>
        <v>0</v>
      </c>
      <c r="AZ128" s="137"/>
      <c r="BA128" s="131">
        <f t="shared" si="137"/>
        <v>0</v>
      </c>
      <c r="BB128" s="131">
        <f t="shared" si="138"/>
        <v>0</v>
      </c>
      <c r="BC128" s="133"/>
      <c r="BD128" s="133"/>
      <c r="BE128" s="133"/>
      <c r="BF128" s="133"/>
      <c r="BG128" s="133"/>
      <c r="BH128" s="133"/>
      <c r="BI128" s="235">
        <f t="shared" si="139"/>
        <v>0</v>
      </c>
      <c r="BJ128" s="137"/>
      <c r="BK128" s="131">
        <f t="shared" si="140"/>
        <v>0</v>
      </c>
      <c r="BL128" s="131">
        <f t="shared" si="141"/>
        <v>0</v>
      </c>
      <c r="BM128" s="133"/>
      <c r="BN128" s="133"/>
      <c r="BO128" s="133"/>
      <c r="BP128" s="133"/>
      <c r="BQ128" s="133"/>
      <c r="BR128" s="133"/>
      <c r="BS128" s="235">
        <f t="shared" si="142"/>
        <v>0</v>
      </c>
      <c r="BT128" s="324"/>
      <c r="BU128" s="131">
        <f t="shared" si="143"/>
        <v>0</v>
      </c>
      <c r="BV128" s="131">
        <f t="shared" si="144"/>
        <v>0</v>
      </c>
      <c r="BW128" s="325"/>
      <c r="BX128" s="325"/>
      <c r="BY128" s="325"/>
      <c r="BZ128" s="325"/>
      <c r="CA128" s="325"/>
      <c r="CB128" s="325"/>
      <c r="CC128" s="357">
        <f t="shared" si="145"/>
        <v>0</v>
      </c>
    </row>
    <row r="129" spans="1:81" s="77" customFormat="1" ht="15.95" customHeight="1">
      <c r="A129" s="326"/>
      <c r="B129" s="137"/>
      <c r="C129" s="131">
        <f t="shared" si="152"/>
        <v>0</v>
      </c>
      <c r="D129" s="131">
        <f t="shared" si="153"/>
        <v>0</v>
      </c>
      <c r="E129" s="133"/>
      <c r="F129" s="133"/>
      <c r="G129" s="133"/>
      <c r="H129" s="133"/>
      <c r="I129" s="133"/>
      <c r="J129" s="133"/>
      <c r="K129" s="235">
        <f t="shared" si="126"/>
        <v>0</v>
      </c>
      <c r="L129" s="137"/>
      <c r="M129" s="131">
        <f t="shared" si="154"/>
        <v>0</v>
      </c>
      <c r="N129" s="131">
        <f t="shared" si="155"/>
        <v>0</v>
      </c>
      <c r="O129" s="133"/>
      <c r="P129" s="133"/>
      <c r="Q129" s="133"/>
      <c r="R129" s="133"/>
      <c r="S129" s="133"/>
      <c r="T129" s="133"/>
      <c r="U129" s="235">
        <f t="shared" si="129"/>
        <v>0</v>
      </c>
      <c r="V129" s="137"/>
      <c r="W129" s="131">
        <f t="shared" si="146"/>
        <v>0</v>
      </c>
      <c r="X129" s="131">
        <f t="shared" si="147"/>
        <v>0</v>
      </c>
      <c r="Y129" s="133"/>
      <c r="Z129" s="133"/>
      <c r="AA129" s="133"/>
      <c r="AB129" s="133"/>
      <c r="AC129" s="133"/>
      <c r="AD129" s="133"/>
      <c r="AE129" s="235">
        <f t="shared" si="130"/>
        <v>0</v>
      </c>
      <c r="AF129" s="137"/>
      <c r="AG129" s="131">
        <f t="shared" si="131"/>
        <v>0</v>
      </c>
      <c r="AH129" s="131">
        <f t="shared" si="132"/>
        <v>0</v>
      </c>
      <c r="AI129" s="133"/>
      <c r="AJ129" s="133"/>
      <c r="AK129" s="133"/>
      <c r="AL129" s="133"/>
      <c r="AM129" s="133"/>
      <c r="AN129" s="133"/>
      <c r="AO129" s="235">
        <f t="shared" si="133"/>
        <v>0</v>
      </c>
      <c r="AP129" s="137"/>
      <c r="AQ129" s="131">
        <f t="shared" si="150"/>
        <v>0</v>
      </c>
      <c r="AR129" s="131">
        <f t="shared" si="151"/>
        <v>0</v>
      </c>
      <c r="AS129" s="133"/>
      <c r="AT129" s="133"/>
      <c r="AU129" s="133"/>
      <c r="AV129" s="133"/>
      <c r="AW129" s="133"/>
      <c r="AX129" s="133"/>
      <c r="AY129" s="235">
        <f t="shared" si="136"/>
        <v>0</v>
      </c>
      <c r="AZ129" s="137"/>
      <c r="BA129" s="131">
        <f t="shared" si="137"/>
        <v>0</v>
      </c>
      <c r="BB129" s="131">
        <f t="shared" si="138"/>
        <v>0</v>
      </c>
      <c r="BC129" s="133"/>
      <c r="BD129" s="133"/>
      <c r="BE129" s="133"/>
      <c r="BF129" s="133"/>
      <c r="BG129" s="133"/>
      <c r="BH129" s="133"/>
      <c r="BI129" s="235">
        <f t="shared" si="139"/>
        <v>0</v>
      </c>
      <c r="BJ129" s="137"/>
      <c r="BK129" s="131">
        <f t="shared" si="140"/>
        <v>0</v>
      </c>
      <c r="BL129" s="131">
        <f t="shared" si="141"/>
        <v>0</v>
      </c>
      <c r="BM129" s="133"/>
      <c r="BN129" s="133"/>
      <c r="BO129" s="133"/>
      <c r="BP129" s="133"/>
      <c r="BQ129" s="133"/>
      <c r="BR129" s="133"/>
      <c r="BS129" s="235">
        <f t="shared" si="142"/>
        <v>0</v>
      </c>
      <c r="BT129" s="324"/>
      <c r="BU129" s="131">
        <f t="shared" si="143"/>
        <v>0</v>
      </c>
      <c r="BV129" s="131">
        <f t="shared" si="144"/>
        <v>0</v>
      </c>
      <c r="BW129" s="325"/>
      <c r="BX129" s="325"/>
      <c r="BY129" s="325"/>
      <c r="BZ129" s="325"/>
      <c r="CA129" s="325"/>
      <c r="CB129" s="325"/>
      <c r="CC129" s="357">
        <f t="shared" si="145"/>
        <v>0</v>
      </c>
    </row>
    <row r="130" spans="1:81" s="77" customFormat="1" ht="15.95" customHeight="1">
      <c r="A130" s="326"/>
      <c r="B130" s="137"/>
      <c r="C130" s="131">
        <f t="shared" si="152"/>
        <v>0</v>
      </c>
      <c r="D130" s="131">
        <f t="shared" si="153"/>
        <v>0</v>
      </c>
      <c r="E130" s="133"/>
      <c r="F130" s="133"/>
      <c r="G130" s="133"/>
      <c r="H130" s="133"/>
      <c r="I130" s="133"/>
      <c r="J130" s="133"/>
      <c r="K130" s="235">
        <f t="shared" si="126"/>
        <v>0</v>
      </c>
      <c r="L130" s="137"/>
      <c r="M130" s="131">
        <f t="shared" si="154"/>
        <v>0</v>
      </c>
      <c r="N130" s="131">
        <f t="shared" si="155"/>
        <v>0</v>
      </c>
      <c r="O130" s="133"/>
      <c r="P130" s="133"/>
      <c r="Q130" s="133"/>
      <c r="R130" s="133"/>
      <c r="S130" s="133"/>
      <c r="T130" s="133"/>
      <c r="U130" s="235">
        <f t="shared" si="129"/>
        <v>0</v>
      </c>
      <c r="V130" s="137"/>
      <c r="W130" s="131">
        <f t="shared" si="146"/>
        <v>0</v>
      </c>
      <c r="X130" s="131">
        <f t="shared" si="147"/>
        <v>0</v>
      </c>
      <c r="Y130" s="133"/>
      <c r="Z130" s="133"/>
      <c r="AA130" s="133"/>
      <c r="AB130" s="133"/>
      <c r="AC130" s="133"/>
      <c r="AD130" s="133"/>
      <c r="AE130" s="235">
        <f t="shared" si="130"/>
        <v>0</v>
      </c>
      <c r="AF130" s="137"/>
      <c r="AG130" s="131">
        <f t="shared" si="131"/>
        <v>0</v>
      </c>
      <c r="AH130" s="131">
        <f t="shared" si="132"/>
        <v>0</v>
      </c>
      <c r="AI130" s="133"/>
      <c r="AJ130" s="133"/>
      <c r="AK130" s="133"/>
      <c r="AL130" s="133"/>
      <c r="AM130" s="133"/>
      <c r="AN130" s="133"/>
      <c r="AO130" s="235">
        <f t="shared" si="133"/>
        <v>0</v>
      </c>
      <c r="AP130" s="137"/>
      <c r="AQ130" s="131">
        <f t="shared" si="150"/>
        <v>0</v>
      </c>
      <c r="AR130" s="131">
        <f t="shared" si="151"/>
        <v>0</v>
      </c>
      <c r="AS130" s="133"/>
      <c r="AT130" s="133"/>
      <c r="AU130" s="133"/>
      <c r="AV130" s="133"/>
      <c r="AW130" s="133"/>
      <c r="AX130" s="133"/>
      <c r="AY130" s="235">
        <f t="shared" si="136"/>
        <v>0</v>
      </c>
      <c r="AZ130" s="137"/>
      <c r="BA130" s="131">
        <f t="shared" si="137"/>
        <v>0</v>
      </c>
      <c r="BB130" s="131">
        <f t="shared" si="138"/>
        <v>0</v>
      </c>
      <c r="BC130" s="133"/>
      <c r="BD130" s="133"/>
      <c r="BE130" s="133"/>
      <c r="BF130" s="133"/>
      <c r="BG130" s="133"/>
      <c r="BH130" s="133"/>
      <c r="BI130" s="235">
        <f t="shared" si="139"/>
        <v>0</v>
      </c>
      <c r="BJ130" s="137"/>
      <c r="BK130" s="131">
        <f t="shared" si="140"/>
        <v>0</v>
      </c>
      <c r="BL130" s="131">
        <f t="shared" si="141"/>
        <v>0</v>
      </c>
      <c r="BM130" s="133"/>
      <c r="BN130" s="133"/>
      <c r="BO130" s="133"/>
      <c r="BP130" s="133"/>
      <c r="BQ130" s="133"/>
      <c r="BR130" s="133"/>
      <c r="BS130" s="235">
        <f t="shared" si="142"/>
        <v>0</v>
      </c>
      <c r="BT130" s="324"/>
      <c r="BU130" s="131">
        <f t="shared" si="143"/>
        <v>0</v>
      </c>
      <c r="BV130" s="131">
        <f t="shared" si="144"/>
        <v>0</v>
      </c>
      <c r="BW130" s="325"/>
      <c r="BX130" s="325"/>
      <c r="BY130" s="325"/>
      <c r="BZ130" s="325"/>
      <c r="CA130" s="325"/>
      <c r="CB130" s="325"/>
      <c r="CC130" s="357">
        <f t="shared" si="145"/>
        <v>0</v>
      </c>
    </row>
    <row r="131" spans="1:81" ht="15.95" customHeight="1">
      <c r="A131" s="293" t="s">
        <v>177</v>
      </c>
      <c r="B131" s="136"/>
      <c r="C131" s="126"/>
      <c r="D131" s="126"/>
      <c r="E131" s="128"/>
      <c r="F131" s="128"/>
      <c r="G131" s="128"/>
      <c r="H131" s="128"/>
      <c r="I131" s="128"/>
      <c r="J131" s="128"/>
      <c r="K131" s="240"/>
      <c r="L131" s="136"/>
      <c r="M131" s="126"/>
      <c r="N131" s="126"/>
      <c r="O131" s="128"/>
      <c r="P131" s="128"/>
      <c r="Q131" s="128"/>
      <c r="R131" s="128"/>
      <c r="S131" s="128"/>
      <c r="T131" s="128"/>
      <c r="U131" s="240"/>
      <c r="V131" s="136"/>
      <c r="W131" s="126"/>
      <c r="X131" s="126"/>
      <c r="Y131" s="128"/>
      <c r="Z131" s="128"/>
      <c r="AA131" s="128"/>
      <c r="AB131" s="128"/>
      <c r="AC131" s="128"/>
      <c r="AD131" s="128"/>
      <c r="AE131" s="240"/>
      <c r="AF131" s="136"/>
      <c r="AG131" s="126"/>
      <c r="AH131" s="126"/>
      <c r="AI131" s="128"/>
      <c r="AJ131" s="128"/>
      <c r="AK131" s="128"/>
      <c r="AL131" s="128"/>
      <c r="AM131" s="128"/>
      <c r="AN131" s="128"/>
      <c r="AO131" s="240"/>
      <c r="AP131" s="136"/>
      <c r="AQ131" s="126"/>
      <c r="AR131" s="126"/>
      <c r="AS131" s="128"/>
      <c r="AT131" s="128"/>
      <c r="AU131" s="128"/>
      <c r="AV131" s="128"/>
      <c r="AW131" s="128"/>
      <c r="AX131" s="128"/>
      <c r="AY131" s="240"/>
      <c r="AZ131" s="136"/>
      <c r="BA131" s="126"/>
      <c r="BB131" s="126"/>
      <c r="BC131" s="128"/>
      <c r="BD131" s="128"/>
      <c r="BE131" s="128"/>
      <c r="BF131" s="128"/>
      <c r="BG131" s="128"/>
      <c r="BH131" s="128"/>
      <c r="BI131" s="240"/>
      <c r="BJ131" s="136"/>
      <c r="BK131" s="126"/>
      <c r="BL131" s="126"/>
      <c r="BM131" s="128"/>
      <c r="BN131" s="128"/>
      <c r="BO131" s="128"/>
      <c r="BP131" s="128"/>
      <c r="BQ131" s="128"/>
      <c r="BR131" s="128"/>
      <c r="BS131" s="240"/>
      <c r="BT131" s="136"/>
      <c r="BU131" s="126"/>
      <c r="BV131" s="126"/>
      <c r="BW131" s="128"/>
      <c r="BX131" s="128"/>
      <c r="BY131" s="128"/>
      <c r="BZ131" s="128"/>
      <c r="CA131" s="128"/>
      <c r="CB131" s="128"/>
      <c r="CC131" s="240"/>
    </row>
    <row r="132" spans="1:81" s="77" customFormat="1" ht="15.95" customHeight="1">
      <c r="A132" s="288" t="s">
        <v>80</v>
      </c>
      <c r="B132" s="79">
        <f>SUM(B$106:B131)</f>
        <v>839</v>
      </c>
      <c r="C132" s="131">
        <f>SUM(C$106:C131)</f>
        <v>1760277</v>
      </c>
      <c r="D132" s="131">
        <f>IFERROR(C132/B132,0)</f>
        <v>2098.0655542312275</v>
      </c>
      <c r="E132" s="132">
        <f>SUM(E$106:E131)</f>
        <v>839627</v>
      </c>
      <c r="F132" s="132">
        <f>SUM(F$106:F131)</f>
        <v>773772</v>
      </c>
      <c r="G132" s="132">
        <f>SUM(G$106:G131)</f>
        <v>0</v>
      </c>
      <c r="H132" s="132">
        <f>SUM(H$106:H131)</f>
        <v>0</v>
      </c>
      <c r="I132" s="132">
        <f>SUM(I$106:I131)</f>
        <v>146878</v>
      </c>
      <c r="J132" s="132">
        <f>SUM(J$106:J131)</f>
        <v>498106</v>
      </c>
      <c r="K132" s="235">
        <f>SUM(K$106:K131)</f>
        <v>430860</v>
      </c>
      <c r="L132" s="79">
        <f>SUM(L$106:L131)</f>
        <v>853</v>
      </c>
      <c r="M132" s="131">
        <f>SUM(M$106:M131)</f>
        <v>1855614</v>
      </c>
      <c r="N132" s="131">
        <f>IFERROR(M132/L132,0)</f>
        <v>2175.3974208675263</v>
      </c>
      <c r="O132" s="132">
        <f>SUM(O$106:O131)</f>
        <v>936422</v>
      </c>
      <c r="P132" s="132">
        <f>SUM(P$106:P131)</f>
        <v>766213</v>
      </c>
      <c r="Q132" s="132">
        <f>SUM(Q$106:Q131)</f>
        <v>0</v>
      </c>
      <c r="R132" s="132">
        <f>SUM(R$106:R131)</f>
        <v>0</v>
      </c>
      <c r="S132" s="132">
        <f>SUM(S$106:S131)</f>
        <v>152979</v>
      </c>
      <c r="T132" s="132">
        <f>SUM(T$106:T131)</f>
        <v>552904</v>
      </c>
      <c r="U132" s="235">
        <f>SUM(U$106:U131)</f>
        <v>400996</v>
      </c>
      <c r="V132" s="79">
        <f>SUM(V$106:V131)</f>
        <v>723</v>
      </c>
      <c r="W132" s="131">
        <f>SUM(W$106:W131)</f>
        <v>2050909</v>
      </c>
      <c r="X132" s="131">
        <f>IFERROR(W132/V132,0)</f>
        <v>2836.6652835408022</v>
      </c>
      <c r="Y132" s="132">
        <f>SUM(Y$106:Y131)</f>
        <v>1098098</v>
      </c>
      <c r="Z132" s="132">
        <f>SUM(Z$106:Z131)</f>
        <v>839974</v>
      </c>
      <c r="AA132" s="132">
        <f>SUM(AA$106:AA131)</f>
        <v>0</v>
      </c>
      <c r="AB132" s="132">
        <f>SUM(AB$106:AB131)</f>
        <v>0</v>
      </c>
      <c r="AC132" s="132">
        <f>SUM(AC$106:AC131)</f>
        <v>112837</v>
      </c>
      <c r="AD132" s="132">
        <f>SUM(AD$106:AD131)</f>
        <v>730921</v>
      </c>
      <c r="AE132" s="235">
        <f>SUM(AE$106:AE131)</f>
        <v>571397</v>
      </c>
      <c r="AF132" s="79">
        <f>SUM(AF$106:AF131)</f>
        <v>636</v>
      </c>
      <c r="AG132" s="131">
        <f>SUM(AG$106:AG131)</f>
        <v>2053004</v>
      </c>
      <c r="AH132" s="131">
        <f>IFERROR(AG132/AF132,0)</f>
        <v>3227.9937106918237</v>
      </c>
      <c r="AI132" s="132">
        <f>SUM(AI$106:AI131)</f>
        <v>1034227</v>
      </c>
      <c r="AJ132" s="132">
        <f>SUM(AJ$106:AJ131)</f>
        <v>938741</v>
      </c>
      <c r="AK132" s="132">
        <f>SUM(AK$106:AK131)</f>
        <v>0</v>
      </c>
      <c r="AL132" s="132">
        <f>SUM(AL$106:AL131)</f>
        <v>0</v>
      </c>
      <c r="AM132" s="132">
        <f>SUM(AM$106:AM131)</f>
        <v>80036</v>
      </c>
      <c r="AN132" s="132">
        <f>SUM(AN$106:AN131)</f>
        <v>684904</v>
      </c>
      <c r="AO132" s="235">
        <f>SUM(AO$106:AO131)</f>
        <v>511158</v>
      </c>
      <c r="AP132" s="79">
        <f>SUM(AP$106:AP131)</f>
        <v>661</v>
      </c>
      <c r="AQ132" s="131">
        <f>SUM(AQ$106:AQ131)</f>
        <v>1910614.88</v>
      </c>
      <c r="AR132" s="131">
        <f>IFERROR(AQ132/AP132,0)</f>
        <v>2890.4914977307108</v>
      </c>
      <c r="AS132" s="132">
        <f>SUM(AS$106:AS131)</f>
        <v>1022831.1000000001</v>
      </c>
      <c r="AT132" s="132">
        <f>SUM(AT$106:AT131)</f>
        <v>817771.71</v>
      </c>
      <c r="AU132" s="132">
        <f>SUM(AU$106:AU131)</f>
        <v>0</v>
      </c>
      <c r="AV132" s="132">
        <f>SUM(AV$106:AV131)</f>
        <v>0</v>
      </c>
      <c r="AW132" s="132">
        <f>SUM(AW$106:AW131)</f>
        <v>70012.070000000007</v>
      </c>
      <c r="AX132" s="132">
        <f>SUM(AX$106:AX131)</f>
        <v>697603.87999999989</v>
      </c>
      <c r="AY132" s="235">
        <f>SUM(AY$106:AY131)</f>
        <v>499550.91000000003</v>
      </c>
      <c r="AZ132" s="79">
        <f>SUM(AZ$106:AZ131)</f>
        <v>620</v>
      </c>
      <c r="BA132" s="131">
        <f>SUM(BA$106:BA131)</f>
        <v>2033119</v>
      </c>
      <c r="BB132" s="131">
        <f>IFERROR(BA132/AZ132,0)</f>
        <v>3279.2241935483871</v>
      </c>
      <c r="BC132" s="132">
        <f>SUM(BC$106:BC131)</f>
        <v>946042</v>
      </c>
      <c r="BD132" s="132">
        <f>SUM(BD$106:BD131)</f>
        <v>962799</v>
      </c>
      <c r="BE132" s="132">
        <f>SUM(BE$106:BE131)</f>
        <v>0</v>
      </c>
      <c r="BF132" s="132">
        <f>SUM(BF$106:BF131)</f>
        <v>0</v>
      </c>
      <c r="BG132" s="132">
        <f>SUM(BG$106:BG131)</f>
        <v>124278</v>
      </c>
      <c r="BH132" s="132">
        <f>SUM(BH$106:BH131)</f>
        <v>612324</v>
      </c>
      <c r="BI132" s="235">
        <f>SUM(BI$106:BI131)</f>
        <v>420462</v>
      </c>
      <c r="BJ132" s="79">
        <f>SUM(BJ$106:BJ131)</f>
        <v>589</v>
      </c>
      <c r="BK132" s="131">
        <f>SUM(BK$106:BK131)</f>
        <v>2108694</v>
      </c>
      <c r="BL132" s="131">
        <f>IFERROR(BK132/BJ132,0)</f>
        <v>3580.125636672326</v>
      </c>
      <c r="BM132" s="132">
        <f>SUM(BM$106:BM131)</f>
        <v>927712</v>
      </c>
      <c r="BN132" s="132">
        <f>SUM(BN$106:BN131)</f>
        <v>1029298</v>
      </c>
      <c r="BO132" s="132">
        <f>SUM(BO$106:BO131)</f>
        <v>0</v>
      </c>
      <c r="BP132" s="132">
        <f>SUM(BP$106:BP131)</f>
        <v>0</v>
      </c>
      <c r="BQ132" s="132">
        <f>SUM(BQ$106:BQ131)</f>
        <v>151684</v>
      </c>
      <c r="BR132" s="132">
        <f>SUM(BR$106:BR131)</f>
        <v>613863</v>
      </c>
      <c r="BS132" s="235">
        <f>SUM(BS$106:BS131)</f>
        <v>400019</v>
      </c>
      <c r="BT132" s="79">
        <f>SUM(BT$106:BT131)</f>
        <v>576</v>
      </c>
      <c r="BU132" s="131">
        <f>SUM(BU$106:BU131)</f>
        <v>1997493.1500000001</v>
      </c>
      <c r="BV132" s="131">
        <f>IFERROR(BU132/BT132,0)</f>
        <v>3467.8700520833336</v>
      </c>
      <c r="BW132" s="132">
        <f>SUM(BW$106:BW131)</f>
        <v>701605.29</v>
      </c>
      <c r="BX132" s="132">
        <f>SUM(BX$106:BX131)</f>
        <v>1012668.71</v>
      </c>
      <c r="BY132" s="132">
        <f>SUM(BY$106:BY131)</f>
        <v>0</v>
      </c>
      <c r="BZ132" s="132">
        <f>SUM(BZ$106:BZ131)</f>
        <v>0</v>
      </c>
      <c r="CA132" s="132">
        <f>SUM(CA$106:CA131)</f>
        <v>283219.15000000002</v>
      </c>
      <c r="CB132" s="132">
        <f>SUM(CB$106:CB131)</f>
        <v>508056.65</v>
      </c>
      <c r="CC132" s="235">
        <f>SUM(CC$106:CC131)</f>
        <v>267253</v>
      </c>
    </row>
    <row r="133" spans="1:81" s="77" customFormat="1" ht="15.95" customHeight="1">
      <c r="A133" s="285"/>
      <c r="B133" s="137"/>
      <c r="C133" s="245"/>
      <c r="D133" s="245"/>
      <c r="E133" s="133"/>
      <c r="F133" s="133"/>
      <c r="G133" s="133"/>
      <c r="H133" s="133"/>
      <c r="I133" s="133"/>
      <c r="J133" s="133"/>
      <c r="K133" s="246"/>
      <c r="L133" s="137"/>
      <c r="M133" s="245"/>
      <c r="N133" s="245"/>
      <c r="O133" s="133"/>
      <c r="P133" s="133"/>
      <c r="Q133" s="133"/>
      <c r="R133" s="133"/>
      <c r="S133" s="133"/>
      <c r="T133" s="133"/>
      <c r="U133" s="246"/>
      <c r="V133" s="137"/>
      <c r="W133" s="245"/>
      <c r="X133" s="245"/>
      <c r="Y133" s="133"/>
      <c r="Z133" s="133"/>
      <c r="AA133" s="133"/>
      <c r="AB133" s="133"/>
      <c r="AC133" s="133"/>
      <c r="AD133" s="133"/>
      <c r="AE133" s="246"/>
      <c r="AF133" s="137"/>
      <c r="AG133" s="245"/>
      <c r="AH133" s="245"/>
      <c r="AI133" s="133"/>
      <c r="AJ133" s="133"/>
      <c r="AK133" s="133"/>
      <c r="AL133" s="133"/>
      <c r="AM133" s="133"/>
      <c r="AN133" s="133"/>
      <c r="AO133" s="246"/>
      <c r="AP133" s="137"/>
      <c r="AQ133" s="245"/>
      <c r="AR133" s="245"/>
      <c r="AS133" s="133"/>
      <c r="AT133" s="133"/>
      <c r="AU133" s="133"/>
      <c r="AV133" s="133"/>
      <c r="AW133" s="133"/>
      <c r="AX133" s="133"/>
      <c r="AY133" s="246"/>
      <c r="AZ133" s="137"/>
      <c r="BA133" s="245"/>
      <c r="BB133" s="245"/>
      <c r="BC133" s="133"/>
      <c r="BD133" s="133"/>
      <c r="BE133" s="133"/>
      <c r="BF133" s="133"/>
      <c r="BG133" s="133"/>
      <c r="BH133" s="133"/>
      <c r="BI133" s="246"/>
      <c r="BJ133" s="137"/>
      <c r="BK133" s="245"/>
      <c r="BL133" s="245"/>
      <c r="BM133" s="133"/>
      <c r="BN133" s="133"/>
      <c r="BO133" s="133"/>
      <c r="BP133" s="133"/>
      <c r="BQ133" s="133"/>
      <c r="BR133" s="133"/>
      <c r="BS133" s="246"/>
      <c r="BT133" s="137"/>
      <c r="BU133" s="245"/>
      <c r="BV133" s="245"/>
      <c r="BW133" s="133"/>
      <c r="BX133" s="133"/>
      <c r="BY133" s="133"/>
      <c r="BZ133" s="133"/>
      <c r="CA133" s="133"/>
      <c r="CB133" s="133"/>
      <c r="CC133" s="246"/>
    </row>
    <row r="134" spans="1:81" s="77" customFormat="1" ht="15.95" customHeight="1">
      <c r="A134" s="288" t="s">
        <v>105</v>
      </c>
      <c r="B134" s="79">
        <f>SUM(B132,B104)</f>
        <v>1460</v>
      </c>
      <c r="C134" s="131">
        <f>SUM(C132,C104)</f>
        <v>2998518</v>
      </c>
      <c r="D134" s="131">
        <f>IFERROR(C134/B134,0)</f>
        <v>2053.7794520547945</v>
      </c>
      <c r="E134" s="132">
        <f t="shared" ref="E134:K134" si="156">SUM(E132,E104)</f>
        <v>839627</v>
      </c>
      <c r="F134" s="132">
        <f t="shared" si="156"/>
        <v>1697507</v>
      </c>
      <c r="G134" s="132">
        <f t="shared" si="156"/>
        <v>13009</v>
      </c>
      <c r="H134" s="132">
        <f t="shared" si="156"/>
        <v>265637</v>
      </c>
      <c r="I134" s="132">
        <f t="shared" si="156"/>
        <v>182738</v>
      </c>
      <c r="J134" s="132">
        <f t="shared" si="156"/>
        <v>1293920</v>
      </c>
      <c r="K134" s="235">
        <f t="shared" si="156"/>
        <v>430860</v>
      </c>
      <c r="L134" s="79">
        <f>SUM(L132,L104)</f>
        <v>1400</v>
      </c>
      <c r="M134" s="131">
        <f>SUM(M132,M104)</f>
        <v>3220027</v>
      </c>
      <c r="N134" s="131">
        <f>IFERROR(M134/L134,0)</f>
        <v>2300.0192857142856</v>
      </c>
      <c r="O134" s="132">
        <f t="shared" ref="O134:U134" si="157">SUM(O132,O104)</f>
        <v>936422</v>
      </c>
      <c r="P134" s="132">
        <f t="shared" si="157"/>
        <v>1787220</v>
      </c>
      <c r="Q134" s="132">
        <f t="shared" si="157"/>
        <v>32172</v>
      </c>
      <c r="R134" s="132">
        <f t="shared" si="157"/>
        <v>252416</v>
      </c>
      <c r="S134" s="132">
        <f t="shared" si="157"/>
        <v>211797</v>
      </c>
      <c r="T134" s="132">
        <f t="shared" si="157"/>
        <v>1415175</v>
      </c>
      <c r="U134" s="235">
        <f t="shared" si="157"/>
        <v>400996</v>
      </c>
      <c r="V134" s="79">
        <f>SUM(V132,V104)</f>
        <v>1230</v>
      </c>
      <c r="W134" s="131">
        <f>SUM(W132,W104)</f>
        <v>3326734</v>
      </c>
      <c r="X134" s="131">
        <f>IFERROR(W134/V134,0)</f>
        <v>2704.661788617886</v>
      </c>
      <c r="Y134" s="132">
        <f t="shared" ref="Y134:AE134" si="158">SUM(Y132,Y104)</f>
        <v>1098098</v>
      </c>
      <c r="Z134" s="132">
        <f t="shared" si="158"/>
        <v>1855765</v>
      </c>
      <c r="AA134" s="132">
        <f t="shared" si="158"/>
        <v>18454</v>
      </c>
      <c r="AB134" s="132">
        <f t="shared" si="158"/>
        <v>212987</v>
      </c>
      <c r="AC134" s="132">
        <f t="shared" si="158"/>
        <v>141430</v>
      </c>
      <c r="AD134" s="132">
        <f t="shared" si="158"/>
        <v>1555271</v>
      </c>
      <c r="AE134" s="235">
        <f t="shared" si="158"/>
        <v>571397</v>
      </c>
      <c r="AF134" s="79">
        <f>SUM(AF132,AF104)</f>
        <v>1196</v>
      </c>
      <c r="AG134" s="131">
        <f>SUM(AG132,AG104)</f>
        <v>3475673</v>
      </c>
      <c r="AH134" s="131">
        <f>IFERROR(AG134/AF134,0)</f>
        <v>2906.0811036789296</v>
      </c>
      <c r="AI134" s="132">
        <f t="shared" ref="AI134:AO134" si="159">SUM(AI132,AI104)</f>
        <v>1034227</v>
      </c>
      <c r="AJ134" s="132">
        <f t="shared" si="159"/>
        <v>1828159</v>
      </c>
      <c r="AK134" s="132">
        <f t="shared" si="159"/>
        <v>16258</v>
      </c>
      <c r="AL134" s="132">
        <f t="shared" si="159"/>
        <v>290145</v>
      </c>
      <c r="AM134" s="132">
        <f t="shared" si="159"/>
        <v>306884</v>
      </c>
      <c r="AN134" s="132">
        <f t="shared" si="159"/>
        <v>1349004</v>
      </c>
      <c r="AO134" s="235">
        <f t="shared" si="159"/>
        <v>511158</v>
      </c>
      <c r="AP134" s="79">
        <f>SUM(AP132,AP104)</f>
        <v>1160</v>
      </c>
      <c r="AQ134" s="131">
        <f>SUM(AQ132,AQ104)</f>
        <v>3246070.96</v>
      </c>
      <c r="AR134" s="131">
        <f>IFERROR(AQ134/AP134,0)</f>
        <v>2798.3370344827586</v>
      </c>
      <c r="AS134" s="132">
        <f t="shared" ref="AS134:AY134" si="160">SUM(AS132,AS104)</f>
        <v>1022831.1000000001</v>
      </c>
      <c r="AT134" s="132">
        <f t="shared" si="160"/>
        <v>1740855.62</v>
      </c>
      <c r="AU134" s="132">
        <f t="shared" si="160"/>
        <v>20902.939999999999</v>
      </c>
      <c r="AV134" s="132">
        <f t="shared" si="160"/>
        <v>208927.8</v>
      </c>
      <c r="AW134" s="132">
        <f t="shared" si="160"/>
        <v>252553.5</v>
      </c>
      <c r="AX134" s="132">
        <f t="shared" si="160"/>
        <v>1276411.5599999998</v>
      </c>
      <c r="AY134" s="235">
        <f t="shared" si="160"/>
        <v>499550.91000000003</v>
      </c>
      <c r="AZ134" s="79">
        <f>SUM(AZ132,AZ104)</f>
        <v>1107</v>
      </c>
      <c r="BA134" s="131">
        <f>SUM(BA132,BA104)</f>
        <v>3269334</v>
      </c>
      <c r="BB134" s="131">
        <f>IFERROR(BA134/AZ134,0)</f>
        <v>2953.3279132791326</v>
      </c>
      <c r="BC134" s="132">
        <f t="shared" ref="BC134:BI134" si="161">SUM(BC132,BC104)</f>
        <v>946042</v>
      </c>
      <c r="BD134" s="132">
        <f t="shared" si="161"/>
        <v>1773667</v>
      </c>
      <c r="BE134" s="132">
        <f t="shared" si="161"/>
        <v>27050</v>
      </c>
      <c r="BF134" s="132">
        <f t="shared" si="161"/>
        <v>398297</v>
      </c>
      <c r="BG134" s="132">
        <f t="shared" si="161"/>
        <v>124278</v>
      </c>
      <c r="BH134" s="132">
        <f t="shared" si="161"/>
        <v>1223274</v>
      </c>
      <c r="BI134" s="235">
        <f t="shared" si="161"/>
        <v>420462</v>
      </c>
      <c r="BJ134" s="79">
        <f>SUM(BJ132,BJ104)</f>
        <v>1144</v>
      </c>
      <c r="BK134" s="131">
        <f>SUM(BK132,BK104)</f>
        <v>3474518</v>
      </c>
      <c r="BL134" s="131">
        <f>IFERROR(BK134/BJ134,0)</f>
        <v>3037.1660839160841</v>
      </c>
      <c r="BM134" s="132">
        <f t="shared" ref="BM134:BS134" si="162">SUM(BM132,BM104)</f>
        <v>927712</v>
      </c>
      <c r="BN134" s="132">
        <f t="shared" si="162"/>
        <v>1902039</v>
      </c>
      <c r="BO134" s="132">
        <f t="shared" si="162"/>
        <v>25016</v>
      </c>
      <c r="BP134" s="132">
        <f t="shared" si="162"/>
        <v>468067</v>
      </c>
      <c r="BQ134" s="132">
        <f t="shared" si="162"/>
        <v>151684</v>
      </c>
      <c r="BR134" s="132">
        <f t="shared" si="162"/>
        <v>1293138</v>
      </c>
      <c r="BS134" s="235">
        <f t="shared" si="162"/>
        <v>400019</v>
      </c>
      <c r="BT134" s="79">
        <f>SUM(BT132,BT104)</f>
        <v>1164</v>
      </c>
      <c r="BU134" s="131">
        <f>SUM(BU132,BU104)</f>
        <v>3404105.5700000003</v>
      </c>
      <c r="BV134" s="131">
        <f>IFERROR(BU134/BT134,0)</f>
        <v>2924.4893213058422</v>
      </c>
      <c r="BW134" s="132">
        <f t="shared" ref="BW134:CC134" si="163">SUM(BW132,BW104)</f>
        <v>701605.29</v>
      </c>
      <c r="BX134" s="132">
        <f t="shared" si="163"/>
        <v>2057165.71</v>
      </c>
      <c r="BY134" s="132">
        <f t="shared" si="163"/>
        <v>56600.3</v>
      </c>
      <c r="BZ134" s="132">
        <f t="shared" si="163"/>
        <v>305515.12</v>
      </c>
      <c r="CA134" s="132">
        <f t="shared" si="163"/>
        <v>283219.15000000002</v>
      </c>
      <c r="CB134" s="132">
        <f t="shared" si="163"/>
        <v>1147071.9700000002</v>
      </c>
      <c r="CC134" s="235">
        <f t="shared" si="163"/>
        <v>267253</v>
      </c>
    </row>
    <row r="135" spans="1:81" ht="15.95" customHeight="1">
      <c r="A135" s="285"/>
      <c r="B135" s="136"/>
      <c r="C135" s="126"/>
      <c r="D135" s="126"/>
      <c r="E135" s="128"/>
      <c r="F135" s="128"/>
      <c r="G135" s="128"/>
      <c r="H135" s="128"/>
      <c r="I135" s="128"/>
      <c r="J135" s="128"/>
      <c r="K135" s="240"/>
      <c r="L135" s="136"/>
      <c r="M135" s="126"/>
      <c r="N135" s="126"/>
      <c r="O135" s="128"/>
      <c r="P135" s="128"/>
      <c r="Q135" s="128"/>
      <c r="R135" s="128"/>
      <c r="S135" s="128"/>
      <c r="T135" s="128"/>
      <c r="U135" s="240"/>
      <c r="V135" s="136"/>
      <c r="W135" s="126"/>
      <c r="X135" s="126"/>
      <c r="Y135" s="128"/>
      <c r="Z135" s="128"/>
      <c r="AA135" s="128"/>
      <c r="AB135" s="128"/>
      <c r="AC135" s="128"/>
      <c r="AD135" s="128"/>
      <c r="AE135" s="240"/>
      <c r="AF135" s="136"/>
      <c r="AG135" s="126"/>
      <c r="AH135" s="126"/>
      <c r="AI135" s="128"/>
      <c r="AJ135" s="128"/>
      <c r="AK135" s="128"/>
      <c r="AL135" s="128"/>
      <c r="AM135" s="128"/>
      <c r="AN135" s="128"/>
      <c r="AO135" s="240"/>
      <c r="AP135" s="136"/>
      <c r="AQ135" s="126"/>
      <c r="AR135" s="126"/>
      <c r="AS135" s="128"/>
      <c r="AT135" s="128"/>
      <c r="AU135" s="128"/>
      <c r="AV135" s="128"/>
      <c r="AW135" s="128"/>
      <c r="AX135" s="128"/>
      <c r="AY135" s="240"/>
      <c r="AZ135" s="136"/>
      <c r="BA135" s="126"/>
      <c r="BB135" s="126"/>
      <c r="BC135" s="128"/>
      <c r="BD135" s="128"/>
      <c r="BE135" s="128"/>
      <c r="BF135" s="128"/>
      <c r="BG135" s="128"/>
      <c r="BH135" s="128"/>
      <c r="BI135" s="240"/>
      <c r="BJ135" s="136"/>
      <c r="BK135" s="126"/>
      <c r="BL135" s="126"/>
      <c r="BM135" s="128"/>
      <c r="BN135" s="128"/>
      <c r="BO135" s="128"/>
      <c r="BP135" s="128"/>
      <c r="BQ135" s="128"/>
      <c r="BR135" s="128"/>
      <c r="BS135" s="240"/>
      <c r="BT135" s="136"/>
      <c r="BU135" s="126"/>
      <c r="BV135" s="126"/>
      <c r="BW135" s="128"/>
      <c r="BX135" s="128"/>
      <c r="BY135" s="128"/>
      <c r="BZ135" s="128"/>
      <c r="CA135" s="128"/>
      <c r="CB135" s="128"/>
      <c r="CC135" s="240"/>
    </row>
    <row r="136" spans="1:81" ht="15.95" customHeight="1">
      <c r="A136" s="284" t="s">
        <v>106</v>
      </c>
      <c r="B136" s="136"/>
      <c r="C136" s="126"/>
      <c r="D136" s="126"/>
      <c r="E136" s="128"/>
      <c r="F136" s="128"/>
      <c r="G136" s="128"/>
      <c r="H136" s="128"/>
      <c r="I136" s="128"/>
      <c r="J136" s="128"/>
      <c r="K136" s="240"/>
      <c r="L136" s="136"/>
      <c r="M136" s="126"/>
      <c r="N136" s="126"/>
      <c r="O136" s="128"/>
      <c r="P136" s="128"/>
      <c r="Q136" s="128"/>
      <c r="R136" s="128"/>
      <c r="S136" s="128"/>
      <c r="T136" s="128"/>
      <c r="U136" s="240"/>
      <c r="V136" s="136"/>
      <c r="W136" s="126"/>
      <c r="X136" s="126"/>
      <c r="Y136" s="128"/>
      <c r="Z136" s="128"/>
      <c r="AA136" s="128"/>
      <c r="AB136" s="128"/>
      <c r="AC136" s="128"/>
      <c r="AD136" s="128"/>
      <c r="AE136" s="240"/>
      <c r="AF136" s="136"/>
      <c r="AG136" s="126"/>
      <c r="AH136" s="126"/>
      <c r="AI136" s="128"/>
      <c r="AJ136" s="128"/>
      <c r="AK136" s="128"/>
      <c r="AL136" s="128"/>
      <c r="AM136" s="128"/>
      <c r="AN136" s="128"/>
      <c r="AO136" s="240"/>
      <c r="AP136" s="136"/>
      <c r="AQ136" s="126"/>
      <c r="AR136" s="126"/>
      <c r="AS136" s="128"/>
      <c r="AT136" s="128"/>
      <c r="AU136" s="128"/>
      <c r="AV136" s="128"/>
      <c r="AW136" s="128"/>
      <c r="AX136" s="128"/>
      <c r="AY136" s="240"/>
      <c r="AZ136" s="136"/>
      <c r="BA136" s="126"/>
      <c r="BB136" s="126"/>
      <c r="BC136" s="128"/>
      <c r="BD136" s="128"/>
      <c r="BE136" s="128"/>
      <c r="BF136" s="128"/>
      <c r="BG136" s="128"/>
      <c r="BH136" s="128"/>
      <c r="BI136" s="240"/>
      <c r="BJ136" s="136"/>
      <c r="BK136" s="126"/>
      <c r="BL136" s="126"/>
      <c r="BM136" s="128"/>
      <c r="BN136" s="128"/>
      <c r="BO136" s="128"/>
      <c r="BP136" s="128"/>
      <c r="BQ136" s="128"/>
      <c r="BR136" s="128"/>
      <c r="BS136" s="240"/>
      <c r="BT136" s="136"/>
      <c r="BU136" s="126"/>
      <c r="BV136" s="126"/>
      <c r="BW136" s="128"/>
      <c r="BX136" s="128"/>
      <c r="BY136" s="128"/>
      <c r="BZ136" s="128"/>
      <c r="CA136" s="128"/>
      <c r="CB136" s="128"/>
      <c r="CC136" s="240"/>
    </row>
    <row r="137" spans="1:81" s="77" customFormat="1" ht="15.95" customHeight="1">
      <c r="A137" s="287" t="s">
        <v>107</v>
      </c>
      <c r="B137" s="137">
        <v>73</v>
      </c>
      <c r="C137" s="131">
        <f t="shared" ref="C137:C149" si="164">SUM(E137:I137)</f>
        <v>390509</v>
      </c>
      <c r="D137" s="131">
        <f t="shared" ref="D137:D149" si="165">IFERROR(C137/B137,0)</f>
        <v>5349.4383561643835</v>
      </c>
      <c r="E137" s="133"/>
      <c r="F137" s="133"/>
      <c r="G137" s="133"/>
      <c r="H137" s="133"/>
      <c r="I137" s="133">
        <v>390509</v>
      </c>
      <c r="J137" s="133">
        <v>172785</v>
      </c>
      <c r="K137" s="235">
        <f t="shared" ref="K137:K149" si="166">IF(E137&lt;=J137,E137,J137)</f>
        <v>0</v>
      </c>
      <c r="L137" s="137">
        <v>95</v>
      </c>
      <c r="M137" s="131">
        <f t="shared" ref="M137:M148" si="167">SUM(O137:S137)</f>
        <v>595823</v>
      </c>
      <c r="N137" s="131">
        <f t="shared" ref="N137:N148" si="168">IFERROR(M137/L137,0)</f>
        <v>6271.8210526315788</v>
      </c>
      <c r="O137" s="133"/>
      <c r="P137" s="133"/>
      <c r="Q137" s="133"/>
      <c r="R137" s="133">
        <v>595823</v>
      </c>
      <c r="S137" s="133"/>
      <c r="T137" s="133">
        <v>240648</v>
      </c>
      <c r="U137" s="235">
        <f t="shared" ref="U137:U149" si="169">IF(O137&lt;=T137,O137,T137)</f>
        <v>0</v>
      </c>
      <c r="V137" s="137">
        <v>96</v>
      </c>
      <c r="W137" s="131">
        <f>SUM(Y137:AC137)</f>
        <v>691562</v>
      </c>
      <c r="X137" s="131">
        <f>IFERROR(W137/V137,0)</f>
        <v>7203.770833333333</v>
      </c>
      <c r="Y137" s="133"/>
      <c r="Z137" s="133"/>
      <c r="AA137" s="133"/>
      <c r="AB137" s="133">
        <v>691562</v>
      </c>
      <c r="AC137" s="133"/>
      <c r="AD137" s="133">
        <v>329906</v>
      </c>
      <c r="AE137" s="235">
        <f t="shared" ref="AE137:AE149" si="170">IF(Y137&lt;=AD137,Y137,AD137)</f>
        <v>0</v>
      </c>
      <c r="AF137" s="137">
        <v>97</v>
      </c>
      <c r="AG137" s="131">
        <f>SUM(AI137:AM137)</f>
        <v>720619</v>
      </c>
      <c r="AH137" s="131">
        <f>IFERROR(AG137/AF137,0)</f>
        <v>7429.0618556701029</v>
      </c>
      <c r="AI137" s="133"/>
      <c r="AJ137" s="133"/>
      <c r="AK137" s="133"/>
      <c r="AL137" s="133">
        <v>720619</v>
      </c>
      <c r="AM137" s="133"/>
      <c r="AN137" s="133">
        <v>323392</v>
      </c>
      <c r="AO137" s="235">
        <f t="shared" ref="AO137:AO149" si="171">IF(AI137&lt;=AN137,AI137,AN137)</f>
        <v>0</v>
      </c>
      <c r="AP137" s="137">
        <v>117</v>
      </c>
      <c r="AQ137" s="131">
        <f>SUM(AS137:AW137)</f>
        <v>839834.8</v>
      </c>
      <c r="AR137" s="131">
        <f>IFERROR(AQ137/AP137,0)</f>
        <v>7178.0752136752144</v>
      </c>
      <c r="AS137" s="133"/>
      <c r="AT137" s="133"/>
      <c r="AU137" s="133"/>
      <c r="AV137" s="133">
        <v>839834.8</v>
      </c>
      <c r="AW137" s="133"/>
      <c r="AX137" s="133">
        <v>373890.8</v>
      </c>
      <c r="AY137" s="235">
        <f t="shared" ref="AY137:AY149" si="172">IF(AS137&lt;=AX137,AS137,AX137)</f>
        <v>0</v>
      </c>
      <c r="AZ137" s="137">
        <v>85</v>
      </c>
      <c r="BA137" s="131">
        <f t="shared" ref="BA137:BA149" si="173">SUM(BC137:BG137)</f>
        <v>663430</v>
      </c>
      <c r="BB137" s="131">
        <f t="shared" ref="BB137:BB149" si="174">IFERROR(BA137/AZ137,0)</f>
        <v>7805.0588235294117</v>
      </c>
      <c r="BC137" s="133"/>
      <c r="BD137" s="133"/>
      <c r="BE137" s="133"/>
      <c r="BF137" s="133">
        <v>663430</v>
      </c>
      <c r="BG137" s="133"/>
      <c r="BH137" s="133">
        <v>313609</v>
      </c>
      <c r="BI137" s="235">
        <f t="shared" ref="BI137:BI149" si="175">IF(BC137&lt;=BH137,BC137,BH137)</f>
        <v>0</v>
      </c>
      <c r="BJ137" s="137">
        <v>67</v>
      </c>
      <c r="BK137" s="131">
        <f t="shared" ref="BK137:BK149" si="176">SUM(BM137:BQ137)</f>
        <v>583378</v>
      </c>
      <c r="BL137" s="131">
        <f t="shared" ref="BL137:BL149" si="177">IFERROR(BK137/BJ137,0)</f>
        <v>8707.1343283582082</v>
      </c>
      <c r="BM137" s="133"/>
      <c r="BN137" s="133"/>
      <c r="BO137" s="133"/>
      <c r="BP137" s="133">
        <v>583378</v>
      </c>
      <c r="BQ137" s="133"/>
      <c r="BR137" s="133">
        <v>267937</v>
      </c>
      <c r="BS137" s="235">
        <f t="shared" ref="BS137:BS149" si="178">IF(BR137=0,0,(IF(BM137&lt;=BR137,BM137,BR137)))</f>
        <v>0</v>
      </c>
      <c r="BT137" s="324">
        <v>70</v>
      </c>
      <c r="BU137" s="131">
        <f t="shared" ref="BU137:BU149" si="179">SUM(BW137:CA137)</f>
        <v>570338</v>
      </c>
      <c r="BV137" s="131">
        <f t="shared" ref="BV137:BV149" si="180">IFERROR(BU137/BT137,0)</f>
        <v>8147.6857142857143</v>
      </c>
      <c r="BW137" s="325"/>
      <c r="BX137" s="325"/>
      <c r="BY137" s="325"/>
      <c r="BZ137" s="325">
        <v>570338</v>
      </c>
      <c r="CA137" s="325"/>
      <c r="CB137" s="325">
        <v>265408</v>
      </c>
      <c r="CC137" s="357">
        <f t="shared" ref="CC137:CC149" si="181">IF(CB137=0,0,(IF(BW137&lt;=CB137,BW137,CB137)))</f>
        <v>0</v>
      </c>
    </row>
    <row r="138" spans="1:81" s="77" customFormat="1" ht="15.95" customHeight="1">
      <c r="A138" s="287" t="s">
        <v>108</v>
      </c>
      <c r="B138" s="137">
        <v>1292</v>
      </c>
      <c r="C138" s="131">
        <f t="shared" si="164"/>
        <v>6186030</v>
      </c>
      <c r="D138" s="131">
        <f t="shared" si="165"/>
        <v>4787.948916408669</v>
      </c>
      <c r="E138" s="133"/>
      <c r="F138" s="133"/>
      <c r="G138" s="133"/>
      <c r="H138" s="133">
        <v>6186030</v>
      </c>
      <c r="I138" s="133"/>
      <c r="J138" s="133">
        <v>2932761</v>
      </c>
      <c r="K138" s="235">
        <f t="shared" si="166"/>
        <v>0</v>
      </c>
      <c r="L138" s="137">
        <v>1213</v>
      </c>
      <c r="M138" s="131">
        <f t="shared" si="167"/>
        <v>6315672</v>
      </c>
      <c r="N138" s="131">
        <f t="shared" si="168"/>
        <v>5206.6545754328108</v>
      </c>
      <c r="O138" s="133"/>
      <c r="P138" s="133"/>
      <c r="Q138" s="133"/>
      <c r="R138" s="133">
        <v>6315672</v>
      </c>
      <c r="S138" s="133"/>
      <c r="T138" s="133">
        <v>3073326</v>
      </c>
      <c r="U138" s="235">
        <f t="shared" si="169"/>
        <v>0</v>
      </c>
      <c r="V138" s="137">
        <v>1074</v>
      </c>
      <c r="W138" s="131">
        <f>SUM(Y138:AC138)</f>
        <v>5755397</v>
      </c>
      <c r="X138" s="131">
        <f>IFERROR(W138/V138,0)</f>
        <v>5358.8426443202979</v>
      </c>
      <c r="Y138" s="133"/>
      <c r="Z138" s="133"/>
      <c r="AA138" s="133"/>
      <c r="AB138" s="133">
        <v>5755397</v>
      </c>
      <c r="AC138" s="133"/>
      <c r="AD138" s="133">
        <v>2820721</v>
      </c>
      <c r="AE138" s="235">
        <f t="shared" si="170"/>
        <v>0</v>
      </c>
      <c r="AF138" s="137">
        <v>949</v>
      </c>
      <c r="AG138" s="131">
        <f>SUM(AI138:AM138)</f>
        <v>4937373</v>
      </c>
      <c r="AH138" s="131">
        <f>IFERROR(AG138/AF138,0)</f>
        <v>5202.7112750263432</v>
      </c>
      <c r="AI138" s="133"/>
      <c r="AJ138" s="133"/>
      <c r="AK138" s="133"/>
      <c r="AL138" s="133">
        <v>4937373</v>
      </c>
      <c r="AM138" s="133"/>
      <c r="AN138" s="133">
        <v>2594182</v>
      </c>
      <c r="AO138" s="235">
        <f t="shared" si="171"/>
        <v>0</v>
      </c>
      <c r="AP138" s="137">
        <v>945</v>
      </c>
      <c r="AQ138" s="131">
        <f>SUM(AS138:AW138)</f>
        <v>5150960</v>
      </c>
      <c r="AR138" s="131">
        <f>IFERROR(AQ138/AP138,0)</f>
        <v>5450.7513227513227</v>
      </c>
      <c r="AS138" s="133"/>
      <c r="AT138" s="133"/>
      <c r="AU138" s="133"/>
      <c r="AV138" s="133">
        <v>5150960</v>
      </c>
      <c r="AW138" s="133"/>
      <c r="AX138" s="133">
        <v>2707485</v>
      </c>
      <c r="AY138" s="235">
        <f t="shared" si="172"/>
        <v>0</v>
      </c>
      <c r="AZ138" s="137">
        <v>864</v>
      </c>
      <c r="BA138" s="131">
        <f t="shared" si="173"/>
        <v>4917488</v>
      </c>
      <c r="BB138" s="131">
        <f t="shared" si="174"/>
        <v>5691.5370370370374</v>
      </c>
      <c r="BC138" s="133"/>
      <c r="BD138" s="133"/>
      <c r="BE138" s="133"/>
      <c r="BF138" s="133">
        <v>4917488</v>
      </c>
      <c r="BG138" s="133"/>
      <c r="BH138" s="133">
        <v>2569689</v>
      </c>
      <c r="BI138" s="235">
        <f t="shared" si="175"/>
        <v>0</v>
      </c>
      <c r="BJ138" s="137">
        <v>811</v>
      </c>
      <c r="BK138" s="131">
        <f t="shared" si="176"/>
        <v>4632214</v>
      </c>
      <c r="BL138" s="131">
        <f t="shared" si="177"/>
        <v>5711.7311960542538</v>
      </c>
      <c r="BM138" s="133"/>
      <c r="BN138" s="133"/>
      <c r="BO138" s="133"/>
      <c r="BP138" s="133">
        <v>4632214</v>
      </c>
      <c r="BQ138" s="133"/>
      <c r="BR138" s="133">
        <v>2467011</v>
      </c>
      <c r="BS138" s="235">
        <f t="shared" si="178"/>
        <v>0</v>
      </c>
      <c r="BT138" s="324">
        <v>944</v>
      </c>
      <c r="BU138" s="131">
        <f t="shared" si="179"/>
        <v>5434772</v>
      </c>
      <c r="BV138" s="131">
        <f t="shared" si="180"/>
        <v>5757.1737288135591</v>
      </c>
      <c r="BW138" s="325"/>
      <c r="BX138" s="325"/>
      <c r="BY138" s="325"/>
      <c r="BZ138" s="325">
        <v>5434772</v>
      </c>
      <c r="CA138" s="325"/>
      <c r="CB138" s="325">
        <v>2689994</v>
      </c>
      <c r="CC138" s="357">
        <f t="shared" si="181"/>
        <v>0</v>
      </c>
    </row>
    <row r="139" spans="1:81" s="77" customFormat="1" ht="15.95" customHeight="1">
      <c r="A139" s="287" t="s">
        <v>109</v>
      </c>
      <c r="B139" s="137">
        <v>244</v>
      </c>
      <c r="C139" s="131">
        <f t="shared" si="164"/>
        <v>1113443</v>
      </c>
      <c r="D139" s="131">
        <f t="shared" si="165"/>
        <v>4563.2909836065573</v>
      </c>
      <c r="E139" s="133"/>
      <c r="F139" s="133"/>
      <c r="G139" s="133"/>
      <c r="H139" s="133">
        <v>1113443</v>
      </c>
      <c r="I139" s="133"/>
      <c r="J139" s="133">
        <v>476220</v>
      </c>
      <c r="K139" s="235">
        <f t="shared" si="166"/>
        <v>0</v>
      </c>
      <c r="L139" s="137">
        <v>247</v>
      </c>
      <c r="M139" s="131">
        <f t="shared" si="167"/>
        <v>1339111</v>
      </c>
      <c r="N139" s="131">
        <f t="shared" si="168"/>
        <v>5421.5020242914979</v>
      </c>
      <c r="O139" s="133"/>
      <c r="P139" s="133"/>
      <c r="Q139" s="133"/>
      <c r="R139" s="133">
        <v>1339111</v>
      </c>
      <c r="S139" s="133"/>
      <c r="T139" s="133">
        <v>496320</v>
      </c>
      <c r="U139" s="235">
        <f t="shared" si="169"/>
        <v>0</v>
      </c>
      <c r="V139" s="137">
        <v>161</v>
      </c>
      <c r="W139" s="131">
        <f>SUM(Y139:AC139)</f>
        <v>1155306</v>
      </c>
      <c r="X139" s="131">
        <f>IFERROR(W139/V139,0)</f>
        <v>7175.8136645962732</v>
      </c>
      <c r="Y139" s="133"/>
      <c r="Z139" s="133"/>
      <c r="AA139" s="133"/>
      <c r="AB139" s="133">
        <v>1155306</v>
      </c>
      <c r="AC139" s="133"/>
      <c r="AD139" s="133">
        <v>484075</v>
      </c>
      <c r="AE139" s="235">
        <f t="shared" si="170"/>
        <v>0</v>
      </c>
      <c r="AF139" s="137">
        <v>145</v>
      </c>
      <c r="AG139" s="131">
        <f>SUM(AI139:AM139)</f>
        <v>1137577</v>
      </c>
      <c r="AH139" s="131">
        <f>IFERROR(AG139/AF139,0)</f>
        <v>7845.3586206896553</v>
      </c>
      <c r="AI139" s="133"/>
      <c r="AJ139" s="133"/>
      <c r="AK139" s="133"/>
      <c r="AL139" s="133">
        <v>1137577</v>
      </c>
      <c r="AM139" s="133"/>
      <c r="AN139" s="133">
        <v>406941</v>
      </c>
      <c r="AO139" s="235">
        <f t="shared" si="171"/>
        <v>0</v>
      </c>
      <c r="AP139" s="137">
        <v>182</v>
      </c>
      <c r="AQ139" s="131">
        <f>SUM(AS139:AW139)</f>
        <v>1317959</v>
      </c>
      <c r="AR139" s="131">
        <f>IFERROR(AQ139/AP139,0)</f>
        <v>7241.5329670329675</v>
      </c>
      <c r="AS139" s="133"/>
      <c r="AT139" s="133"/>
      <c r="AU139" s="133"/>
      <c r="AV139" s="133">
        <v>1317959</v>
      </c>
      <c r="AW139" s="133"/>
      <c r="AX139" s="133">
        <v>457923</v>
      </c>
      <c r="AY139" s="235">
        <f t="shared" si="172"/>
        <v>0</v>
      </c>
      <c r="AZ139" s="137">
        <v>171</v>
      </c>
      <c r="BA139" s="131">
        <f t="shared" si="173"/>
        <v>1335484</v>
      </c>
      <c r="BB139" s="131">
        <f t="shared" si="174"/>
        <v>7809.8479532163747</v>
      </c>
      <c r="BC139" s="133"/>
      <c r="BD139" s="133"/>
      <c r="BE139" s="133"/>
      <c r="BF139" s="133">
        <v>1335484</v>
      </c>
      <c r="BG139" s="133"/>
      <c r="BH139" s="133">
        <v>563303</v>
      </c>
      <c r="BI139" s="235">
        <f t="shared" si="175"/>
        <v>0</v>
      </c>
      <c r="BJ139" s="137">
        <v>143</v>
      </c>
      <c r="BK139" s="131">
        <f t="shared" si="176"/>
        <v>1193944</v>
      </c>
      <c r="BL139" s="131">
        <f t="shared" si="177"/>
        <v>8349.2587412587418</v>
      </c>
      <c r="BM139" s="133"/>
      <c r="BN139" s="133"/>
      <c r="BO139" s="133"/>
      <c r="BP139" s="133">
        <v>1193944</v>
      </c>
      <c r="BQ139" s="133"/>
      <c r="BR139" s="133">
        <v>501499</v>
      </c>
      <c r="BS139" s="235">
        <f t="shared" si="178"/>
        <v>0</v>
      </c>
      <c r="BT139" s="324">
        <v>116</v>
      </c>
      <c r="BU139" s="131">
        <f t="shared" si="179"/>
        <v>935861</v>
      </c>
      <c r="BV139" s="131">
        <f t="shared" si="180"/>
        <v>8067.7672413793107</v>
      </c>
      <c r="BW139" s="325"/>
      <c r="BX139" s="325"/>
      <c r="BY139" s="325"/>
      <c r="BZ139" s="325">
        <v>935861</v>
      </c>
      <c r="CA139" s="325"/>
      <c r="CB139" s="325">
        <v>415624</v>
      </c>
      <c r="CC139" s="357">
        <f t="shared" si="181"/>
        <v>0</v>
      </c>
    </row>
    <row r="140" spans="1:81" s="77" customFormat="1" ht="15.95" customHeight="1">
      <c r="A140" s="287" t="s">
        <v>110</v>
      </c>
      <c r="B140" s="137">
        <v>121</v>
      </c>
      <c r="C140" s="131">
        <f t="shared" si="164"/>
        <v>57239</v>
      </c>
      <c r="D140" s="131">
        <f t="shared" si="165"/>
        <v>473.04958677685948</v>
      </c>
      <c r="E140" s="133">
        <v>57239</v>
      </c>
      <c r="F140" s="133"/>
      <c r="G140" s="133"/>
      <c r="H140" s="133"/>
      <c r="I140" s="133"/>
      <c r="J140" s="133"/>
      <c r="K140" s="235">
        <f t="shared" si="166"/>
        <v>0</v>
      </c>
      <c r="L140" s="137">
        <v>119</v>
      </c>
      <c r="M140" s="131">
        <f t="shared" si="167"/>
        <v>15563</v>
      </c>
      <c r="N140" s="131">
        <f t="shared" si="168"/>
        <v>130.78151260504202</v>
      </c>
      <c r="O140" s="133">
        <v>15256</v>
      </c>
      <c r="P140" s="133">
        <v>307</v>
      </c>
      <c r="Q140" s="133"/>
      <c r="R140" s="133"/>
      <c r="S140" s="133"/>
      <c r="T140" s="133"/>
      <c r="U140" s="235">
        <f t="shared" si="169"/>
        <v>0</v>
      </c>
      <c r="V140" s="137">
        <v>0</v>
      </c>
      <c r="W140" s="131">
        <f>SUM(Y140:AC140)</f>
        <v>0</v>
      </c>
      <c r="X140" s="131">
        <f>IFERROR(W140/V140,0)</f>
        <v>0</v>
      </c>
      <c r="Y140" s="133"/>
      <c r="Z140" s="133"/>
      <c r="AA140" s="133"/>
      <c r="AB140" s="133"/>
      <c r="AC140" s="133"/>
      <c r="AD140" s="133"/>
      <c r="AE140" s="235">
        <f t="shared" si="170"/>
        <v>0</v>
      </c>
      <c r="AF140" s="137"/>
      <c r="AG140" s="131">
        <f>SUM(AI140:AM140)</f>
        <v>0</v>
      </c>
      <c r="AH140" s="131">
        <f>IFERROR(AG140/AF140,0)</f>
        <v>0</v>
      </c>
      <c r="AI140" s="133"/>
      <c r="AJ140" s="133"/>
      <c r="AK140" s="133"/>
      <c r="AL140" s="133"/>
      <c r="AM140" s="133"/>
      <c r="AN140" s="133"/>
      <c r="AO140" s="235">
        <f t="shared" si="171"/>
        <v>0</v>
      </c>
      <c r="AP140" s="137"/>
      <c r="AQ140" s="131">
        <f>SUM(AS140:AW140)</f>
        <v>0</v>
      </c>
      <c r="AR140" s="131">
        <f>IFERROR(AQ140/AP140,0)</f>
        <v>0</v>
      </c>
      <c r="AS140" s="133"/>
      <c r="AT140" s="133"/>
      <c r="AU140" s="133"/>
      <c r="AV140" s="133"/>
      <c r="AW140" s="133"/>
      <c r="AX140" s="133"/>
      <c r="AY140" s="235">
        <f t="shared" si="172"/>
        <v>0</v>
      </c>
      <c r="AZ140" s="137"/>
      <c r="BA140" s="131">
        <f t="shared" si="173"/>
        <v>0</v>
      </c>
      <c r="BB140" s="131">
        <f t="shared" si="174"/>
        <v>0</v>
      </c>
      <c r="BC140" s="133"/>
      <c r="BD140" s="133"/>
      <c r="BE140" s="133"/>
      <c r="BF140" s="133"/>
      <c r="BG140" s="133"/>
      <c r="BH140" s="133"/>
      <c r="BI140" s="235">
        <f t="shared" si="175"/>
        <v>0</v>
      </c>
      <c r="BJ140" s="137">
        <v>0</v>
      </c>
      <c r="BK140" s="131">
        <f t="shared" si="176"/>
        <v>0</v>
      </c>
      <c r="BL140" s="131">
        <f t="shared" si="177"/>
        <v>0</v>
      </c>
      <c r="BM140" s="133"/>
      <c r="BN140" s="133"/>
      <c r="BO140" s="133"/>
      <c r="BP140" s="133"/>
      <c r="BQ140" s="133"/>
      <c r="BR140" s="133"/>
      <c r="BS140" s="235">
        <f t="shared" si="178"/>
        <v>0</v>
      </c>
      <c r="BT140" s="324">
        <v>0</v>
      </c>
      <c r="BU140" s="131">
        <f t="shared" si="179"/>
        <v>0</v>
      </c>
      <c r="BV140" s="131">
        <f t="shared" si="180"/>
        <v>0</v>
      </c>
      <c r="BW140" s="325"/>
      <c r="BX140" s="325"/>
      <c r="BY140" s="325"/>
      <c r="BZ140" s="325"/>
      <c r="CA140" s="325"/>
      <c r="CB140" s="325"/>
      <c r="CC140" s="357">
        <f t="shared" si="181"/>
        <v>0</v>
      </c>
    </row>
    <row r="141" spans="1:81" s="77" customFormat="1" ht="15.95" customHeight="1">
      <c r="A141" s="287" t="s">
        <v>111</v>
      </c>
      <c r="B141" s="137">
        <v>8</v>
      </c>
      <c r="C141" s="131">
        <f t="shared" si="164"/>
        <v>4230</v>
      </c>
      <c r="D141" s="131">
        <f t="shared" si="165"/>
        <v>528.75</v>
      </c>
      <c r="E141" s="133">
        <v>4230</v>
      </c>
      <c r="F141" s="133"/>
      <c r="G141" s="133"/>
      <c r="H141" s="133"/>
      <c r="I141" s="133"/>
      <c r="J141" s="133">
        <v>3000</v>
      </c>
      <c r="K141" s="235">
        <f t="shared" si="166"/>
        <v>3000</v>
      </c>
      <c r="L141" s="137">
        <v>9</v>
      </c>
      <c r="M141" s="131">
        <f t="shared" si="167"/>
        <v>4909</v>
      </c>
      <c r="N141" s="131">
        <f t="shared" si="168"/>
        <v>545.44444444444446</v>
      </c>
      <c r="O141" s="133"/>
      <c r="P141" s="133">
        <v>4909</v>
      </c>
      <c r="Q141" s="133"/>
      <c r="R141" s="133"/>
      <c r="S141" s="133"/>
      <c r="T141" s="133">
        <v>3273</v>
      </c>
      <c r="U141" s="235">
        <f t="shared" si="169"/>
        <v>0</v>
      </c>
      <c r="V141" s="137">
        <v>16</v>
      </c>
      <c r="W141" s="131">
        <f>SUM(Y141:AC141)</f>
        <v>8000</v>
      </c>
      <c r="X141" s="131">
        <f>IFERROR(W141/V141,0)</f>
        <v>500</v>
      </c>
      <c r="Y141" s="133"/>
      <c r="Z141" s="133">
        <v>8000</v>
      </c>
      <c r="AA141" s="133"/>
      <c r="AB141" s="133"/>
      <c r="AC141" s="133"/>
      <c r="AD141" s="133">
        <v>3500</v>
      </c>
      <c r="AE141" s="235">
        <f t="shared" si="170"/>
        <v>0</v>
      </c>
      <c r="AF141" s="137"/>
      <c r="AG141" s="131">
        <f>SUM(AI141:AM141)</f>
        <v>0</v>
      </c>
      <c r="AH141" s="131">
        <f>IFERROR(AG141/AF141,0)</f>
        <v>0</v>
      </c>
      <c r="AI141" s="133"/>
      <c r="AJ141" s="133"/>
      <c r="AK141" s="133"/>
      <c r="AL141" s="133"/>
      <c r="AM141" s="133"/>
      <c r="AN141" s="133"/>
      <c r="AO141" s="235">
        <f t="shared" si="171"/>
        <v>0</v>
      </c>
      <c r="AP141" s="137"/>
      <c r="AQ141" s="131">
        <f>SUM(AS141:AW141)</f>
        <v>0</v>
      </c>
      <c r="AR141" s="131">
        <f>IFERROR(AQ141/AP141,0)</f>
        <v>0</v>
      </c>
      <c r="AS141" s="133"/>
      <c r="AT141" s="133"/>
      <c r="AU141" s="133"/>
      <c r="AV141" s="133"/>
      <c r="AW141" s="133"/>
      <c r="AX141" s="133"/>
      <c r="AY141" s="235">
        <f t="shared" si="172"/>
        <v>0</v>
      </c>
      <c r="AZ141" s="137"/>
      <c r="BA141" s="131">
        <f t="shared" si="173"/>
        <v>0</v>
      </c>
      <c r="BB141" s="131">
        <f t="shared" si="174"/>
        <v>0</v>
      </c>
      <c r="BC141" s="133"/>
      <c r="BD141" s="133"/>
      <c r="BE141" s="133"/>
      <c r="BF141" s="133"/>
      <c r="BG141" s="133"/>
      <c r="BH141" s="133"/>
      <c r="BI141" s="235">
        <f t="shared" si="175"/>
        <v>0</v>
      </c>
      <c r="BJ141" s="137">
        <v>0</v>
      </c>
      <c r="BK141" s="131">
        <f t="shared" si="176"/>
        <v>0</v>
      </c>
      <c r="BL141" s="131">
        <f t="shared" si="177"/>
        <v>0</v>
      </c>
      <c r="BM141" s="133"/>
      <c r="BN141" s="133"/>
      <c r="BO141" s="133"/>
      <c r="BP141" s="133"/>
      <c r="BQ141" s="133"/>
      <c r="BR141" s="133"/>
      <c r="BS141" s="235">
        <f t="shared" si="178"/>
        <v>0</v>
      </c>
      <c r="BT141" s="324">
        <v>0</v>
      </c>
      <c r="BU141" s="131">
        <f t="shared" si="179"/>
        <v>0</v>
      </c>
      <c r="BV141" s="131">
        <f t="shared" si="180"/>
        <v>0</v>
      </c>
      <c r="BW141" s="325"/>
      <c r="BX141" s="325"/>
      <c r="BY141" s="325"/>
      <c r="BZ141" s="325"/>
      <c r="CA141" s="325"/>
      <c r="CB141" s="325"/>
      <c r="CC141" s="357">
        <f t="shared" si="181"/>
        <v>0</v>
      </c>
    </row>
    <row r="142" spans="1:81" s="77" customFormat="1" ht="15.95" customHeight="1">
      <c r="A142" s="326"/>
      <c r="B142" s="137"/>
      <c r="C142" s="131">
        <f t="shared" ref="C142:C148" si="182">SUM(E142:I142)</f>
        <v>0</v>
      </c>
      <c r="D142" s="131">
        <f t="shared" ref="D142:D148" si="183">IFERROR(C142/B142,0)</f>
        <v>0</v>
      </c>
      <c r="E142" s="133"/>
      <c r="F142" s="133"/>
      <c r="G142" s="133"/>
      <c r="H142" s="133"/>
      <c r="I142" s="133"/>
      <c r="J142" s="133"/>
      <c r="K142" s="235">
        <f t="shared" si="166"/>
        <v>0</v>
      </c>
      <c r="L142" s="137"/>
      <c r="M142" s="131">
        <f t="shared" si="167"/>
        <v>0</v>
      </c>
      <c r="N142" s="131">
        <f t="shared" si="168"/>
        <v>0</v>
      </c>
      <c r="O142" s="133"/>
      <c r="P142" s="133"/>
      <c r="Q142" s="133"/>
      <c r="R142" s="133"/>
      <c r="S142" s="133"/>
      <c r="T142" s="133"/>
      <c r="U142" s="235">
        <f t="shared" si="169"/>
        <v>0</v>
      </c>
      <c r="V142" s="137"/>
      <c r="W142" s="131">
        <f t="shared" ref="W142:W149" si="184">SUM(Y142:AC142)</f>
        <v>0</v>
      </c>
      <c r="X142" s="131">
        <f t="shared" ref="X142:X149" si="185">IFERROR(W142/V142,0)</f>
        <v>0</v>
      </c>
      <c r="Y142" s="133"/>
      <c r="Z142" s="133"/>
      <c r="AA142" s="133"/>
      <c r="AB142" s="133"/>
      <c r="AC142" s="133"/>
      <c r="AD142" s="133"/>
      <c r="AE142" s="235">
        <f t="shared" si="170"/>
        <v>0</v>
      </c>
      <c r="AF142" s="137"/>
      <c r="AG142" s="131">
        <f t="shared" ref="AG142:AG150" si="186">SUM(AI142:AM142)</f>
        <v>0</v>
      </c>
      <c r="AH142" s="131">
        <f t="shared" ref="AH142:AH150" si="187">IFERROR(AG142/AF142,0)</f>
        <v>0</v>
      </c>
      <c r="AI142" s="133"/>
      <c r="AJ142" s="133"/>
      <c r="AK142" s="133"/>
      <c r="AL142" s="133"/>
      <c r="AM142" s="133"/>
      <c r="AN142" s="133"/>
      <c r="AO142" s="235">
        <f t="shared" si="171"/>
        <v>0</v>
      </c>
      <c r="AP142" s="137"/>
      <c r="AQ142" s="131">
        <f t="shared" ref="AQ142:AQ149" si="188">SUM(AS142:AW142)</f>
        <v>0</v>
      </c>
      <c r="AR142" s="131">
        <f t="shared" ref="AR142:AR149" si="189">IFERROR(AQ142/AP142,0)</f>
        <v>0</v>
      </c>
      <c r="AS142" s="133"/>
      <c r="AT142" s="133"/>
      <c r="AU142" s="133"/>
      <c r="AV142" s="133"/>
      <c r="AW142" s="133"/>
      <c r="AX142" s="133"/>
      <c r="AY142" s="235">
        <f t="shared" si="172"/>
        <v>0</v>
      </c>
      <c r="AZ142" s="137"/>
      <c r="BA142" s="131">
        <f t="shared" si="173"/>
        <v>0</v>
      </c>
      <c r="BB142" s="131">
        <f t="shared" si="174"/>
        <v>0</v>
      </c>
      <c r="BC142" s="133"/>
      <c r="BD142" s="133"/>
      <c r="BE142" s="133"/>
      <c r="BF142" s="133"/>
      <c r="BG142" s="133"/>
      <c r="BH142" s="133"/>
      <c r="BI142" s="235">
        <f t="shared" si="175"/>
        <v>0</v>
      </c>
      <c r="BJ142" s="137"/>
      <c r="BK142" s="131">
        <f t="shared" si="176"/>
        <v>0</v>
      </c>
      <c r="BL142" s="131">
        <f t="shared" si="177"/>
        <v>0</v>
      </c>
      <c r="BM142" s="133"/>
      <c r="BN142" s="133"/>
      <c r="BO142" s="133"/>
      <c r="BP142" s="133"/>
      <c r="BQ142" s="133"/>
      <c r="BR142" s="133"/>
      <c r="BS142" s="235">
        <f t="shared" si="178"/>
        <v>0</v>
      </c>
      <c r="BT142" s="324"/>
      <c r="BU142" s="131">
        <f t="shared" si="179"/>
        <v>0</v>
      </c>
      <c r="BV142" s="131">
        <f t="shared" si="180"/>
        <v>0</v>
      </c>
      <c r="BW142" s="325"/>
      <c r="BX142" s="325"/>
      <c r="BY142" s="325"/>
      <c r="BZ142" s="325"/>
      <c r="CA142" s="325"/>
      <c r="CB142" s="325"/>
      <c r="CC142" s="357">
        <f t="shared" si="181"/>
        <v>0</v>
      </c>
    </row>
    <row r="143" spans="1:81" s="77" customFormat="1" ht="15.95" customHeight="1">
      <c r="A143" s="326"/>
      <c r="B143" s="137"/>
      <c r="C143" s="131">
        <f t="shared" si="182"/>
        <v>0</v>
      </c>
      <c r="D143" s="131">
        <f t="shared" si="183"/>
        <v>0</v>
      </c>
      <c r="E143" s="133"/>
      <c r="F143" s="133"/>
      <c r="G143" s="133"/>
      <c r="H143" s="133"/>
      <c r="I143" s="133"/>
      <c r="J143" s="133"/>
      <c r="K143" s="235">
        <f t="shared" si="166"/>
        <v>0</v>
      </c>
      <c r="L143" s="137"/>
      <c r="M143" s="131">
        <f t="shared" si="167"/>
        <v>0</v>
      </c>
      <c r="N143" s="131">
        <f t="shared" si="168"/>
        <v>0</v>
      </c>
      <c r="O143" s="133"/>
      <c r="P143" s="133"/>
      <c r="Q143" s="133"/>
      <c r="R143" s="133"/>
      <c r="S143" s="133"/>
      <c r="T143" s="133"/>
      <c r="U143" s="235">
        <f t="shared" si="169"/>
        <v>0</v>
      </c>
      <c r="V143" s="137"/>
      <c r="W143" s="131">
        <f t="shared" si="184"/>
        <v>0</v>
      </c>
      <c r="X143" s="131">
        <f t="shared" si="185"/>
        <v>0</v>
      </c>
      <c r="Y143" s="133"/>
      <c r="Z143" s="133"/>
      <c r="AA143" s="133"/>
      <c r="AB143" s="133"/>
      <c r="AC143" s="133"/>
      <c r="AD143" s="133"/>
      <c r="AE143" s="235">
        <f t="shared" si="170"/>
        <v>0</v>
      </c>
      <c r="AF143" s="137"/>
      <c r="AG143" s="131">
        <f t="shared" si="186"/>
        <v>0</v>
      </c>
      <c r="AH143" s="131">
        <f t="shared" si="187"/>
        <v>0</v>
      </c>
      <c r="AI143" s="133"/>
      <c r="AJ143" s="133"/>
      <c r="AK143" s="133"/>
      <c r="AL143" s="133"/>
      <c r="AM143" s="133"/>
      <c r="AN143" s="133"/>
      <c r="AO143" s="235">
        <f t="shared" si="171"/>
        <v>0</v>
      </c>
      <c r="AP143" s="137"/>
      <c r="AQ143" s="131">
        <f t="shared" si="188"/>
        <v>0</v>
      </c>
      <c r="AR143" s="131">
        <f t="shared" si="189"/>
        <v>0</v>
      </c>
      <c r="AS143" s="133"/>
      <c r="AT143" s="133"/>
      <c r="AU143" s="133"/>
      <c r="AV143" s="133"/>
      <c r="AW143" s="133"/>
      <c r="AX143" s="133"/>
      <c r="AY143" s="235">
        <f t="shared" si="172"/>
        <v>0</v>
      </c>
      <c r="AZ143" s="137"/>
      <c r="BA143" s="131">
        <f t="shared" si="173"/>
        <v>0</v>
      </c>
      <c r="BB143" s="131">
        <f t="shared" si="174"/>
        <v>0</v>
      </c>
      <c r="BC143" s="133"/>
      <c r="BD143" s="133"/>
      <c r="BE143" s="133"/>
      <c r="BF143" s="133"/>
      <c r="BG143" s="133"/>
      <c r="BH143" s="133"/>
      <c r="BI143" s="235">
        <f t="shared" si="175"/>
        <v>0</v>
      </c>
      <c r="BJ143" s="137"/>
      <c r="BK143" s="131">
        <f t="shared" si="176"/>
        <v>0</v>
      </c>
      <c r="BL143" s="131">
        <f t="shared" si="177"/>
        <v>0</v>
      </c>
      <c r="BM143" s="133"/>
      <c r="BN143" s="133"/>
      <c r="BO143" s="133"/>
      <c r="BP143" s="133"/>
      <c r="BQ143" s="133"/>
      <c r="BR143" s="133"/>
      <c r="BS143" s="235">
        <f t="shared" si="178"/>
        <v>0</v>
      </c>
      <c r="BT143" s="324"/>
      <c r="BU143" s="131">
        <f t="shared" si="179"/>
        <v>0</v>
      </c>
      <c r="BV143" s="131">
        <f t="shared" si="180"/>
        <v>0</v>
      </c>
      <c r="BW143" s="325"/>
      <c r="BX143" s="325"/>
      <c r="BY143" s="325"/>
      <c r="BZ143" s="325"/>
      <c r="CA143" s="325"/>
      <c r="CB143" s="325"/>
      <c r="CC143" s="357">
        <f t="shared" si="181"/>
        <v>0</v>
      </c>
    </row>
    <row r="144" spans="1:81" s="77" customFormat="1" ht="15.95" customHeight="1">
      <c r="A144" s="326"/>
      <c r="B144" s="137"/>
      <c r="C144" s="131">
        <f t="shared" si="182"/>
        <v>0</v>
      </c>
      <c r="D144" s="131">
        <f t="shared" si="183"/>
        <v>0</v>
      </c>
      <c r="E144" s="133"/>
      <c r="F144" s="133"/>
      <c r="G144" s="133"/>
      <c r="H144" s="133"/>
      <c r="I144" s="133"/>
      <c r="J144" s="133"/>
      <c r="K144" s="235">
        <f t="shared" si="166"/>
        <v>0</v>
      </c>
      <c r="L144" s="137"/>
      <c r="M144" s="131">
        <f t="shared" si="167"/>
        <v>0</v>
      </c>
      <c r="N144" s="131">
        <f t="shared" si="168"/>
        <v>0</v>
      </c>
      <c r="O144" s="133"/>
      <c r="P144" s="133"/>
      <c r="Q144" s="133"/>
      <c r="R144" s="133"/>
      <c r="S144" s="133"/>
      <c r="T144" s="133"/>
      <c r="U144" s="235">
        <f t="shared" si="169"/>
        <v>0</v>
      </c>
      <c r="V144" s="137"/>
      <c r="W144" s="131">
        <f t="shared" si="184"/>
        <v>0</v>
      </c>
      <c r="X144" s="131">
        <f t="shared" si="185"/>
        <v>0</v>
      </c>
      <c r="Y144" s="133"/>
      <c r="Z144" s="133"/>
      <c r="AA144" s="133"/>
      <c r="AB144" s="133"/>
      <c r="AC144" s="133"/>
      <c r="AD144" s="133"/>
      <c r="AE144" s="235">
        <f t="shared" si="170"/>
        <v>0</v>
      </c>
      <c r="AF144" s="137"/>
      <c r="AG144" s="131">
        <f t="shared" si="186"/>
        <v>0</v>
      </c>
      <c r="AH144" s="131">
        <f t="shared" si="187"/>
        <v>0</v>
      </c>
      <c r="AI144" s="133"/>
      <c r="AJ144" s="133"/>
      <c r="AK144" s="133"/>
      <c r="AL144" s="133"/>
      <c r="AM144" s="133"/>
      <c r="AN144" s="133"/>
      <c r="AO144" s="235">
        <f t="shared" si="171"/>
        <v>0</v>
      </c>
      <c r="AP144" s="137"/>
      <c r="AQ144" s="131">
        <f t="shared" si="188"/>
        <v>0</v>
      </c>
      <c r="AR144" s="131">
        <f t="shared" si="189"/>
        <v>0</v>
      </c>
      <c r="AS144" s="133"/>
      <c r="AT144" s="133"/>
      <c r="AU144" s="133"/>
      <c r="AV144" s="133"/>
      <c r="AW144" s="133"/>
      <c r="AX144" s="133"/>
      <c r="AY144" s="235">
        <f t="shared" si="172"/>
        <v>0</v>
      </c>
      <c r="AZ144" s="137"/>
      <c r="BA144" s="131">
        <f t="shared" si="173"/>
        <v>0</v>
      </c>
      <c r="BB144" s="131">
        <f t="shared" si="174"/>
        <v>0</v>
      </c>
      <c r="BC144" s="133"/>
      <c r="BD144" s="133"/>
      <c r="BE144" s="133"/>
      <c r="BF144" s="133"/>
      <c r="BG144" s="133"/>
      <c r="BH144" s="133"/>
      <c r="BI144" s="235">
        <f t="shared" si="175"/>
        <v>0</v>
      </c>
      <c r="BJ144" s="137"/>
      <c r="BK144" s="131">
        <f t="shared" si="176"/>
        <v>0</v>
      </c>
      <c r="BL144" s="131">
        <f t="shared" si="177"/>
        <v>0</v>
      </c>
      <c r="BM144" s="133"/>
      <c r="BN144" s="133"/>
      <c r="BO144" s="133"/>
      <c r="BP144" s="133"/>
      <c r="BQ144" s="133"/>
      <c r="BR144" s="133"/>
      <c r="BS144" s="235">
        <f t="shared" si="178"/>
        <v>0</v>
      </c>
      <c r="BT144" s="324"/>
      <c r="BU144" s="131">
        <f t="shared" si="179"/>
        <v>0</v>
      </c>
      <c r="BV144" s="131">
        <f t="shared" si="180"/>
        <v>0</v>
      </c>
      <c r="BW144" s="325"/>
      <c r="BX144" s="325"/>
      <c r="BY144" s="325"/>
      <c r="BZ144" s="325"/>
      <c r="CA144" s="325"/>
      <c r="CB144" s="325"/>
      <c r="CC144" s="357">
        <f t="shared" si="181"/>
        <v>0</v>
      </c>
    </row>
    <row r="145" spans="1:81" s="77" customFormat="1" ht="15.95" customHeight="1">
      <c r="A145" s="326"/>
      <c r="B145" s="137"/>
      <c r="C145" s="131">
        <f t="shared" si="182"/>
        <v>0</v>
      </c>
      <c r="D145" s="131">
        <f t="shared" si="183"/>
        <v>0</v>
      </c>
      <c r="E145" s="133"/>
      <c r="F145" s="133"/>
      <c r="G145" s="133"/>
      <c r="H145" s="133"/>
      <c r="I145" s="133"/>
      <c r="J145" s="133"/>
      <c r="K145" s="235">
        <f t="shared" si="166"/>
        <v>0</v>
      </c>
      <c r="L145" s="137"/>
      <c r="M145" s="131">
        <f t="shared" si="167"/>
        <v>0</v>
      </c>
      <c r="N145" s="131">
        <f t="shared" si="168"/>
        <v>0</v>
      </c>
      <c r="O145" s="133"/>
      <c r="P145" s="133"/>
      <c r="Q145" s="133"/>
      <c r="R145" s="133"/>
      <c r="S145" s="133"/>
      <c r="T145" s="133"/>
      <c r="U145" s="235">
        <f t="shared" si="169"/>
        <v>0</v>
      </c>
      <c r="V145" s="137"/>
      <c r="W145" s="131">
        <f t="shared" si="184"/>
        <v>0</v>
      </c>
      <c r="X145" s="131">
        <f t="shared" si="185"/>
        <v>0</v>
      </c>
      <c r="Y145" s="133"/>
      <c r="Z145" s="133"/>
      <c r="AA145" s="133"/>
      <c r="AB145" s="133"/>
      <c r="AC145" s="133"/>
      <c r="AD145" s="133"/>
      <c r="AE145" s="235">
        <f t="shared" si="170"/>
        <v>0</v>
      </c>
      <c r="AF145" s="137"/>
      <c r="AG145" s="131">
        <f t="shared" si="186"/>
        <v>0</v>
      </c>
      <c r="AH145" s="131">
        <f t="shared" si="187"/>
        <v>0</v>
      </c>
      <c r="AI145" s="133"/>
      <c r="AJ145" s="133"/>
      <c r="AK145" s="133"/>
      <c r="AL145" s="133"/>
      <c r="AM145" s="133"/>
      <c r="AN145" s="133"/>
      <c r="AO145" s="235">
        <f t="shared" si="171"/>
        <v>0</v>
      </c>
      <c r="AP145" s="137"/>
      <c r="AQ145" s="131">
        <f t="shared" si="188"/>
        <v>0</v>
      </c>
      <c r="AR145" s="131">
        <f t="shared" si="189"/>
        <v>0</v>
      </c>
      <c r="AS145" s="133"/>
      <c r="AT145" s="133"/>
      <c r="AU145" s="133"/>
      <c r="AV145" s="133"/>
      <c r="AW145" s="133"/>
      <c r="AX145" s="133"/>
      <c r="AY145" s="235">
        <f t="shared" si="172"/>
        <v>0</v>
      </c>
      <c r="AZ145" s="137"/>
      <c r="BA145" s="131">
        <f t="shared" si="173"/>
        <v>0</v>
      </c>
      <c r="BB145" s="131">
        <f t="shared" si="174"/>
        <v>0</v>
      </c>
      <c r="BC145" s="133"/>
      <c r="BD145" s="133"/>
      <c r="BE145" s="133"/>
      <c r="BF145" s="133"/>
      <c r="BG145" s="133"/>
      <c r="BH145" s="133"/>
      <c r="BI145" s="235">
        <f t="shared" si="175"/>
        <v>0</v>
      </c>
      <c r="BJ145" s="137"/>
      <c r="BK145" s="131">
        <f t="shared" si="176"/>
        <v>0</v>
      </c>
      <c r="BL145" s="131">
        <f t="shared" si="177"/>
        <v>0</v>
      </c>
      <c r="BM145" s="133"/>
      <c r="BN145" s="133"/>
      <c r="BO145" s="133"/>
      <c r="BP145" s="133"/>
      <c r="BQ145" s="133"/>
      <c r="BR145" s="133"/>
      <c r="BS145" s="235">
        <f t="shared" si="178"/>
        <v>0</v>
      </c>
      <c r="BT145" s="324"/>
      <c r="BU145" s="131">
        <f t="shared" si="179"/>
        <v>0</v>
      </c>
      <c r="BV145" s="131">
        <f t="shared" si="180"/>
        <v>0</v>
      </c>
      <c r="BW145" s="325"/>
      <c r="BX145" s="325"/>
      <c r="BY145" s="325"/>
      <c r="BZ145" s="325"/>
      <c r="CA145" s="325"/>
      <c r="CB145" s="325"/>
      <c r="CC145" s="357">
        <f t="shared" si="181"/>
        <v>0</v>
      </c>
    </row>
    <row r="146" spans="1:81" s="77" customFormat="1" ht="15.95" customHeight="1">
      <c r="A146" s="326"/>
      <c r="B146" s="137"/>
      <c r="C146" s="131">
        <f t="shared" si="182"/>
        <v>0</v>
      </c>
      <c r="D146" s="131">
        <f t="shared" si="183"/>
        <v>0</v>
      </c>
      <c r="E146" s="133"/>
      <c r="F146" s="133"/>
      <c r="G146" s="133"/>
      <c r="H146" s="133"/>
      <c r="I146" s="133"/>
      <c r="J146" s="133"/>
      <c r="K146" s="235">
        <f t="shared" si="166"/>
        <v>0</v>
      </c>
      <c r="L146" s="137"/>
      <c r="M146" s="131">
        <f t="shared" si="167"/>
        <v>0</v>
      </c>
      <c r="N146" s="131">
        <f t="shared" si="168"/>
        <v>0</v>
      </c>
      <c r="O146" s="133"/>
      <c r="P146" s="133"/>
      <c r="Q146" s="133"/>
      <c r="R146" s="133"/>
      <c r="S146" s="133"/>
      <c r="T146" s="133"/>
      <c r="U146" s="235">
        <f t="shared" si="169"/>
        <v>0</v>
      </c>
      <c r="V146" s="137"/>
      <c r="W146" s="131">
        <f t="shared" si="184"/>
        <v>0</v>
      </c>
      <c r="X146" s="131">
        <f t="shared" si="185"/>
        <v>0</v>
      </c>
      <c r="Y146" s="133"/>
      <c r="Z146" s="133"/>
      <c r="AA146" s="133"/>
      <c r="AB146" s="133"/>
      <c r="AC146" s="133"/>
      <c r="AD146" s="133"/>
      <c r="AE146" s="235">
        <f t="shared" si="170"/>
        <v>0</v>
      </c>
      <c r="AF146" s="137"/>
      <c r="AG146" s="131">
        <f t="shared" si="186"/>
        <v>0</v>
      </c>
      <c r="AH146" s="131">
        <f t="shared" si="187"/>
        <v>0</v>
      </c>
      <c r="AI146" s="133"/>
      <c r="AJ146" s="133"/>
      <c r="AK146" s="133"/>
      <c r="AL146" s="133"/>
      <c r="AM146" s="133"/>
      <c r="AN146" s="133"/>
      <c r="AO146" s="235">
        <f t="shared" si="171"/>
        <v>0</v>
      </c>
      <c r="AP146" s="137"/>
      <c r="AQ146" s="131">
        <f t="shared" si="188"/>
        <v>0</v>
      </c>
      <c r="AR146" s="131">
        <f t="shared" si="189"/>
        <v>0</v>
      </c>
      <c r="AS146" s="133"/>
      <c r="AT146" s="133"/>
      <c r="AU146" s="133"/>
      <c r="AV146" s="133"/>
      <c r="AW146" s="133"/>
      <c r="AX146" s="133"/>
      <c r="AY146" s="235">
        <f t="shared" si="172"/>
        <v>0</v>
      </c>
      <c r="AZ146" s="137"/>
      <c r="BA146" s="131">
        <f t="shared" si="173"/>
        <v>0</v>
      </c>
      <c r="BB146" s="131">
        <f t="shared" si="174"/>
        <v>0</v>
      </c>
      <c r="BC146" s="133"/>
      <c r="BD146" s="133"/>
      <c r="BE146" s="133"/>
      <c r="BF146" s="133"/>
      <c r="BG146" s="133"/>
      <c r="BH146" s="133"/>
      <c r="BI146" s="235">
        <f t="shared" si="175"/>
        <v>0</v>
      </c>
      <c r="BJ146" s="137"/>
      <c r="BK146" s="131">
        <f t="shared" si="176"/>
        <v>0</v>
      </c>
      <c r="BL146" s="131">
        <f t="shared" si="177"/>
        <v>0</v>
      </c>
      <c r="BM146" s="133"/>
      <c r="BN146" s="133"/>
      <c r="BO146" s="133"/>
      <c r="BP146" s="133"/>
      <c r="BQ146" s="133"/>
      <c r="BR146" s="133"/>
      <c r="BS146" s="235">
        <f t="shared" si="178"/>
        <v>0</v>
      </c>
      <c r="BT146" s="324"/>
      <c r="BU146" s="131">
        <f t="shared" si="179"/>
        <v>0</v>
      </c>
      <c r="BV146" s="131">
        <f t="shared" si="180"/>
        <v>0</v>
      </c>
      <c r="BW146" s="325"/>
      <c r="BX146" s="325"/>
      <c r="BY146" s="325"/>
      <c r="BZ146" s="325"/>
      <c r="CA146" s="325"/>
      <c r="CB146" s="325"/>
      <c r="CC146" s="357">
        <f t="shared" si="181"/>
        <v>0</v>
      </c>
    </row>
    <row r="147" spans="1:81" s="77" customFormat="1" ht="15.95" customHeight="1">
      <c r="A147" s="326"/>
      <c r="B147" s="137"/>
      <c r="C147" s="131">
        <f t="shared" si="182"/>
        <v>0</v>
      </c>
      <c r="D147" s="131">
        <f t="shared" si="183"/>
        <v>0</v>
      </c>
      <c r="E147" s="133"/>
      <c r="F147" s="133"/>
      <c r="G147" s="133"/>
      <c r="H147" s="133"/>
      <c r="I147" s="133"/>
      <c r="J147" s="133"/>
      <c r="K147" s="235">
        <f t="shared" si="166"/>
        <v>0</v>
      </c>
      <c r="L147" s="137"/>
      <c r="M147" s="131">
        <f t="shared" si="167"/>
        <v>0</v>
      </c>
      <c r="N147" s="131">
        <f t="shared" si="168"/>
        <v>0</v>
      </c>
      <c r="O147" s="133"/>
      <c r="P147" s="133"/>
      <c r="Q147" s="133"/>
      <c r="R147" s="133"/>
      <c r="S147" s="133"/>
      <c r="T147" s="133"/>
      <c r="U147" s="235">
        <f t="shared" si="169"/>
        <v>0</v>
      </c>
      <c r="V147" s="137"/>
      <c r="W147" s="131">
        <f t="shared" si="184"/>
        <v>0</v>
      </c>
      <c r="X147" s="131">
        <f t="shared" si="185"/>
        <v>0</v>
      </c>
      <c r="Y147" s="133"/>
      <c r="Z147" s="133"/>
      <c r="AA147" s="133"/>
      <c r="AB147" s="133"/>
      <c r="AC147" s="133"/>
      <c r="AD147" s="133"/>
      <c r="AE147" s="235">
        <f t="shared" si="170"/>
        <v>0</v>
      </c>
      <c r="AF147" s="137"/>
      <c r="AG147" s="131">
        <f t="shared" si="186"/>
        <v>0</v>
      </c>
      <c r="AH147" s="131">
        <f t="shared" si="187"/>
        <v>0</v>
      </c>
      <c r="AI147" s="133"/>
      <c r="AJ147" s="133"/>
      <c r="AK147" s="133"/>
      <c r="AL147" s="133"/>
      <c r="AM147" s="133"/>
      <c r="AN147" s="133"/>
      <c r="AO147" s="235">
        <f t="shared" si="171"/>
        <v>0</v>
      </c>
      <c r="AP147" s="137"/>
      <c r="AQ147" s="131">
        <f t="shared" si="188"/>
        <v>0</v>
      </c>
      <c r="AR147" s="131">
        <f t="shared" si="189"/>
        <v>0</v>
      </c>
      <c r="AS147" s="133"/>
      <c r="AT147" s="133"/>
      <c r="AU147" s="133"/>
      <c r="AV147" s="133"/>
      <c r="AW147" s="133"/>
      <c r="AX147" s="133"/>
      <c r="AY147" s="235">
        <f t="shared" si="172"/>
        <v>0</v>
      </c>
      <c r="AZ147" s="137"/>
      <c r="BA147" s="131">
        <f t="shared" si="173"/>
        <v>0</v>
      </c>
      <c r="BB147" s="131">
        <f t="shared" si="174"/>
        <v>0</v>
      </c>
      <c r="BC147" s="133"/>
      <c r="BD147" s="133"/>
      <c r="BE147" s="133"/>
      <c r="BF147" s="133"/>
      <c r="BG147" s="133"/>
      <c r="BH147" s="133"/>
      <c r="BI147" s="235">
        <f t="shared" si="175"/>
        <v>0</v>
      </c>
      <c r="BJ147" s="137"/>
      <c r="BK147" s="131">
        <f t="shared" si="176"/>
        <v>0</v>
      </c>
      <c r="BL147" s="131">
        <f t="shared" si="177"/>
        <v>0</v>
      </c>
      <c r="BM147" s="133"/>
      <c r="BN147" s="133"/>
      <c r="BO147" s="133"/>
      <c r="BP147" s="133"/>
      <c r="BQ147" s="133"/>
      <c r="BR147" s="133"/>
      <c r="BS147" s="235">
        <f t="shared" si="178"/>
        <v>0</v>
      </c>
      <c r="BT147" s="324"/>
      <c r="BU147" s="131">
        <f t="shared" si="179"/>
        <v>0</v>
      </c>
      <c r="BV147" s="131">
        <f t="shared" si="180"/>
        <v>0</v>
      </c>
      <c r="BW147" s="325"/>
      <c r="BX147" s="325"/>
      <c r="BY147" s="325"/>
      <c r="BZ147" s="325"/>
      <c r="CA147" s="325"/>
      <c r="CB147" s="325"/>
      <c r="CC147" s="357">
        <f t="shared" si="181"/>
        <v>0</v>
      </c>
    </row>
    <row r="148" spans="1:81" s="77" customFormat="1" ht="15.95" customHeight="1">
      <c r="A148" s="326"/>
      <c r="B148" s="137"/>
      <c r="C148" s="131">
        <f t="shared" si="182"/>
        <v>0</v>
      </c>
      <c r="D148" s="131">
        <f t="shared" si="183"/>
        <v>0</v>
      </c>
      <c r="E148" s="133"/>
      <c r="F148" s="133"/>
      <c r="G148" s="133"/>
      <c r="H148" s="133"/>
      <c r="I148" s="133"/>
      <c r="J148" s="133"/>
      <c r="K148" s="235">
        <f t="shared" si="166"/>
        <v>0</v>
      </c>
      <c r="L148" s="137"/>
      <c r="M148" s="131">
        <f t="shared" si="167"/>
        <v>0</v>
      </c>
      <c r="N148" s="131">
        <f t="shared" si="168"/>
        <v>0</v>
      </c>
      <c r="O148" s="133"/>
      <c r="P148" s="133"/>
      <c r="Q148" s="133"/>
      <c r="R148" s="133"/>
      <c r="S148" s="133"/>
      <c r="T148" s="133"/>
      <c r="U148" s="235">
        <f t="shared" si="169"/>
        <v>0</v>
      </c>
      <c r="V148" s="137"/>
      <c r="W148" s="131">
        <f t="shared" si="184"/>
        <v>0</v>
      </c>
      <c r="X148" s="131">
        <f t="shared" si="185"/>
        <v>0</v>
      </c>
      <c r="Y148" s="133"/>
      <c r="Z148" s="133"/>
      <c r="AA148" s="133"/>
      <c r="AB148" s="133"/>
      <c r="AC148" s="133"/>
      <c r="AD148" s="133"/>
      <c r="AE148" s="235">
        <f t="shared" si="170"/>
        <v>0</v>
      </c>
      <c r="AF148" s="137"/>
      <c r="AG148" s="131">
        <f t="shared" si="186"/>
        <v>0</v>
      </c>
      <c r="AH148" s="131">
        <f t="shared" si="187"/>
        <v>0</v>
      </c>
      <c r="AI148" s="133"/>
      <c r="AJ148" s="133"/>
      <c r="AK148" s="133"/>
      <c r="AL148" s="133"/>
      <c r="AM148" s="133"/>
      <c r="AN148" s="133"/>
      <c r="AO148" s="235">
        <f t="shared" si="171"/>
        <v>0</v>
      </c>
      <c r="AP148" s="137"/>
      <c r="AQ148" s="131">
        <f t="shared" si="188"/>
        <v>0</v>
      </c>
      <c r="AR148" s="131">
        <f t="shared" si="189"/>
        <v>0</v>
      </c>
      <c r="AS148" s="133"/>
      <c r="AT148" s="133"/>
      <c r="AU148" s="133"/>
      <c r="AV148" s="133"/>
      <c r="AW148" s="133"/>
      <c r="AX148" s="133"/>
      <c r="AY148" s="235">
        <f t="shared" si="172"/>
        <v>0</v>
      </c>
      <c r="AZ148" s="137"/>
      <c r="BA148" s="131">
        <f t="shared" si="173"/>
        <v>0</v>
      </c>
      <c r="BB148" s="131">
        <f t="shared" si="174"/>
        <v>0</v>
      </c>
      <c r="BC148" s="133"/>
      <c r="BD148" s="133"/>
      <c r="BE148" s="133"/>
      <c r="BF148" s="133"/>
      <c r="BG148" s="133"/>
      <c r="BH148" s="133"/>
      <c r="BI148" s="235">
        <f t="shared" si="175"/>
        <v>0</v>
      </c>
      <c r="BJ148" s="137"/>
      <c r="BK148" s="131">
        <f t="shared" si="176"/>
        <v>0</v>
      </c>
      <c r="BL148" s="131">
        <f t="shared" si="177"/>
        <v>0</v>
      </c>
      <c r="BM148" s="133"/>
      <c r="BN148" s="133"/>
      <c r="BO148" s="133"/>
      <c r="BP148" s="133"/>
      <c r="BQ148" s="133"/>
      <c r="BR148" s="133"/>
      <c r="BS148" s="235">
        <f t="shared" si="178"/>
        <v>0</v>
      </c>
      <c r="BT148" s="324"/>
      <c r="BU148" s="131">
        <f t="shared" si="179"/>
        <v>0</v>
      </c>
      <c r="BV148" s="131">
        <f t="shared" si="180"/>
        <v>0</v>
      </c>
      <c r="BW148" s="325"/>
      <c r="BX148" s="325"/>
      <c r="BY148" s="325"/>
      <c r="BZ148" s="325"/>
      <c r="CA148" s="325"/>
      <c r="CB148" s="325"/>
      <c r="CC148" s="357">
        <f t="shared" si="181"/>
        <v>0</v>
      </c>
    </row>
    <row r="149" spans="1:81" s="77" customFormat="1" ht="15.95" customHeight="1">
      <c r="A149" s="326"/>
      <c r="B149" s="137"/>
      <c r="C149" s="131">
        <f t="shared" si="164"/>
        <v>0</v>
      </c>
      <c r="D149" s="131">
        <f t="shared" si="165"/>
        <v>0</v>
      </c>
      <c r="E149" s="133"/>
      <c r="F149" s="133"/>
      <c r="G149" s="133"/>
      <c r="H149" s="133"/>
      <c r="I149" s="133"/>
      <c r="J149" s="133"/>
      <c r="K149" s="235">
        <f t="shared" si="166"/>
        <v>0</v>
      </c>
      <c r="L149" s="137"/>
      <c r="M149" s="131">
        <f>SUM(O149:S149)</f>
        <v>0</v>
      </c>
      <c r="N149" s="131">
        <f>IFERROR(M149/L149,0)</f>
        <v>0</v>
      </c>
      <c r="O149" s="133"/>
      <c r="P149" s="133"/>
      <c r="Q149" s="133"/>
      <c r="R149" s="133"/>
      <c r="S149" s="133"/>
      <c r="T149" s="133"/>
      <c r="U149" s="235">
        <f t="shared" si="169"/>
        <v>0</v>
      </c>
      <c r="V149" s="137"/>
      <c r="W149" s="131">
        <f t="shared" si="184"/>
        <v>0</v>
      </c>
      <c r="X149" s="131">
        <f t="shared" si="185"/>
        <v>0</v>
      </c>
      <c r="Y149" s="133"/>
      <c r="Z149" s="133"/>
      <c r="AA149" s="133"/>
      <c r="AB149" s="133"/>
      <c r="AC149" s="133"/>
      <c r="AD149" s="133"/>
      <c r="AE149" s="235">
        <f t="shared" si="170"/>
        <v>0</v>
      </c>
      <c r="AF149" s="137"/>
      <c r="AG149" s="131">
        <f t="shared" si="186"/>
        <v>0</v>
      </c>
      <c r="AH149" s="131">
        <f t="shared" si="187"/>
        <v>0</v>
      </c>
      <c r="AI149" s="133"/>
      <c r="AJ149" s="133"/>
      <c r="AK149" s="133"/>
      <c r="AL149" s="133"/>
      <c r="AM149" s="133"/>
      <c r="AN149" s="133"/>
      <c r="AO149" s="235">
        <f t="shared" si="171"/>
        <v>0</v>
      </c>
      <c r="AP149" s="137"/>
      <c r="AQ149" s="131">
        <f t="shared" si="188"/>
        <v>0</v>
      </c>
      <c r="AR149" s="131">
        <f t="shared" si="189"/>
        <v>0</v>
      </c>
      <c r="AS149" s="133"/>
      <c r="AT149" s="133"/>
      <c r="AU149" s="133"/>
      <c r="AV149" s="133"/>
      <c r="AW149" s="133"/>
      <c r="AX149" s="133"/>
      <c r="AY149" s="235">
        <f t="shared" si="172"/>
        <v>0</v>
      </c>
      <c r="AZ149" s="137"/>
      <c r="BA149" s="131">
        <f t="shared" si="173"/>
        <v>0</v>
      </c>
      <c r="BB149" s="131">
        <f t="shared" si="174"/>
        <v>0</v>
      </c>
      <c r="BC149" s="133"/>
      <c r="BD149" s="133"/>
      <c r="BE149" s="133"/>
      <c r="BF149" s="133"/>
      <c r="BG149" s="133"/>
      <c r="BH149" s="133"/>
      <c r="BI149" s="235">
        <f t="shared" si="175"/>
        <v>0</v>
      </c>
      <c r="BJ149" s="137"/>
      <c r="BK149" s="131">
        <f t="shared" si="176"/>
        <v>0</v>
      </c>
      <c r="BL149" s="131">
        <f t="shared" si="177"/>
        <v>0</v>
      </c>
      <c r="BM149" s="133"/>
      <c r="BN149" s="133"/>
      <c r="BO149" s="133"/>
      <c r="BP149" s="133"/>
      <c r="BQ149" s="133"/>
      <c r="BR149" s="133"/>
      <c r="BS149" s="235">
        <f t="shared" si="178"/>
        <v>0</v>
      </c>
      <c r="BT149" s="324"/>
      <c r="BU149" s="131">
        <f t="shared" si="179"/>
        <v>0</v>
      </c>
      <c r="BV149" s="131">
        <f t="shared" si="180"/>
        <v>0</v>
      </c>
      <c r="BW149" s="325"/>
      <c r="BX149" s="325"/>
      <c r="BY149" s="325"/>
      <c r="BZ149" s="325"/>
      <c r="CA149" s="325"/>
      <c r="CB149" s="325"/>
      <c r="CC149" s="357">
        <f t="shared" si="181"/>
        <v>0</v>
      </c>
    </row>
    <row r="150" spans="1:81" ht="15.95" customHeight="1">
      <c r="A150" s="293" t="s">
        <v>177</v>
      </c>
      <c r="B150" s="136"/>
      <c r="C150" s="126"/>
      <c r="D150" s="126"/>
      <c r="E150" s="128"/>
      <c r="F150" s="128"/>
      <c r="G150" s="128"/>
      <c r="H150" s="128"/>
      <c r="I150" s="128"/>
      <c r="J150" s="128"/>
      <c r="K150" s="240"/>
      <c r="L150" s="136"/>
      <c r="M150" s="126"/>
      <c r="N150" s="126"/>
      <c r="O150" s="128"/>
      <c r="P150" s="128"/>
      <c r="Q150" s="128"/>
      <c r="R150" s="128"/>
      <c r="S150" s="128"/>
      <c r="T150" s="128"/>
      <c r="U150" s="240"/>
      <c r="V150" s="136"/>
      <c r="W150" s="126"/>
      <c r="X150" s="126"/>
      <c r="Y150" s="128"/>
      <c r="Z150" s="128"/>
      <c r="AA150" s="128"/>
      <c r="AB150" s="128"/>
      <c r="AC150" s="128"/>
      <c r="AD150" s="128"/>
      <c r="AE150" s="240"/>
      <c r="AF150" s="136"/>
      <c r="AG150" s="131">
        <f t="shared" si="186"/>
        <v>0</v>
      </c>
      <c r="AH150" s="131">
        <f t="shared" si="187"/>
        <v>0</v>
      </c>
      <c r="AI150" s="128"/>
      <c r="AJ150" s="128"/>
      <c r="AK150" s="128"/>
      <c r="AL150" s="128"/>
      <c r="AM150" s="128"/>
      <c r="AN150" s="128"/>
      <c r="AO150" s="240"/>
      <c r="AP150" s="136"/>
      <c r="AQ150" s="126"/>
      <c r="AR150" s="126"/>
      <c r="AS150" s="128"/>
      <c r="AT150" s="128"/>
      <c r="AU150" s="128"/>
      <c r="AV150" s="128"/>
      <c r="AW150" s="128"/>
      <c r="AX150" s="128"/>
      <c r="AY150" s="240"/>
      <c r="AZ150" s="136"/>
      <c r="BA150" s="126"/>
      <c r="BB150" s="126"/>
      <c r="BC150" s="128"/>
      <c r="BD150" s="128"/>
      <c r="BE150" s="128"/>
      <c r="BF150" s="128"/>
      <c r="BG150" s="128"/>
      <c r="BH150" s="128"/>
      <c r="BI150" s="240"/>
      <c r="BJ150" s="136"/>
      <c r="BK150" s="126"/>
      <c r="BL150" s="126"/>
      <c r="BM150" s="128"/>
      <c r="BN150" s="128"/>
      <c r="BO150" s="128"/>
      <c r="BP150" s="128"/>
      <c r="BQ150" s="128"/>
      <c r="BR150" s="128"/>
      <c r="BS150" s="240"/>
      <c r="BT150" s="136"/>
      <c r="BU150" s="126"/>
      <c r="BV150" s="126"/>
      <c r="BW150" s="128"/>
      <c r="BX150" s="128"/>
      <c r="BY150" s="128"/>
      <c r="BZ150" s="128"/>
      <c r="CA150" s="128"/>
      <c r="CB150" s="128"/>
      <c r="CC150" s="240"/>
    </row>
    <row r="151" spans="1:81" s="77" customFormat="1" ht="15.95" customHeight="1">
      <c r="A151" s="288" t="s">
        <v>112</v>
      </c>
      <c r="B151" s="79">
        <f>SUM(B$136:B150)</f>
        <v>1738</v>
      </c>
      <c r="C151" s="131">
        <f>SUM(C$136:C150)</f>
        <v>7751451</v>
      </c>
      <c r="D151" s="131">
        <f>IFERROR(C151/B151,0)</f>
        <v>4459.9833141542003</v>
      </c>
      <c r="E151" s="132">
        <f>SUM(E$136:E150)</f>
        <v>61469</v>
      </c>
      <c r="F151" s="132">
        <f>SUM(F$136:F150)</f>
        <v>0</v>
      </c>
      <c r="G151" s="132">
        <f>SUM(G$136:G150)</f>
        <v>0</v>
      </c>
      <c r="H151" s="132">
        <f>SUM(H$136:H150)</f>
        <v>7299473</v>
      </c>
      <c r="I151" s="132">
        <f>SUM(I$136:I150)</f>
        <v>390509</v>
      </c>
      <c r="J151" s="132">
        <f>SUM(J$136:J150)</f>
        <v>3584766</v>
      </c>
      <c r="K151" s="235">
        <f>SUM(K$136:K150)</f>
        <v>3000</v>
      </c>
      <c r="L151" s="79">
        <f>SUM(L$136:L150)</f>
        <v>1683</v>
      </c>
      <c r="M151" s="131">
        <f>SUM(M$136:M150)</f>
        <v>8271078</v>
      </c>
      <c r="N151" s="131">
        <f>IFERROR(M151/L151,0)</f>
        <v>4914.484848484848</v>
      </c>
      <c r="O151" s="132">
        <f>SUM(O$136:O150)</f>
        <v>15256</v>
      </c>
      <c r="P151" s="132">
        <f>SUM(P$136:P150)</f>
        <v>5216</v>
      </c>
      <c r="Q151" s="132">
        <f>SUM(Q$136:Q150)</f>
        <v>0</v>
      </c>
      <c r="R151" s="132">
        <f>SUM(R$136:R150)</f>
        <v>8250606</v>
      </c>
      <c r="S151" s="132">
        <f>SUM(S$136:S150)</f>
        <v>0</v>
      </c>
      <c r="T151" s="132">
        <f>SUM(T$136:T150)</f>
        <v>3813567</v>
      </c>
      <c r="U151" s="235">
        <f>SUM(U$136:U150)</f>
        <v>0</v>
      </c>
      <c r="V151" s="79">
        <f>SUM(V$136:V150)</f>
        <v>1347</v>
      </c>
      <c r="W151" s="131">
        <f>SUM(W$136:W150)</f>
        <v>7610265</v>
      </c>
      <c r="X151" s="131">
        <f>IFERROR(W151/V151,0)</f>
        <v>5649.7884187082409</v>
      </c>
      <c r="Y151" s="132">
        <f>SUM(Y$136:Y150)</f>
        <v>0</v>
      </c>
      <c r="Z151" s="132">
        <f>SUM(Z$136:Z150)</f>
        <v>8000</v>
      </c>
      <c r="AA151" s="132">
        <f>SUM(AA$136:AA150)</f>
        <v>0</v>
      </c>
      <c r="AB151" s="132">
        <f>SUM(AB$136:AB150)</f>
        <v>7602265</v>
      </c>
      <c r="AC151" s="132">
        <f>SUM(AC$136:AC150)</f>
        <v>0</v>
      </c>
      <c r="AD151" s="132">
        <f>SUM(AD$136:AD150)</f>
        <v>3638202</v>
      </c>
      <c r="AE151" s="235">
        <f>SUM(AE$136:AE150)</f>
        <v>0</v>
      </c>
      <c r="AF151" s="79">
        <f>SUM(AF$136:AF150)</f>
        <v>1191</v>
      </c>
      <c r="AG151" s="131">
        <f>SUM(AG$136:AG150)</f>
        <v>6795569</v>
      </c>
      <c r="AH151" s="131">
        <f>IFERROR(AG151/AF151,0)</f>
        <v>5705.7674223341728</v>
      </c>
      <c r="AI151" s="132">
        <f>SUM(AI$136:AI150)</f>
        <v>0</v>
      </c>
      <c r="AJ151" s="132">
        <f>SUM(AJ$136:AJ150)</f>
        <v>0</v>
      </c>
      <c r="AK151" s="132">
        <f>SUM(AK$136:AK150)</f>
        <v>0</v>
      </c>
      <c r="AL151" s="132">
        <f>SUM(AL$136:AL150)</f>
        <v>6795569</v>
      </c>
      <c r="AM151" s="132">
        <f>SUM(AM$136:AM150)</f>
        <v>0</v>
      </c>
      <c r="AN151" s="132">
        <f>SUM(AN$136:AN150)</f>
        <v>3324515</v>
      </c>
      <c r="AO151" s="235">
        <f>SUM(AO$136:AO150)</f>
        <v>0</v>
      </c>
      <c r="AP151" s="79">
        <f>SUM(AP$136:AP150)</f>
        <v>1244</v>
      </c>
      <c r="AQ151" s="131">
        <f>SUM(AQ$136:AQ150)</f>
        <v>7308753.7999999998</v>
      </c>
      <c r="AR151" s="131">
        <f>IFERROR(AQ151/AP151,0)</f>
        <v>5875.2040192926042</v>
      </c>
      <c r="AS151" s="132">
        <f>SUM(AS$136:AS150)</f>
        <v>0</v>
      </c>
      <c r="AT151" s="132">
        <f>SUM(AT$136:AT150)</f>
        <v>0</v>
      </c>
      <c r="AU151" s="132">
        <f>SUM(AU$136:AU150)</f>
        <v>0</v>
      </c>
      <c r="AV151" s="132">
        <f>SUM(AV$136:AV150)</f>
        <v>7308753.7999999998</v>
      </c>
      <c r="AW151" s="132">
        <f>SUM(AW$136:AW150)</f>
        <v>0</v>
      </c>
      <c r="AX151" s="132">
        <f>SUM(AX$136:AX150)</f>
        <v>3539298.8</v>
      </c>
      <c r="AY151" s="235">
        <f>SUM(AY$136:AY150)</f>
        <v>0</v>
      </c>
      <c r="AZ151" s="79">
        <f>SUM(AZ$136:AZ150)</f>
        <v>1120</v>
      </c>
      <c r="BA151" s="131">
        <f>SUM(BA$136:BA150)</f>
        <v>6916402</v>
      </c>
      <c r="BB151" s="131">
        <f>IFERROR(BA151/AZ151,0)</f>
        <v>6175.3589285714288</v>
      </c>
      <c r="BC151" s="132">
        <f>SUM(BC$136:BC150)</f>
        <v>0</v>
      </c>
      <c r="BD151" s="132">
        <f>SUM(BD$136:BD150)</f>
        <v>0</v>
      </c>
      <c r="BE151" s="132">
        <f>SUM(BE$136:BE150)</f>
        <v>0</v>
      </c>
      <c r="BF151" s="132">
        <f>SUM(BF$136:BF150)</f>
        <v>6916402</v>
      </c>
      <c r="BG151" s="132">
        <f>SUM(BG$136:BG150)</f>
        <v>0</v>
      </c>
      <c r="BH151" s="132">
        <f>SUM(BH$136:BH150)</f>
        <v>3446601</v>
      </c>
      <c r="BI151" s="235">
        <f>SUM(BI$136:BI150)</f>
        <v>0</v>
      </c>
      <c r="BJ151" s="79">
        <f>SUM(BJ$136:BJ150)</f>
        <v>1021</v>
      </c>
      <c r="BK151" s="131">
        <f>SUM(BK$136:BK150)</f>
        <v>6409536</v>
      </c>
      <c r="BL151" s="131">
        <f>IFERROR(BK151/BJ151,0)</f>
        <v>6277.7042115572967</v>
      </c>
      <c r="BM151" s="132">
        <f>SUM(BM$136:BM150)</f>
        <v>0</v>
      </c>
      <c r="BN151" s="132">
        <f>SUM(BN$136:BN150)</f>
        <v>0</v>
      </c>
      <c r="BO151" s="132">
        <f>SUM(BO$136:BO150)</f>
        <v>0</v>
      </c>
      <c r="BP151" s="132">
        <f>SUM(BP$136:BP150)</f>
        <v>6409536</v>
      </c>
      <c r="BQ151" s="132">
        <f>SUM(BQ$136:BQ150)</f>
        <v>0</v>
      </c>
      <c r="BR151" s="132">
        <f>SUM(BR$136:BR150)</f>
        <v>3236447</v>
      </c>
      <c r="BS151" s="235">
        <f>SUM(BS$136:BS150)</f>
        <v>0</v>
      </c>
      <c r="BT151" s="79">
        <f>SUM(BT$136:BT150)</f>
        <v>1130</v>
      </c>
      <c r="BU151" s="131">
        <f>SUM(BU$136:BU150)</f>
        <v>6940971</v>
      </c>
      <c r="BV151" s="131">
        <f>IFERROR(BU151/BT151,0)</f>
        <v>6142.4522123893803</v>
      </c>
      <c r="BW151" s="132">
        <f>SUM(BW$136:BW150)</f>
        <v>0</v>
      </c>
      <c r="BX151" s="132">
        <f>SUM(BX$136:BX150)</f>
        <v>0</v>
      </c>
      <c r="BY151" s="132">
        <f>SUM(BY$136:BY150)</f>
        <v>0</v>
      </c>
      <c r="BZ151" s="132">
        <f>SUM(BZ$136:BZ150)</f>
        <v>6940971</v>
      </c>
      <c r="CA151" s="132">
        <f>SUM(CA$136:CA150)</f>
        <v>0</v>
      </c>
      <c r="CB151" s="132">
        <f>SUM(CB$136:CB150)</f>
        <v>3371026</v>
      </c>
      <c r="CC151" s="235">
        <f>SUM(CC$136:CC150)</f>
        <v>0</v>
      </c>
    </row>
    <row r="152" spans="1:81" s="77" customFormat="1" ht="15.95" customHeight="1">
      <c r="A152" s="285"/>
      <c r="B152" s="137"/>
      <c r="C152" s="245"/>
      <c r="D152" s="245"/>
      <c r="E152" s="133"/>
      <c r="F152" s="133"/>
      <c r="G152" s="133"/>
      <c r="H152" s="133"/>
      <c r="I152" s="133"/>
      <c r="J152" s="133"/>
      <c r="K152" s="246"/>
      <c r="L152" s="137"/>
      <c r="M152" s="245"/>
      <c r="N152" s="245"/>
      <c r="O152" s="133"/>
      <c r="P152" s="133"/>
      <c r="Q152" s="133"/>
      <c r="R152" s="133"/>
      <c r="S152" s="133"/>
      <c r="T152" s="133"/>
      <c r="U152" s="246"/>
      <c r="V152" s="137"/>
      <c r="W152" s="245"/>
      <c r="X152" s="245"/>
      <c r="Y152" s="133"/>
      <c r="Z152" s="133"/>
      <c r="AA152" s="133"/>
      <c r="AB152" s="133"/>
      <c r="AC152" s="133"/>
      <c r="AD152" s="133"/>
      <c r="AE152" s="246"/>
      <c r="AF152" s="137"/>
      <c r="AG152" s="245"/>
      <c r="AH152" s="245"/>
      <c r="AI152" s="133"/>
      <c r="AJ152" s="133"/>
      <c r="AK152" s="133"/>
      <c r="AL152" s="133"/>
      <c r="AM152" s="133"/>
      <c r="AN152" s="133"/>
      <c r="AO152" s="246"/>
      <c r="AP152" s="137"/>
      <c r="AQ152" s="245"/>
      <c r="AR152" s="245"/>
      <c r="AS152" s="133"/>
      <c r="AT152" s="133"/>
      <c r="AU152" s="133"/>
      <c r="AV152" s="133"/>
      <c r="AW152" s="133"/>
      <c r="AX152" s="133"/>
      <c r="AY152" s="246"/>
      <c r="AZ152" s="137"/>
      <c r="BA152" s="245"/>
      <c r="BB152" s="245"/>
      <c r="BC152" s="133"/>
      <c r="BD152" s="133"/>
      <c r="BE152" s="133"/>
      <c r="BF152" s="133"/>
      <c r="BG152" s="133"/>
      <c r="BH152" s="133"/>
      <c r="BI152" s="246"/>
      <c r="BJ152" s="137"/>
      <c r="BK152" s="245"/>
      <c r="BL152" s="245"/>
      <c r="BM152" s="133"/>
      <c r="BN152" s="133"/>
      <c r="BO152" s="133"/>
      <c r="BP152" s="133"/>
      <c r="BQ152" s="133"/>
      <c r="BR152" s="133"/>
      <c r="BS152" s="246"/>
      <c r="BT152" s="137"/>
      <c r="BU152" s="245"/>
      <c r="BV152" s="245"/>
      <c r="BW152" s="133"/>
      <c r="BX152" s="133"/>
      <c r="BY152" s="133"/>
      <c r="BZ152" s="133"/>
      <c r="CA152" s="133"/>
      <c r="CB152" s="133"/>
      <c r="CC152" s="246"/>
    </row>
    <row r="153" spans="1:81" s="78" customFormat="1" ht="33" customHeight="1">
      <c r="A153" s="289" t="s">
        <v>113</v>
      </c>
      <c r="B153" s="79">
        <f>SUM(B151,B134,B89)</f>
        <v>7129</v>
      </c>
      <c r="C153" s="134">
        <f>SUM(C151,C134,C89)</f>
        <v>21601448</v>
      </c>
      <c r="D153" s="131">
        <f>IFERROR(C153/B153,0)</f>
        <v>3030.0810772899426</v>
      </c>
      <c r="E153" s="132">
        <f t="shared" ref="E153:K153" si="190">SUM(E151,E134,E89)</f>
        <v>2784840</v>
      </c>
      <c r="F153" s="132">
        <f t="shared" si="190"/>
        <v>1729821</v>
      </c>
      <c r="G153" s="132">
        <f t="shared" si="190"/>
        <v>350821</v>
      </c>
      <c r="H153" s="132">
        <f t="shared" si="190"/>
        <v>14322691</v>
      </c>
      <c r="I153" s="132">
        <f t="shared" si="190"/>
        <v>2413275</v>
      </c>
      <c r="J153" s="132">
        <f t="shared" si="190"/>
        <v>11503961</v>
      </c>
      <c r="K153" s="235">
        <f t="shared" si="190"/>
        <v>1741088</v>
      </c>
      <c r="L153" s="79">
        <f>SUM(L151,L134,L89)</f>
        <v>6832</v>
      </c>
      <c r="M153" s="134">
        <f>SUM(M151,M134,M89)</f>
        <v>22371725</v>
      </c>
      <c r="N153" s="131">
        <f>IFERROR(M153/L153,0)</f>
        <v>3274.5499121779858</v>
      </c>
      <c r="O153" s="132">
        <f t="shared" ref="O153:U153" si="191">SUM(O151,O134,O89)</f>
        <v>2606750</v>
      </c>
      <c r="P153" s="132">
        <f t="shared" si="191"/>
        <v>1879035</v>
      </c>
      <c r="Q153" s="132">
        <f t="shared" si="191"/>
        <v>448019</v>
      </c>
      <c r="R153" s="132">
        <f t="shared" si="191"/>
        <v>15356002</v>
      </c>
      <c r="S153" s="132">
        <f t="shared" si="191"/>
        <v>2081919</v>
      </c>
      <c r="T153" s="132">
        <f t="shared" si="191"/>
        <v>12194859</v>
      </c>
      <c r="U153" s="235">
        <f t="shared" si="191"/>
        <v>1597459</v>
      </c>
      <c r="V153" s="79">
        <f>SUM(V151,V134,V89)</f>
        <v>6166</v>
      </c>
      <c r="W153" s="134">
        <f>SUM(W151,W134,W89)</f>
        <v>21535188</v>
      </c>
      <c r="X153" s="131">
        <f>IFERROR(W153/V153,0)</f>
        <v>3492.5702238079793</v>
      </c>
      <c r="Y153" s="132">
        <f t="shared" ref="Y153:AE153" si="192">SUM(Y151,Y134,Y89)</f>
        <v>2702645</v>
      </c>
      <c r="Z153" s="132">
        <f t="shared" si="192"/>
        <v>1963485</v>
      </c>
      <c r="AA153" s="132">
        <f t="shared" si="192"/>
        <v>383537</v>
      </c>
      <c r="AB153" s="132">
        <f t="shared" si="192"/>
        <v>14394834</v>
      </c>
      <c r="AC153" s="132">
        <f t="shared" si="192"/>
        <v>2090687</v>
      </c>
      <c r="AD153" s="132">
        <f t="shared" si="192"/>
        <v>11989660</v>
      </c>
      <c r="AE153" s="235">
        <f t="shared" si="192"/>
        <v>1781560</v>
      </c>
      <c r="AF153" s="79">
        <f>SUM(AF151,AF134,AF89)</f>
        <v>5890</v>
      </c>
      <c r="AG153" s="134">
        <f>SUM(AG151,AG134,AG89)</f>
        <v>20222331</v>
      </c>
      <c r="AH153" s="131">
        <f>IFERROR(AG153/AF153,0)</f>
        <v>3433.332937181664</v>
      </c>
      <c r="AI153" s="132">
        <f t="shared" ref="AI153:AO153" si="193">SUM(AI151,AI134,AI89)</f>
        <v>2640919</v>
      </c>
      <c r="AJ153" s="132">
        <f t="shared" si="193"/>
        <v>1969558</v>
      </c>
      <c r="AK153" s="132">
        <f t="shared" si="193"/>
        <v>384902</v>
      </c>
      <c r="AL153" s="132">
        <f t="shared" si="193"/>
        <v>13055531</v>
      </c>
      <c r="AM153" s="132">
        <f t="shared" si="193"/>
        <v>2171421</v>
      </c>
      <c r="AN153" s="132">
        <f t="shared" si="193"/>
        <v>11016738</v>
      </c>
      <c r="AO153" s="235">
        <f t="shared" si="193"/>
        <v>1707489</v>
      </c>
      <c r="AP153" s="79">
        <f>SUM(AP151,AP134,AP89)</f>
        <v>6505</v>
      </c>
      <c r="AQ153" s="134">
        <f>SUM(AQ151,AQ134,AQ89)</f>
        <v>21162588.399999999</v>
      </c>
      <c r="AR153" s="131">
        <f>IFERROR(AQ153/AP153,0)</f>
        <v>3253.2803074558028</v>
      </c>
      <c r="AS153" s="132">
        <f t="shared" ref="AS153:AY153" si="194">SUM(AS151,AS134,AS89)</f>
        <v>2930770.74</v>
      </c>
      <c r="AT153" s="132">
        <f t="shared" si="194"/>
        <v>1883021.31</v>
      </c>
      <c r="AU153" s="132">
        <f t="shared" si="194"/>
        <v>389135.6</v>
      </c>
      <c r="AV153" s="132">
        <f t="shared" si="194"/>
        <v>13656513.960000001</v>
      </c>
      <c r="AW153" s="132">
        <f t="shared" si="194"/>
        <v>2303146.79</v>
      </c>
      <c r="AX153" s="132">
        <f t="shared" si="194"/>
        <v>11644001.640000001</v>
      </c>
      <c r="AY153" s="235">
        <f t="shared" si="194"/>
        <v>1862794.0100000002</v>
      </c>
      <c r="AZ153" s="79">
        <f>SUM(AZ151,AZ134,AZ89)</f>
        <v>6116</v>
      </c>
      <c r="BA153" s="134">
        <f>SUM(BA151,BA134,BA89)</f>
        <v>20875592</v>
      </c>
      <c r="BB153" s="131">
        <f>IFERROR(BA153/AZ153,0)</f>
        <v>3413.2753433616745</v>
      </c>
      <c r="BC153" s="132">
        <f t="shared" ref="BC153:BI153" si="195">SUM(BC151,BC134,BC89)</f>
        <v>2566274</v>
      </c>
      <c r="BD153" s="132">
        <f t="shared" si="195"/>
        <v>1864155</v>
      </c>
      <c r="BE153" s="132">
        <f t="shared" si="195"/>
        <v>766331</v>
      </c>
      <c r="BF153" s="132">
        <f t="shared" si="195"/>
        <v>12979241</v>
      </c>
      <c r="BG153" s="132">
        <f t="shared" si="195"/>
        <v>2699591</v>
      </c>
      <c r="BH153" s="132">
        <f t="shared" si="195"/>
        <v>11443112</v>
      </c>
      <c r="BI153" s="235">
        <f t="shared" si="195"/>
        <v>1777593</v>
      </c>
      <c r="BJ153" s="79">
        <f>SUM(BJ151,BJ134,BJ89)</f>
        <v>6758</v>
      </c>
      <c r="BK153" s="134">
        <f>SUM(BK151,BK134,BK89)</f>
        <v>23307391</v>
      </c>
      <c r="BL153" s="131">
        <f>IFERROR(BK153/BJ153,0)</f>
        <v>3448.8592778928678</v>
      </c>
      <c r="BM153" s="132">
        <f t="shared" ref="BM153:BS153" si="196">SUM(BM151,BM134,BM89)</f>
        <v>2583429</v>
      </c>
      <c r="BN153" s="132">
        <f t="shared" si="196"/>
        <v>1959701</v>
      </c>
      <c r="BO153" s="132">
        <f t="shared" si="196"/>
        <v>1153635</v>
      </c>
      <c r="BP153" s="132">
        <f t="shared" si="196"/>
        <v>14101879</v>
      </c>
      <c r="BQ153" s="132">
        <f t="shared" si="196"/>
        <v>3508747</v>
      </c>
      <c r="BR153" s="132">
        <f t="shared" si="196"/>
        <v>13267511</v>
      </c>
      <c r="BS153" s="235">
        <f t="shared" si="196"/>
        <v>1769638</v>
      </c>
      <c r="BT153" s="79">
        <f>SUM(BT151,BT134,BT89)</f>
        <v>6562</v>
      </c>
      <c r="BU153" s="134">
        <f>SUM(BU151,BU134,BU89)</f>
        <v>22619512.73</v>
      </c>
      <c r="BV153" s="131">
        <f>IFERROR(BU153/BT153,0)</f>
        <v>3447.0455242304174</v>
      </c>
      <c r="BW153" s="132">
        <f t="shared" ref="BW153:CC153" si="197">SUM(BW151,BW134,BW89)</f>
        <v>2688340.15</v>
      </c>
      <c r="BX153" s="132">
        <f t="shared" si="197"/>
        <v>2086963.3599999999</v>
      </c>
      <c r="BY153" s="132">
        <f t="shared" si="197"/>
        <v>1531536.2</v>
      </c>
      <c r="BZ153" s="132">
        <f t="shared" si="197"/>
        <v>13197798.289999999</v>
      </c>
      <c r="CA153" s="132">
        <f t="shared" si="197"/>
        <v>3114874.7299999995</v>
      </c>
      <c r="CB153" s="132">
        <f t="shared" si="197"/>
        <v>11991458.16</v>
      </c>
      <c r="CC153" s="235">
        <f t="shared" si="197"/>
        <v>1639224.71</v>
      </c>
    </row>
    <row r="154" spans="1:81" s="81" customFormat="1" ht="50.25" customHeight="1">
      <c r="A154" s="290" t="s">
        <v>125</v>
      </c>
      <c r="B154" s="237" t="str">
        <f>B2</f>
        <v>2015-16</v>
      </c>
      <c r="C154" s="490" t="str">
        <f>B154&amp;" COMMENTS"</f>
        <v>2015-16 COMMENTS</v>
      </c>
      <c r="D154" s="491"/>
      <c r="E154" s="491"/>
      <c r="F154" s="491"/>
      <c r="G154" s="491"/>
      <c r="H154" s="491"/>
      <c r="I154" s="491"/>
      <c r="J154" s="491"/>
      <c r="K154" s="330"/>
      <c r="L154" s="237" t="str">
        <f>L2</f>
        <v>2016-17</v>
      </c>
      <c r="M154" s="512" t="str">
        <f>L154&amp;" COMMENTS"</f>
        <v>2016-17 COMMENTS</v>
      </c>
      <c r="N154" s="513"/>
      <c r="O154" s="513"/>
      <c r="P154" s="513"/>
      <c r="Q154" s="513"/>
      <c r="R154" s="513"/>
      <c r="S154" s="513"/>
      <c r="T154" s="513"/>
      <c r="U154" s="260"/>
      <c r="V154" s="237" t="str">
        <f>V2</f>
        <v>2017-18</v>
      </c>
      <c r="W154" s="505" t="str">
        <f>V154&amp;" COMMENTS"</f>
        <v>2017-18 COMMENTS</v>
      </c>
      <c r="X154" s="506"/>
      <c r="Y154" s="506"/>
      <c r="Z154" s="506"/>
      <c r="AA154" s="506"/>
      <c r="AB154" s="506"/>
      <c r="AC154" s="506"/>
      <c r="AD154" s="506"/>
      <c r="AE154" s="251"/>
      <c r="AF154" s="237" t="str">
        <f>AF2</f>
        <v>2018-19</v>
      </c>
      <c r="AG154" s="505" t="str">
        <f>AF154&amp;" COMMENTS"</f>
        <v>2018-19 COMMENTS</v>
      </c>
      <c r="AH154" s="506"/>
      <c r="AI154" s="506"/>
      <c r="AJ154" s="506"/>
      <c r="AK154" s="506"/>
      <c r="AL154" s="506"/>
      <c r="AM154" s="506"/>
      <c r="AN154" s="506"/>
      <c r="AO154" s="251"/>
      <c r="AP154" s="237" t="str">
        <f>AP2</f>
        <v>2019-20</v>
      </c>
      <c r="AQ154" s="490" t="str">
        <f>AP154&amp;" COMMENTS"</f>
        <v>2019-20 COMMENTS</v>
      </c>
      <c r="AR154" s="491"/>
      <c r="AS154" s="491"/>
      <c r="AT154" s="491"/>
      <c r="AU154" s="491"/>
      <c r="AV154" s="491"/>
      <c r="AW154" s="491"/>
      <c r="AX154" s="491"/>
      <c r="AY154" s="492"/>
      <c r="AZ154" s="237" t="str">
        <f>AZ2</f>
        <v>2020-21</v>
      </c>
      <c r="BA154" s="490" t="str">
        <f>AZ154&amp;" COMMENTS"</f>
        <v>2020-21 COMMENTS</v>
      </c>
      <c r="BB154" s="491"/>
      <c r="BC154" s="491"/>
      <c r="BD154" s="491"/>
      <c r="BE154" s="491"/>
      <c r="BF154" s="491"/>
      <c r="BG154" s="491"/>
      <c r="BH154" s="491"/>
      <c r="BI154" s="492"/>
      <c r="BJ154" s="237" t="str">
        <f>BJ2</f>
        <v>2021-22</v>
      </c>
      <c r="BK154" s="490" t="str">
        <f>BJ154&amp;" COMMENTS"</f>
        <v>2021-22 COMMENTS</v>
      </c>
      <c r="BL154" s="491"/>
      <c r="BM154" s="491"/>
      <c r="BN154" s="491"/>
      <c r="BO154" s="491"/>
      <c r="BP154" s="491"/>
      <c r="BQ154" s="491"/>
      <c r="BR154" s="491"/>
      <c r="BS154" s="492"/>
      <c r="BT154" s="237" t="str">
        <f>BT2</f>
        <v>2022-23</v>
      </c>
      <c r="BU154" s="490" t="str">
        <f>BT154&amp;" COMMENTS"</f>
        <v>2022-23 COMMENTS</v>
      </c>
      <c r="BV154" s="491"/>
      <c r="BW154" s="491"/>
      <c r="BX154" s="491"/>
      <c r="BY154" s="491"/>
      <c r="BZ154" s="491"/>
      <c r="CA154" s="491"/>
      <c r="CB154" s="491"/>
      <c r="CC154" s="492"/>
    </row>
    <row r="155" spans="1:81" s="29" customFormat="1" ht="20.25" customHeight="1">
      <c r="A155" s="291" t="s">
        <v>114</v>
      </c>
      <c r="B155" s="275">
        <v>3038</v>
      </c>
      <c r="C155" s="493"/>
      <c r="D155" s="494"/>
      <c r="E155" s="494"/>
      <c r="F155" s="494"/>
      <c r="G155" s="494"/>
      <c r="H155" s="494"/>
      <c r="I155" s="494"/>
      <c r="J155" s="494"/>
      <c r="K155" s="335"/>
      <c r="L155" s="215">
        <v>2998</v>
      </c>
      <c r="M155" s="517" t="s">
        <v>170</v>
      </c>
      <c r="N155" s="518"/>
      <c r="O155" s="518"/>
      <c r="P155" s="518"/>
      <c r="Q155" s="518"/>
      <c r="R155" s="518"/>
      <c r="S155" s="518"/>
      <c r="T155" s="518"/>
      <c r="U155" s="261"/>
      <c r="V155" s="215">
        <v>2772</v>
      </c>
      <c r="W155" s="493"/>
      <c r="X155" s="494"/>
      <c r="Y155" s="494"/>
      <c r="Z155" s="494"/>
      <c r="AA155" s="494"/>
      <c r="AB155" s="494"/>
      <c r="AC155" s="494"/>
      <c r="AD155" s="494"/>
      <c r="AE155" s="335"/>
      <c r="AF155" s="215">
        <v>2482</v>
      </c>
      <c r="AG155" s="493" t="s">
        <v>203</v>
      </c>
      <c r="AH155" s="494"/>
      <c r="AI155" s="494"/>
      <c r="AJ155" s="494"/>
      <c r="AK155" s="494"/>
      <c r="AL155" s="494"/>
      <c r="AM155" s="494"/>
      <c r="AN155" s="494"/>
      <c r="AO155" s="335"/>
      <c r="AP155" s="215">
        <v>2407</v>
      </c>
      <c r="AQ155" s="493" t="s">
        <v>203</v>
      </c>
      <c r="AR155" s="494"/>
      <c r="AS155" s="494"/>
      <c r="AT155" s="494"/>
      <c r="AU155" s="494"/>
      <c r="AV155" s="494"/>
      <c r="AW155" s="494"/>
      <c r="AX155" s="494"/>
      <c r="AY155" s="495"/>
      <c r="AZ155" s="215">
        <v>2330</v>
      </c>
      <c r="BA155" s="493" t="s">
        <v>230</v>
      </c>
      <c r="BB155" s="494"/>
      <c r="BC155" s="494"/>
      <c r="BD155" s="494"/>
      <c r="BE155" s="494"/>
      <c r="BF155" s="494"/>
      <c r="BG155" s="494"/>
      <c r="BH155" s="494"/>
      <c r="BI155" s="495"/>
      <c r="BJ155" s="215">
        <v>2250</v>
      </c>
      <c r="BK155" s="493" t="s">
        <v>233</v>
      </c>
      <c r="BL155" s="494"/>
      <c r="BM155" s="494"/>
      <c r="BN155" s="494"/>
      <c r="BO155" s="494"/>
      <c r="BP155" s="494"/>
      <c r="BQ155" s="494"/>
      <c r="BR155" s="494"/>
      <c r="BS155" s="495"/>
      <c r="BT155" s="139">
        <v>2260</v>
      </c>
      <c r="BU155" s="528" t="s">
        <v>250</v>
      </c>
      <c r="BV155" s="529"/>
      <c r="BW155" s="529"/>
      <c r="BX155" s="529"/>
      <c r="BY155" s="529"/>
      <c r="BZ155" s="529"/>
      <c r="CA155" s="529"/>
      <c r="CB155" s="529"/>
      <c r="CC155" s="530"/>
    </row>
    <row r="156" spans="1:81" s="29" customFormat="1" ht="20.25" customHeight="1">
      <c r="A156" s="291" t="s">
        <v>115</v>
      </c>
      <c r="B156" s="275">
        <v>2319</v>
      </c>
      <c r="C156" s="496"/>
      <c r="D156" s="497"/>
      <c r="E156" s="497"/>
      <c r="F156" s="497"/>
      <c r="G156" s="497"/>
      <c r="H156" s="497"/>
      <c r="I156" s="497"/>
      <c r="J156" s="497"/>
      <c r="K156" s="336"/>
      <c r="L156" s="215">
        <v>2334</v>
      </c>
      <c r="M156" s="519"/>
      <c r="N156" s="520"/>
      <c r="O156" s="520"/>
      <c r="P156" s="520"/>
      <c r="Q156" s="520"/>
      <c r="R156" s="520"/>
      <c r="S156" s="520"/>
      <c r="T156" s="520"/>
      <c r="U156" s="262"/>
      <c r="V156" s="215">
        <v>2296</v>
      </c>
      <c r="W156" s="496"/>
      <c r="X156" s="497"/>
      <c r="Y156" s="497"/>
      <c r="Z156" s="497"/>
      <c r="AA156" s="497"/>
      <c r="AB156" s="497"/>
      <c r="AC156" s="497"/>
      <c r="AD156" s="497"/>
      <c r="AE156" s="336"/>
      <c r="AF156" s="215">
        <v>2005</v>
      </c>
      <c r="AG156" s="496"/>
      <c r="AH156" s="497"/>
      <c r="AI156" s="497"/>
      <c r="AJ156" s="497"/>
      <c r="AK156" s="497"/>
      <c r="AL156" s="497"/>
      <c r="AM156" s="497"/>
      <c r="AN156" s="497"/>
      <c r="AO156" s="336"/>
      <c r="AP156" s="215">
        <v>2037</v>
      </c>
      <c r="AQ156" s="496"/>
      <c r="AR156" s="497"/>
      <c r="AS156" s="497"/>
      <c r="AT156" s="497"/>
      <c r="AU156" s="497"/>
      <c r="AV156" s="497"/>
      <c r="AW156" s="497"/>
      <c r="AX156" s="497"/>
      <c r="AY156" s="498"/>
      <c r="AZ156" s="215">
        <v>1904</v>
      </c>
      <c r="BA156" s="496"/>
      <c r="BB156" s="497"/>
      <c r="BC156" s="497"/>
      <c r="BD156" s="497"/>
      <c r="BE156" s="497"/>
      <c r="BF156" s="497"/>
      <c r="BG156" s="497"/>
      <c r="BH156" s="497"/>
      <c r="BI156" s="498"/>
      <c r="BJ156" s="215">
        <v>2042</v>
      </c>
      <c r="BK156" s="496"/>
      <c r="BL156" s="497"/>
      <c r="BM156" s="497"/>
      <c r="BN156" s="497"/>
      <c r="BO156" s="497"/>
      <c r="BP156" s="497"/>
      <c r="BQ156" s="497"/>
      <c r="BR156" s="497"/>
      <c r="BS156" s="498"/>
      <c r="BT156" s="139">
        <v>2105</v>
      </c>
      <c r="BU156" s="531"/>
      <c r="BV156" s="532"/>
      <c r="BW156" s="532"/>
      <c r="BX156" s="532"/>
      <c r="BY156" s="532"/>
      <c r="BZ156" s="532"/>
      <c r="CA156" s="532"/>
      <c r="CB156" s="532"/>
      <c r="CC156" s="533"/>
    </row>
    <row r="157" spans="1:81" s="29" customFormat="1" ht="20.25" customHeight="1">
      <c r="A157" s="291" t="s">
        <v>116</v>
      </c>
      <c r="B157" s="275">
        <v>1812</v>
      </c>
      <c r="C157" s="496"/>
      <c r="D157" s="497"/>
      <c r="E157" s="497"/>
      <c r="F157" s="497"/>
      <c r="G157" s="497"/>
      <c r="H157" s="497"/>
      <c r="I157" s="497"/>
      <c r="J157" s="497"/>
      <c r="K157" s="336"/>
      <c r="L157" s="215">
        <v>1822</v>
      </c>
      <c r="M157" s="519"/>
      <c r="N157" s="520"/>
      <c r="O157" s="520"/>
      <c r="P157" s="520"/>
      <c r="Q157" s="520"/>
      <c r="R157" s="520"/>
      <c r="S157" s="520"/>
      <c r="T157" s="520"/>
      <c r="U157" s="262"/>
      <c r="V157" s="215">
        <v>1789</v>
      </c>
      <c r="W157" s="496"/>
      <c r="X157" s="497"/>
      <c r="Y157" s="497"/>
      <c r="Z157" s="497"/>
      <c r="AA157" s="497"/>
      <c r="AB157" s="497"/>
      <c r="AC157" s="497"/>
      <c r="AD157" s="497"/>
      <c r="AE157" s="336"/>
      <c r="AF157" s="215">
        <v>1766</v>
      </c>
      <c r="AG157" s="496"/>
      <c r="AH157" s="497"/>
      <c r="AI157" s="497"/>
      <c r="AJ157" s="497"/>
      <c r="AK157" s="497"/>
      <c r="AL157" s="497"/>
      <c r="AM157" s="497"/>
      <c r="AN157" s="497"/>
      <c r="AO157" s="336"/>
      <c r="AP157" s="215">
        <v>1464</v>
      </c>
      <c r="AQ157" s="496"/>
      <c r="AR157" s="497"/>
      <c r="AS157" s="497"/>
      <c r="AT157" s="497"/>
      <c r="AU157" s="497"/>
      <c r="AV157" s="497"/>
      <c r="AW157" s="497"/>
      <c r="AX157" s="497"/>
      <c r="AY157" s="498"/>
      <c r="AZ157" s="215">
        <v>1422</v>
      </c>
      <c r="BA157" s="496"/>
      <c r="BB157" s="497"/>
      <c r="BC157" s="497"/>
      <c r="BD157" s="497"/>
      <c r="BE157" s="497"/>
      <c r="BF157" s="497"/>
      <c r="BG157" s="497"/>
      <c r="BH157" s="497"/>
      <c r="BI157" s="498"/>
      <c r="BJ157" s="215">
        <v>1543</v>
      </c>
      <c r="BK157" s="496"/>
      <c r="BL157" s="497"/>
      <c r="BM157" s="497"/>
      <c r="BN157" s="497"/>
      <c r="BO157" s="497"/>
      <c r="BP157" s="497"/>
      <c r="BQ157" s="497"/>
      <c r="BR157" s="497"/>
      <c r="BS157" s="498"/>
      <c r="BT157" s="139">
        <v>1551</v>
      </c>
      <c r="BU157" s="531"/>
      <c r="BV157" s="532"/>
      <c r="BW157" s="532"/>
      <c r="BX157" s="532"/>
      <c r="BY157" s="532"/>
      <c r="BZ157" s="532"/>
      <c r="CA157" s="532"/>
      <c r="CB157" s="532"/>
      <c r="CC157" s="533"/>
    </row>
    <row r="158" spans="1:81" s="29" customFormat="1" ht="20.25" customHeight="1">
      <c r="A158" s="291" t="s">
        <v>117</v>
      </c>
      <c r="B158" s="276">
        <f>IFERROR(B156/B155,"")</f>
        <v>0.76333113890717574</v>
      </c>
      <c r="C158" s="496"/>
      <c r="D158" s="497"/>
      <c r="E158" s="497"/>
      <c r="F158" s="497"/>
      <c r="G158" s="497"/>
      <c r="H158" s="497"/>
      <c r="I158" s="497"/>
      <c r="J158" s="497"/>
      <c r="K158" s="336"/>
      <c r="L158" s="138">
        <f>IFERROR(L156/L155,"")</f>
        <v>0.7785190126751167</v>
      </c>
      <c r="M158" s="519"/>
      <c r="N158" s="520"/>
      <c r="O158" s="520"/>
      <c r="P158" s="520"/>
      <c r="Q158" s="520"/>
      <c r="R158" s="520"/>
      <c r="S158" s="520"/>
      <c r="T158" s="520"/>
      <c r="U158" s="262"/>
      <c r="V158" s="138">
        <f>IFERROR(V156/V155,"")</f>
        <v>0.82828282828282829</v>
      </c>
      <c r="W158" s="496"/>
      <c r="X158" s="497"/>
      <c r="Y158" s="497"/>
      <c r="Z158" s="497"/>
      <c r="AA158" s="497"/>
      <c r="AB158" s="497"/>
      <c r="AC158" s="497"/>
      <c r="AD158" s="497"/>
      <c r="AE158" s="336"/>
      <c r="AF158" s="138">
        <f>IFERROR(AF156/AF155,"")</f>
        <v>0.80781627719580984</v>
      </c>
      <c r="AG158" s="496"/>
      <c r="AH158" s="497"/>
      <c r="AI158" s="497"/>
      <c r="AJ158" s="497"/>
      <c r="AK158" s="497"/>
      <c r="AL158" s="497"/>
      <c r="AM158" s="497"/>
      <c r="AN158" s="497"/>
      <c r="AO158" s="336"/>
      <c r="AP158" s="138">
        <f>IFERROR(AP156/AP155,"")</f>
        <v>0.84628167843788948</v>
      </c>
      <c r="AQ158" s="496"/>
      <c r="AR158" s="497"/>
      <c r="AS158" s="497"/>
      <c r="AT158" s="497"/>
      <c r="AU158" s="497"/>
      <c r="AV158" s="497"/>
      <c r="AW158" s="497"/>
      <c r="AX158" s="497"/>
      <c r="AY158" s="498"/>
      <c r="AZ158" s="138">
        <f>IFERROR(AZ156/AZ155,"")</f>
        <v>0.81716738197424887</v>
      </c>
      <c r="BA158" s="496"/>
      <c r="BB158" s="497"/>
      <c r="BC158" s="497"/>
      <c r="BD158" s="497"/>
      <c r="BE158" s="497"/>
      <c r="BF158" s="497"/>
      <c r="BG158" s="497"/>
      <c r="BH158" s="497"/>
      <c r="BI158" s="498"/>
      <c r="BJ158" s="138">
        <f>IFERROR(BJ156/BJ155,"")</f>
        <v>0.90755555555555556</v>
      </c>
      <c r="BK158" s="496"/>
      <c r="BL158" s="497"/>
      <c r="BM158" s="497"/>
      <c r="BN158" s="497"/>
      <c r="BO158" s="497"/>
      <c r="BP158" s="497"/>
      <c r="BQ158" s="497"/>
      <c r="BR158" s="497"/>
      <c r="BS158" s="498"/>
      <c r="BT158" s="138">
        <f>IFERROR(BT156/BT155,"")</f>
        <v>0.93141592920353977</v>
      </c>
      <c r="BU158" s="531"/>
      <c r="BV158" s="532"/>
      <c r="BW158" s="532"/>
      <c r="BX158" s="532"/>
      <c r="BY158" s="532"/>
      <c r="BZ158" s="532"/>
      <c r="CA158" s="532"/>
      <c r="CB158" s="532"/>
      <c r="CC158" s="533"/>
    </row>
    <row r="159" spans="1:81" s="29" customFormat="1" ht="20.25" customHeight="1">
      <c r="A159" s="291" t="s">
        <v>118</v>
      </c>
      <c r="B159" s="275">
        <v>1244</v>
      </c>
      <c r="C159" s="496"/>
      <c r="D159" s="497"/>
      <c r="E159" s="497"/>
      <c r="F159" s="497"/>
      <c r="G159" s="497"/>
      <c r="H159" s="497"/>
      <c r="I159" s="497"/>
      <c r="J159" s="497"/>
      <c r="K159" s="336"/>
      <c r="L159" s="215">
        <v>1244</v>
      </c>
      <c r="M159" s="519"/>
      <c r="N159" s="520"/>
      <c r="O159" s="520"/>
      <c r="P159" s="520"/>
      <c r="Q159" s="520"/>
      <c r="R159" s="520"/>
      <c r="S159" s="520"/>
      <c r="T159" s="520"/>
      <c r="U159" s="262"/>
      <c r="V159" s="215">
        <v>1161</v>
      </c>
      <c r="W159" s="496"/>
      <c r="X159" s="497"/>
      <c r="Y159" s="497"/>
      <c r="Z159" s="497"/>
      <c r="AA159" s="497"/>
      <c r="AB159" s="497"/>
      <c r="AC159" s="497"/>
      <c r="AD159" s="497"/>
      <c r="AE159" s="336"/>
      <c r="AF159" s="215">
        <v>1113</v>
      </c>
      <c r="AG159" s="496"/>
      <c r="AH159" s="497"/>
      <c r="AI159" s="497"/>
      <c r="AJ159" s="497"/>
      <c r="AK159" s="497"/>
      <c r="AL159" s="497"/>
      <c r="AM159" s="497"/>
      <c r="AN159" s="497"/>
      <c r="AO159" s="336"/>
      <c r="AP159" s="215">
        <v>1144</v>
      </c>
      <c r="AQ159" s="496"/>
      <c r="AR159" s="497"/>
      <c r="AS159" s="497"/>
      <c r="AT159" s="497"/>
      <c r="AU159" s="497"/>
      <c r="AV159" s="497"/>
      <c r="AW159" s="497"/>
      <c r="AX159" s="497"/>
      <c r="AY159" s="498"/>
      <c r="AZ159" s="215">
        <v>1059</v>
      </c>
      <c r="BA159" s="496"/>
      <c r="BB159" s="497"/>
      <c r="BC159" s="497"/>
      <c r="BD159" s="497"/>
      <c r="BE159" s="497"/>
      <c r="BF159" s="497"/>
      <c r="BG159" s="497"/>
      <c r="BH159" s="497"/>
      <c r="BI159" s="498"/>
      <c r="BJ159" s="215">
        <v>1133</v>
      </c>
      <c r="BK159" s="496"/>
      <c r="BL159" s="497"/>
      <c r="BM159" s="497"/>
      <c r="BN159" s="497"/>
      <c r="BO159" s="497"/>
      <c r="BP159" s="497"/>
      <c r="BQ159" s="497"/>
      <c r="BR159" s="497"/>
      <c r="BS159" s="498"/>
      <c r="BT159" s="139">
        <v>1146</v>
      </c>
      <c r="BU159" s="531"/>
      <c r="BV159" s="532"/>
      <c r="BW159" s="532"/>
      <c r="BX159" s="532"/>
      <c r="BY159" s="532"/>
      <c r="BZ159" s="532"/>
      <c r="CA159" s="532"/>
      <c r="CB159" s="532"/>
      <c r="CC159" s="533"/>
    </row>
    <row r="160" spans="1:81" s="29" customFormat="1" ht="20.25" customHeight="1">
      <c r="A160" s="291" t="s">
        <v>119</v>
      </c>
      <c r="B160" s="276">
        <f>IFERROR(B159/B156,"")</f>
        <v>0.53643811987925827</v>
      </c>
      <c r="C160" s="496"/>
      <c r="D160" s="497"/>
      <c r="E160" s="497"/>
      <c r="F160" s="497"/>
      <c r="G160" s="497"/>
      <c r="H160" s="497"/>
      <c r="I160" s="497"/>
      <c r="J160" s="497"/>
      <c r="K160" s="336"/>
      <c r="L160" s="138">
        <f>IFERROR(L159/L156,"")</f>
        <v>0.53299057412167949</v>
      </c>
      <c r="M160" s="519"/>
      <c r="N160" s="520"/>
      <c r="O160" s="520"/>
      <c r="P160" s="520"/>
      <c r="Q160" s="520"/>
      <c r="R160" s="520"/>
      <c r="S160" s="520"/>
      <c r="T160" s="520"/>
      <c r="U160" s="262"/>
      <c r="V160" s="138">
        <f>IFERROR(V159/V156,"")</f>
        <v>0.50566202090592338</v>
      </c>
      <c r="W160" s="496"/>
      <c r="X160" s="497"/>
      <c r="Y160" s="497"/>
      <c r="Z160" s="497"/>
      <c r="AA160" s="497"/>
      <c r="AB160" s="497"/>
      <c r="AC160" s="497"/>
      <c r="AD160" s="497"/>
      <c r="AE160" s="336"/>
      <c r="AF160" s="138">
        <f>IFERROR(AF159/AF156,"")</f>
        <v>0.55511221945137157</v>
      </c>
      <c r="AG160" s="496"/>
      <c r="AH160" s="497"/>
      <c r="AI160" s="497"/>
      <c r="AJ160" s="497"/>
      <c r="AK160" s="497"/>
      <c r="AL160" s="497"/>
      <c r="AM160" s="497"/>
      <c r="AN160" s="497"/>
      <c r="AO160" s="336"/>
      <c r="AP160" s="138">
        <f>IFERROR(AP159/AP156,"")</f>
        <v>0.56161021109474718</v>
      </c>
      <c r="AQ160" s="496"/>
      <c r="AR160" s="497"/>
      <c r="AS160" s="497"/>
      <c r="AT160" s="497"/>
      <c r="AU160" s="497"/>
      <c r="AV160" s="497"/>
      <c r="AW160" s="497"/>
      <c r="AX160" s="497"/>
      <c r="AY160" s="498"/>
      <c r="AZ160" s="138">
        <f>IFERROR(AZ159/AZ156,"")</f>
        <v>0.55619747899159666</v>
      </c>
      <c r="BA160" s="496"/>
      <c r="BB160" s="497"/>
      <c r="BC160" s="497"/>
      <c r="BD160" s="497"/>
      <c r="BE160" s="497"/>
      <c r="BF160" s="497"/>
      <c r="BG160" s="497"/>
      <c r="BH160" s="497"/>
      <c r="BI160" s="498"/>
      <c r="BJ160" s="138">
        <f>IFERROR(BJ159/BJ156,"")</f>
        <v>0.5548481880509305</v>
      </c>
      <c r="BK160" s="496"/>
      <c r="BL160" s="497"/>
      <c r="BM160" s="497"/>
      <c r="BN160" s="497"/>
      <c r="BO160" s="497"/>
      <c r="BP160" s="497"/>
      <c r="BQ160" s="497"/>
      <c r="BR160" s="497"/>
      <c r="BS160" s="498"/>
      <c r="BT160" s="138">
        <f>IFERROR(BT159/BT156,"")</f>
        <v>0.54441805225653206</v>
      </c>
      <c r="BU160" s="531"/>
      <c r="BV160" s="532"/>
      <c r="BW160" s="532"/>
      <c r="BX160" s="532"/>
      <c r="BY160" s="532"/>
      <c r="BZ160" s="532"/>
      <c r="CA160" s="532"/>
      <c r="CB160" s="532"/>
      <c r="CC160" s="533"/>
    </row>
    <row r="161" spans="1:81" s="80" customFormat="1" ht="20.25" customHeight="1">
      <c r="A161" s="292" t="s">
        <v>214</v>
      </c>
      <c r="B161" s="277">
        <f>C153</f>
        <v>21601448</v>
      </c>
      <c r="C161" s="496"/>
      <c r="D161" s="497"/>
      <c r="E161" s="497"/>
      <c r="F161" s="497"/>
      <c r="G161" s="497"/>
      <c r="H161" s="497"/>
      <c r="I161" s="497"/>
      <c r="J161" s="497"/>
      <c r="K161" s="336"/>
      <c r="L161" s="140">
        <f>M153</f>
        <v>22371725</v>
      </c>
      <c r="M161" s="519"/>
      <c r="N161" s="520"/>
      <c r="O161" s="520"/>
      <c r="P161" s="520"/>
      <c r="Q161" s="520"/>
      <c r="R161" s="520"/>
      <c r="S161" s="520"/>
      <c r="T161" s="520"/>
      <c r="U161" s="262"/>
      <c r="V161" s="140">
        <f>W153</f>
        <v>21535188</v>
      </c>
      <c r="W161" s="496"/>
      <c r="X161" s="497"/>
      <c r="Y161" s="497"/>
      <c r="Z161" s="497"/>
      <c r="AA161" s="497"/>
      <c r="AB161" s="497"/>
      <c r="AC161" s="497"/>
      <c r="AD161" s="497"/>
      <c r="AE161" s="336"/>
      <c r="AF161" s="140">
        <f>AG153</f>
        <v>20222331</v>
      </c>
      <c r="AG161" s="496"/>
      <c r="AH161" s="497"/>
      <c r="AI161" s="497"/>
      <c r="AJ161" s="497"/>
      <c r="AK161" s="497"/>
      <c r="AL161" s="497"/>
      <c r="AM161" s="497"/>
      <c r="AN161" s="497"/>
      <c r="AO161" s="336"/>
      <c r="AP161" s="140">
        <f>AQ153</f>
        <v>21162588.399999999</v>
      </c>
      <c r="AQ161" s="496"/>
      <c r="AR161" s="497"/>
      <c r="AS161" s="497"/>
      <c r="AT161" s="497"/>
      <c r="AU161" s="497"/>
      <c r="AV161" s="497"/>
      <c r="AW161" s="497"/>
      <c r="AX161" s="497"/>
      <c r="AY161" s="498"/>
      <c r="AZ161" s="140">
        <f>BA153</f>
        <v>20875592</v>
      </c>
      <c r="BA161" s="496"/>
      <c r="BB161" s="497"/>
      <c r="BC161" s="497"/>
      <c r="BD161" s="497"/>
      <c r="BE161" s="497"/>
      <c r="BF161" s="497"/>
      <c r="BG161" s="497"/>
      <c r="BH161" s="497"/>
      <c r="BI161" s="498"/>
      <c r="BJ161" s="140">
        <f>BK153</f>
        <v>23307391</v>
      </c>
      <c r="BK161" s="496"/>
      <c r="BL161" s="497"/>
      <c r="BM161" s="497"/>
      <c r="BN161" s="497"/>
      <c r="BO161" s="497"/>
      <c r="BP161" s="497"/>
      <c r="BQ161" s="497"/>
      <c r="BR161" s="497"/>
      <c r="BS161" s="498"/>
      <c r="BT161" s="140">
        <f>BU153</f>
        <v>22619512.73</v>
      </c>
      <c r="BU161" s="531"/>
      <c r="BV161" s="532"/>
      <c r="BW161" s="532"/>
      <c r="BX161" s="532"/>
      <c r="BY161" s="532"/>
      <c r="BZ161" s="532"/>
      <c r="CA161" s="532"/>
      <c r="CB161" s="532"/>
      <c r="CC161" s="533"/>
    </row>
    <row r="162" spans="1:81" s="80" customFormat="1" ht="20.25" customHeight="1">
      <c r="A162" s="292" t="s">
        <v>120</v>
      </c>
      <c r="B162" s="277">
        <f>J153</f>
        <v>11503961</v>
      </c>
      <c r="C162" s="496"/>
      <c r="D162" s="497"/>
      <c r="E162" s="497"/>
      <c r="F162" s="497"/>
      <c r="G162" s="497"/>
      <c r="H162" s="497"/>
      <c r="I162" s="497"/>
      <c r="J162" s="497"/>
      <c r="K162" s="336"/>
      <c r="L162" s="140">
        <f>T153</f>
        <v>12194859</v>
      </c>
      <c r="M162" s="519"/>
      <c r="N162" s="520"/>
      <c r="O162" s="520"/>
      <c r="P162" s="520"/>
      <c r="Q162" s="520"/>
      <c r="R162" s="520"/>
      <c r="S162" s="520"/>
      <c r="T162" s="520"/>
      <c r="U162" s="262"/>
      <c r="V162" s="140">
        <f>AD153</f>
        <v>11989660</v>
      </c>
      <c r="W162" s="496"/>
      <c r="X162" s="497"/>
      <c r="Y162" s="497"/>
      <c r="Z162" s="497"/>
      <c r="AA162" s="497"/>
      <c r="AB162" s="497"/>
      <c r="AC162" s="497"/>
      <c r="AD162" s="497"/>
      <c r="AE162" s="336"/>
      <c r="AF162" s="140">
        <f>AN153</f>
        <v>11016738</v>
      </c>
      <c r="AG162" s="496"/>
      <c r="AH162" s="497"/>
      <c r="AI162" s="497"/>
      <c r="AJ162" s="497"/>
      <c r="AK162" s="497"/>
      <c r="AL162" s="497"/>
      <c r="AM162" s="497"/>
      <c r="AN162" s="497"/>
      <c r="AO162" s="336"/>
      <c r="AP162" s="140">
        <f>AX153</f>
        <v>11644001.640000001</v>
      </c>
      <c r="AQ162" s="496"/>
      <c r="AR162" s="497"/>
      <c r="AS162" s="497"/>
      <c r="AT162" s="497"/>
      <c r="AU162" s="497"/>
      <c r="AV162" s="497"/>
      <c r="AW162" s="497"/>
      <c r="AX162" s="497"/>
      <c r="AY162" s="498"/>
      <c r="AZ162" s="140">
        <f>BH153</f>
        <v>11443112</v>
      </c>
      <c r="BA162" s="496"/>
      <c r="BB162" s="497"/>
      <c r="BC162" s="497"/>
      <c r="BD162" s="497"/>
      <c r="BE162" s="497"/>
      <c r="BF162" s="497"/>
      <c r="BG162" s="497"/>
      <c r="BH162" s="497"/>
      <c r="BI162" s="498"/>
      <c r="BJ162" s="140">
        <f>BR153</f>
        <v>13267511</v>
      </c>
      <c r="BK162" s="496"/>
      <c r="BL162" s="497"/>
      <c r="BM162" s="497"/>
      <c r="BN162" s="497"/>
      <c r="BO162" s="497"/>
      <c r="BP162" s="497"/>
      <c r="BQ162" s="497"/>
      <c r="BR162" s="497"/>
      <c r="BS162" s="498"/>
      <c r="BT162" s="140">
        <f>CB153</f>
        <v>11991458.16</v>
      </c>
      <c r="BU162" s="531"/>
      <c r="BV162" s="532"/>
      <c r="BW162" s="532"/>
      <c r="BX162" s="532"/>
      <c r="BY162" s="532"/>
      <c r="BZ162" s="532"/>
      <c r="CA162" s="532"/>
      <c r="CB162" s="532"/>
      <c r="CC162" s="533"/>
    </row>
    <row r="163" spans="1:81" s="80" customFormat="1" ht="20.25" customHeight="1">
      <c r="A163" s="292" t="s">
        <v>215</v>
      </c>
      <c r="B163" s="277">
        <f>K153</f>
        <v>1741088</v>
      </c>
      <c r="C163" s="496"/>
      <c r="D163" s="497"/>
      <c r="E163" s="497"/>
      <c r="F163" s="497"/>
      <c r="G163" s="497"/>
      <c r="H163" s="497"/>
      <c r="I163" s="497"/>
      <c r="J163" s="497"/>
      <c r="K163" s="336"/>
      <c r="L163" s="277">
        <f>U153</f>
        <v>1597459</v>
      </c>
      <c r="M163" s="519"/>
      <c r="N163" s="520"/>
      <c r="O163" s="520"/>
      <c r="P163" s="520"/>
      <c r="Q163" s="520"/>
      <c r="R163" s="520"/>
      <c r="S163" s="520"/>
      <c r="T163" s="520"/>
      <c r="U163" s="262"/>
      <c r="V163" s="277">
        <f>AE153</f>
        <v>1781560</v>
      </c>
      <c r="W163" s="496"/>
      <c r="X163" s="497"/>
      <c r="Y163" s="497"/>
      <c r="Z163" s="497"/>
      <c r="AA163" s="497"/>
      <c r="AB163" s="497"/>
      <c r="AC163" s="497"/>
      <c r="AD163" s="497"/>
      <c r="AE163" s="336"/>
      <c r="AF163" s="277">
        <f>AO153</f>
        <v>1707489</v>
      </c>
      <c r="AG163" s="496"/>
      <c r="AH163" s="497"/>
      <c r="AI163" s="497"/>
      <c r="AJ163" s="497"/>
      <c r="AK163" s="497"/>
      <c r="AL163" s="497"/>
      <c r="AM163" s="497"/>
      <c r="AN163" s="497"/>
      <c r="AO163" s="336"/>
      <c r="AP163" s="277">
        <f>AY153</f>
        <v>1862794.0100000002</v>
      </c>
      <c r="AQ163" s="496"/>
      <c r="AR163" s="497"/>
      <c r="AS163" s="497"/>
      <c r="AT163" s="497"/>
      <c r="AU163" s="497"/>
      <c r="AV163" s="497"/>
      <c r="AW163" s="497"/>
      <c r="AX163" s="497"/>
      <c r="AY163" s="498"/>
      <c r="AZ163" s="140">
        <f>BI153</f>
        <v>1777593</v>
      </c>
      <c r="BA163" s="496"/>
      <c r="BB163" s="497"/>
      <c r="BC163" s="497"/>
      <c r="BD163" s="497"/>
      <c r="BE163" s="497"/>
      <c r="BF163" s="497"/>
      <c r="BG163" s="497"/>
      <c r="BH163" s="497"/>
      <c r="BI163" s="498"/>
      <c r="BJ163" s="140">
        <f>BS153</f>
        <v>1769638</v>
      </c>
      <c r="BK163" s="496"/>
      <c r="BL163" s="497"/>
      <c r="BM163" s="497"/>
      <c r="BN163" s="497"/>
      <c r="BO163" s="497"/>
      <c r="BP163" s="497"/>
      <c r="BQ163" s="497"/>
      <c r="BR163" s="497"/>
      <c r="BS163" s="498"/>
      <c r="BT163" s="140">
        <f>CC153</f>
        <v>1639224.71</v>
      </c>
      <c r="BU163" s="531"/>
      <c r="BV163" s="532"/>
      <c r="BW163" s="532"/>
      <c r="BX163" s="532"/>
      <c r="BY163" s="532"/>
      <c r="BZ163" s="532"/>
      <c r="CA163" s="532"/>
      <c r="CB163" s="532"/>
      <c r="CC163" s="533"/>
    </row>
    <row r="164" spans="1:81" s="80" customFormat="1" ht="20.25" customHeight="1">
      <c r="A164" s="292" t="s">
        <v>216</v>
      </c>
      <c r="B164" s="277">
        <f>E153-B163</f>
        <v>1043752</v>
      </c>
      <c r="C164" s="496"/>
      <c r="D164" s="497"/>
      <c r="E164" s="497"/>
      <c r="F164" s="497"/>
      <c r="G164" s="497"/>
      <c r="H164" s="497"/>
      <c r="I164" s="497"/>
      <c r="J164" s="497"/>
      <c r="K164" s="336"/>
      <c r="L164" s="277">
        <f>O153-L163</f>
        <v>1009291</v>
      </c>
      <c r="M164" s="519"/>
      <c r="N164" s="520"/>
      <c r="O164" s="520"/>
      <c r="P164" s="520"/>
      <c r="Q164" s="520"/>
      <c r="R164" s="520"/>
      <c r="S164" s="520"/>
      <c r="T164" s="520"/>
      <c r="U164" s="262"/>
      <c r="V164" s="277">
        <f>Y153-V163</f>
        <v>921085</v>
      </c>
      <c r="W164" s="496"/>
      <c r="X164" s="497"/>
      <c r="Y164" s="497"/>
      <c r="Z164" s="497"/>
      <c r="AA164" s="497"/>
      <c r="AB164" s="497"/>
      <c r="AC164" s="497"/>
      <c r="AD164" s="497"/>
      <c r="AE164" s="336"/>
      <c r="AF164" s="277">
        <f>AI153-AF163</f>
        <v>933430</v>
      </c>
      <c r="AG164" s="496"/>
      <c r="AH164" s="497"/>
      <c r="AI164" s="497"/>
      <c r="AJ164" s="497"/>
      <c r="AK164" s="497"/>
      <c r="AL164" s="497"/>
      <c r="AM164" s="497"/>
      <c r="AN164" s="497"/>
      <c r="AO164" s="336"/>
      <c r="AP164" s="277">
        <f>AS153-AP163</f>
        <v>1067976.73</v>
      </c>
      <c r="AQ164" s="496"/>
      <c r="AR164" s="497"/>
      <c r="AS164" s="497"/>
      <c r="AT164" s="497"/>
      <c r="AU164" s="497"/>
      <c r="AV164" s="497"/>
      <c r="AW164" s="497"/>
      <c r="AX164" s="497"/>
      <c r="AY164" s="498"/>
      <c r="AZ164" s="277">
        <f>BC153-AZ163</f>
        <v>788681</v>
      </c>
      <c r="BA164" s="496"/>
      <c r="BB164" s="497"/>
      <c r="BC164" s="497"/>
      <c r="BD164" s="497"/>
      <c r="BE164" s="497"/>
      <c r="BF164" s="497"/>
      <c r="BG164" s="497"/>
      <c r="BH164" s="497"/>
      <c r="BI164" s="498"/>
      <c r="BJ164" s="277">
        <f>BM153-BJ163</f>
        <v>813791</v>
      </c>
      <c r="BK164" s="496"/>
      <c r="BL164" s="497"/>
      <c r="BM164" s="497"/>
      <c r="BN164" s="497"/>
      <c r="BO164" s="497"/>
      <c r="BP164" s="497"/>
      <c r="BQ164" s="497"/>
      <c r="BR164" s="497"/>
      <c r="BS164" s="498"/>
      <c r="BT164" s="277">
        <f>BW153-BT163</f>
        <v>1049115.44</v>
      </c>
      <c r="BU164" s="531"/>
      <c r="BV164" s="532"/>
      <c r="BW164" s="532"/>
      <c r="BX164" s="532"/>
      <c r="BY164" s="532"/>
      <c r="BZ164" s="532"/>
      <c r="CA164" s="532"/>
      <c r="CB164" s="532"/>
      <c r="CC164" s="533"/>
    </row>
    <row r="165" spans="1:81" s="29" customFormat="1" ht="20.25" customHeight="1">
      <c r="A165" s="291" t="s">
        <v>217</v>
      </c>
      <c r="B165" s="276">
        <f>IFERROR(B162/B161,"")</f>
        <v>0.53255508612200442</v>
      </c>
      <c r="C165" s="496"/>
      <c r="D165" s="497"/>
      <c r="E165" s="497"/>
      <c r="F165" s="497"/>
      <c r="G165" s="497"/>
      <c r="H165" s="497"/>
      <c r="I165" s="497"/>
      <c r="J165" s="497"/>
      <c r="K165" s="336"/>
      <c r="L165" s="138">
        <f>IFERROR(L162/L161,"")</f>
        <v>0.54510141707892446</v>
      </c>
      <c r="M165" s="519"/>
      <c r="N165" s="520"/>
      <c r="O165" s="520"/>
      <c r="P165" s="520"/>
      <c r="Q165" s="520"/>
      <c r="R165" s="520"/>
      <c r="S165" s="520"/>
      <c r="T165" s="520"/>
      <c r="U165" s="262"/>
      <c r="V165" s="138">
        <f>IFERROR(V162/V161,"")</f>
        <v>0.55674740336606299</v>
      </c>
      <c r="W165" s="496"/>
      <c r="X165" s="497"/>
      <c r="Y165" s="497"/>
      <c r="Z165" s="497"/>
      <c r="AA165" s="497"/>
      <c r="AB165" s="497"/>
      <c r="AC165" s="497"/>
      <c r="AD165" s="497"/>
      <c r="AE165" s="336"/>
      <c r="AF165" s="138">
        <f>IFERROR(AF162/AF161,"")</f>
        <v>0.54478081681088097</v>
      </c>
      <c r="AG165" s="496"/>
      <c r="AH165" s="497"/>
      <c r="AI165" s="497"/>
      <c r="AJ165" s="497"/>
      <c r="AK165" s="497"/>
      <c r="AL165" s="497"/>
      <c r="AM165" s="497"/>
      <c r="AN165" s="497"/>
      <c r="AO165" s="336"/>
      <c r="AP165" s="138">
        <f>IFERROR(AP162/AP161,"")</f>
        <v>0.55021632608986537</v>
      </c>
      <c r="AQ165" s="496"/>
      <c r="AR165" s="497"/>
      <c r="AS165" s="497"/>
      <c r="AT165" s="497"/>
      <c r="AU165" s="497"/>
      <c r="AV165" s="497"/>
      <c r="AW165" s="497"/>
      <c r="AX165" s="497"/>
      <c r="AY165" s="498"/>
      <c r="AZ165" s="138">
        <f>IFERROR(AZ162/AZ161,"")</f>
        <v>0.54815748458774249</v>
      </c>
      <c r="BA165" s="496"/>
      <c r="BB165" s="497"/>
      <c r="BC165" s="497"/>
      <c r="BD165" s="497"/>
      <c r="BE165" s="497"/>
      <c r="BF165" s="497"/>
      <c r="BG165" s="497"/>
      <c r="BH165" s="497"/>
      <c r="BI165" s="498"/>
      <c r="BJ165" s="138">
        <f>IFERROR(BJ162/BJ161,"")</f>
        <v>0.56924050401007986</v>
      </c>
      <c r="BK165" s="496"/>
      <c r="BL165" s="497"/>
      <c r="BM165" s="497"/>
      <c r="BN165" s="497"/>
      <c r="BO165" s="497"/>
      <c r="BP165" s="497"/>
      <c r="BQ165" s="497"/>
      <c r="BR165" s="497"/>
      <c r="BS165" s="498"/>
      <c r="BT165" s="138">
        <f>IFERROR(BT162/BT161,"")</f>
        <v>0.53013777543031981</v>
      </c>
      <c r="BU165" s="531"/>
      <c r="BV165" s="532"/>
      <c r="BW165" s="532"/>
      <c r="BX165" s="532"/>
      <c r="BY165" s="532"/>
      <c r="BZ165" s="532"/>
      <c r="CA165" s="532"/>
      <c r="CB165" s="532"/>
      <c r="CC165" s="533"/>
    </row>
    <row r="166" spans="1:81" s="80" customFormat="1" ht="20.25" customHeight="1">
      <c r="A166" s="292" t="s">
        <v>218</v>
      </c>
      <c r="B166" s="278">
        <v>12249470</v>
      </c>
      <c r="C166" s="496"/>
      <c r="D166" s="497"/>
      <c r="E166" s="497"/>
      <c r="F166" s="497"/>
      <c r="G166" s="497"/>
      <c r="H166" s="497"/>
      <c r="I166" s="497"/>
      <c r="J166" s="497"/>
      <c r="K166" s="336"/>
      <c r="L166" s="216">
        <v>12261828</v>
      </c>
      <c r="M166" s="519"/>
      <c r="N166" s="520"/>
      <c r="O166" s="520"/>
      <c r="P166" s="520"/>
      <c r="Q166" s="520"/>
      <c r="R166" s="520"/>
      <c r="S166" s="520"/>
      <c r="T166" s="520"/>
      <c r="U166" s="262"/>
      <c r="V166" s="216">
        <f>'Enrollment &amp; Tuition Summary'!AG20</f>
        <v>12311582</v>
      </c>
      <c r="W166" s="496"/>
      <c r="X166" s="497"/>
      <c r="Y166" s="497"/>
      <c r="Z166" s="497"/>
      <c r="AA166" s="497"/>
      <c r="AB166" s="497"/>
      <c r="AC166" s="497"/>
      <c r="AD166" s="497"/>
      <c r="AE166" s="336"/>
      <c r="AF166" s="216">
        <f>'Enrollment &amp; Tuition Summary'!AL20</f>
        <v>11878991</v>
      </c>
      <c r="AG166" s="496"/>
      <c r="AH166" s="497"/>
      <c r="AI166" s="497"/>
      <c r="AJ166" s="497"/>
      <c r="AK166" s="497"/>
      <c r="AL166" s="497"/>
      <c r="AM166" s="497"/>
      <c r="AN166" s="497"/>
      <c r="AO166" s="336"/>
      <c r="AP166" s="216">
        <f>'Enrollment &amp; Tuition Summary'!AQ20</f>
        <v>11941337</v>
      </c>
      <c r="AQ166" s="496"/>
      <c r="AR166" s="497"/>
      <c r="AS166" s="497"/>
      <c r="AT166" s="497"/>
      <c r="AU166" s="497"/>
      <c r="AV166" s="497"/>
      <c r="AW166" s="497"/>
      <c r="AX166" s="497"/>
      <c r="AY166" s="498"/>
      <c r="AZ166" s="216">
        <f>11900272</f>
        <v>11900272</v>
      </c>
      <c r="BA166" s="496"/>
      <c r="BB166" s="497"/>
      <c r="BC166" s="497"/>
      <c r="BD166" s="497"/>
      <c r="BE166" s="497"/>
      <c r="BF166" s="497"/>
      <c r="BG166" s="497"/>
      <c r="BH166" s="497"/>
      <c r="BI166" s="498"/>
      <c r="BJ166" s="216">
        <v>12081710</v>
      </c>
      <c r="BK166" s="496"/>
      <c r="BL166" s="497"/>
      <c r="BM166" s="497"/>
      <c r="BN166" s="497"/>
      <c r="BO166" s="497"/>
      <c r="BP166" s="497"/>
      <c r="BQ166" s="497"/>
      <c r="BR166" s="497"/>
      <c r="BS166" s="498"/>
      <c r="BT166" s="141">
        <v>12070792</v>
      </c>
      <c r="BU166" s="531"/>
      <c r="BV166" s="532"/>
      <c r="BW166" s="532"/>
      <c r="BX166" s="532"/>
      <c r="BY166" s="532"/>
      <c r="BZ166" s="532"/>
      <c r="CA166" s="532"/>
      <c r="CB166" s="532"/>
      <c r="CC166" s="533"/>
    </row>
    <row r="167" spans="1:81" s="29" customFormat="1" ht="20.25" customHeight="1">
      <c r="A167" s="291" t="s">
        <v>219</v>
      </c>
      <c r="B167" s="279">
        <f>IFERROR(E153/B166,"")</f>
        <v>0.22734371364638634</v>
      </c>
      <c r="C167" s="496"/>
      <c r="D167" s="497"/>
      <c r="E167" s="497"/>
      <c r="F167" s="497"/>
      <c r="G167" s="497"/>
      <c r="H167" s="497"/>
      <c r="I167" s="497"/>
      <c r="J167" s="497"/>
      <c r="K167" s="336"/>
      <c r="L167" s="142">
        <f>IFERROR(O153/L166,"")</f>
        <v>0.21259065124710605</v>
      </c>
      <c r="M167" s="519"/>
      <c r="N167" s="520"/>
      <c r="O167" s="520"/>
      <c r="P167" s="520"/>
      <c r="Q167" s="520"/>
      <c r="R167" s="520"/>
      <c r="S167" s="520"/>
      <c r="T167" s="520"/>
      <c r="U167" s="262"/>
      <c r="V167" s="142">
        <f>IFERROR(Y153/V166,"")</f>
        <v>0.21952052953064846</v>
      </c>
      <c r="W167" s="496"/>
      <c r="X167" s="497"/>
      <c r="Y167" s="497"/>
      <c r="Z167" s="497"/>
      <c r="AA167" s="497"/>
      <c r="AB167" s="497"/>
      <c r="AC167" s="497"/>
      <c r="AD167" s="497"/>
      <c r="AE167" s="336"/>
      <c r="AF167" s="142">
        <f>IFERROR(AI153/AF166,"")</f>
        <v>0.22231846122284291</v>
      </c>
      <c r="AG167" s="496"/>
      <c r="AH167" s="497"/>
      <c r="AI167" s="497"/>
      <c r="AJ167" s="497"/>
      <c r="AK167" s="497"/>
      <c r="AL167" s="497"/>
      <c r="AM167" s="497"/>
      <c r="AN167" s="497"/>
      <c r="AO167" s="336"/>
      <c r="AP167" s="142">
        <f>IFERROR(AS153/AP166,"")</f>
        <v>0.24543070344635615</v>
      </c>
      <c r="AQ167" s="496"/>
      <c r="AR167" s="497"/>
      <c r="AS167" s="497"/>
      <c r="AT167" s="497"/>
      <c r="AU167" s="497"/>
      <c r="AV167" s="497"/>
      <c r="AW167" s="497"/>
      <c r="AX167" s="497"/>
      <c r="AY167" s="498"/>
      <c r="AZ167" s="142">
        <f>IFERROR(BC153/AZ166,"")</f>
        <v>0.21564834820582252</v>
      </c>
      <c r="BA167" s="496"/>
      <c r="BB167" s="497"/>
      <c r="BC167" s="497"/>
      <c r="BD167" s="497"/>
      <c r="BE167" s="497"/>
      <c r="BF167" s="497"/>
      <c r="BG167" s="497"/>
      <c r="BH167" s="497"/>
      <c r="BI167" s="498"/>
      <c r="BJ167" s="142">
        <f>IFERROR(BM153/BJ166,"")</f>
        <v>0.21382974761023066</v>
      </c>
      <c r="BK167" s="496"/>
      <c r="BL167" s="497"/>
      <c r="BM167" s="497"/>
      <c r="BN167" s="497"/>
      <c r="BO167" s="497"/>
      <c r="BP167" s="497"/>
      <c r="BQ167" s="497"/>
      <c r="BR167" s="497"/>
      <c r="BS167" s="498"/>
      <c r="BT167" s="142">
        <f>IFERROR(BW153/BT166,"")</f>
        <v>0.22271447888423559</v>
      </c>
      <c r="BU167" s="531"/>
      <c r="BV167" s="532"/>
      <c r="BW167" s="532"/>
      <c r="BX167" s="532"/>
      <c r="BY167" s="532"/>
      <c r="BZ167" s="532"/>
      <c r="CA167" s="532"/>
      <c r="CB167" s="532"/>
      <c r="CC167" s="533"/>
    </row>
    <row r="168" spans="1:81" s="135" customFormat="1" ht="20.25" customHeight="1">
      <c r="A168" s="291" t="s">
        <v>220</v>
      </c>
      <c r="B168" s="276">
        <f>IFERROR(E153/C153,"")</f>
        <v>0.12891913542092179</v>
      </c>
      <c r="C168" s="496"/>
      <c r="D168" s="497"/>
      <c r="E168" s="497"/>
      <c r="F168" s="497"/>
      <c r="G168" s="497"/>
      <c r="H168" s="497"/>
      <c r="I168" s="497"/>
      <c r="J168" s="497"/>
      <c r="K168" s="336"/>
      <c r="L168" s="138">
        <f>IFERROR(O153/M153,"")</f>
        <v>0.11651984815654581</v>
      </c>
      <c r="M168" s="519"/>
      <c r="N168" s="520"/>
      <c r="O168" s="520"/>
      <c r="P168" s="520"/>
      <c r="Q168" s="520"/>
      <c r="R168" s="520"/>
      <c r="S168" s="520"/>
      <c r="T168" s="520"/>
      <c r="U168" s="262"/>
      <c r="V168" s="138">
        <f>IFERROR(Y153/W153,"")</f>
        <v>0.12549902048684228</v>
      </c>
      <c r="W168" s="496"/>
      <c r="X168" s="497"/>
      <c r="Y168" s="497"/>
      <c r="Z168" s="497"/>
      <c r="AA168" s="497"/>
      <c r="AB168" s="497"/>
      <c r="AC168" s="497"/>
      <c r="AD168" s="497"/>
      <c r="AE168" s="336"/>
      <c r="AF168" s="138">
        <f>IFERROR(AI153/AG153,"")</f>
        <v>0.13059419312244469</v>
      </c>
      <c r="AG168" s="496"/>
      <c r="AH168" s="497"/>
      <c r="AI168" s="497"/>
      <c r="AJ168" s="497"/>
      <c r="AK168" s="497"/>
      <c r="AL168" s="497"/>
      <c r="AM168" s="497"/>
      <c r="AN168" s="497"/>
      <c r="AO168" s="336"/>
      <c r="AP168" s="138">
        <f>IFERROR(AS153/AQ153,"")</f>
        <v>0.13848829285929884</v>
      </c>
      <c r="AQ168" s="496"/>
      <c r="AR168" s="497"/>
      <c r="AS168" s="497"/>
      <c r="AT168" s="497"/>
      <c r="AU168" s="497"/>
      <c r="AV168" s="497"/>
      <c r="AW168" s="497"/>
      <c r="AX168" s="497"/>
      <c r="AY168" s="498"/>
      <c r="AZ168" s="138">
        <f>IFERROR(BC153/BA153,"")</f>
        <v>0.12293179517974867</v>
      </c>
      <c r="BA168" s="496"/>
      <c r="BB168" s="497"/>
      <c r="BC168" s="497"/>
      <c r="BD168" s="497"/>
      <c r="BE168" s="497"/>
      <c r="BF168" s="497"/>
      <c r="BG168" s="497"/>
      <c r="BH168" s="497"/>
      <c r="BI168" s="498"/>
      <c r="BJ168" s="138">
        <f>IFERROR(BM153/BK153,"")</f>
        <v>0.11084162101197856</v>
      </c>
      <c r="BK168" s="496"/>
      <c r="BL168" s="497"/>
      <c r="BM168" s="497"/>
      <c r="BN168" s="497"/>
      <c r="BO168" s="497"/>
      <c r="BP168" s="497"/>
      <c r="BQ168" s="497"/>
      <c r="BR168" s="497"/>
      <c r="BS168" s="498"/>
      <c r="BT168" s="138">
        <f>IFERROR(BW153/BU153,"")</f>
        <v>0.11885048904853221</v>
      </c>
      <c r="BU168" s="531"/>
      <c r="BV168" s="532"/>
      <c r="BW168" s="532"/>
      <c r="BX168" s="532"/>
      <c r="BY168" s="532"/>
      <c r="BZ168" s="532"/>
      <c r="CA168" s="532"/>
      <c r="CB168" s="532"/>
      <c r="CC168" s="533"/>
    </row>
    <row r="169" spans="1:81" s="135" customFormat="1" ht="20.25" customHeight="1">
      <c r="A169" s="291" t="s">
        <v>221</v>
      </c>
      <c r="B169" s="276">
        <f>IFERROR(C89/B161,"")</f>
        <v>0.50234961100755837</v>
      </c>
      <c r="C169" s="496"/>
      <c r="D169" s="497"/>
      <c r="E169" s="497"/>
      <c r="F169" s="497"/>
      <c r="G169" s="497"/>
      <c r="H169" s="497"/>
      <c r="I169" s="497"/>
      <c r="J169" s="497"/>
      <c r="K169" s="336"/>
      <c r="L169" s="138">
        <f>IFERROR(M89/L161,"")</f>
        <v>0.48635588002266256</v>
      </c>
      <c r="M169" s="519"/>
      <c r="N169" s="520"/>
      <c r="O169" s="520"/>
      <c r="P169" s="520"/>
      <c r="Q169" s="520"/>
      <c r="R169" s="520"/>
      <c r="S169" s="520"/>
      <c r="T169" s="520"/>
      <c r="U169" s="262"/>
      <c r="V169" s="138">
        <f>IFERROR(W89/V161,"")</f>
        <v>0.49213357227250581</v>
      </c>
      <c r="W169" s="496"/>
      <c r="X169" s="497"/>
      <c r="Y169" s="497"/>
      <c r="Z169" s="497"/>
      <c r="AA169" s="497"/>
      <c r="AB169" s="497"/>
      <c r="AC169" s="497"/>
      <c r="AD169" s="497"/>
      <c r="AE169" s="336"/>
      <c r="AF169" s="138">
        <f>IFERROR(AG89/AF161,"")</f>
        <v>0.49208417170107638</v>
      </c>
      <c r="AG169" s="496"/>
      <c r="AH169" s="497"/>
      <c r="AI169" s="497"/>
      <c r="AJ169" s="497"/>
      <c r="AK169" s="497"/>
      <c r="AL169" s="497"/>
      <c r="AM169" s="497"/>
      <c r="AN169" s="497"/>
      <c r="AO169" s="336"/>
      <c r="AP169" s="138">
        <f>IFERROR(AQ89/AP161,"")</f>
        <v>0.50125076571446248</v>
      </c>
      <c r="AQ169" s="496"/>
      <c r="AR169" s="497"/>
      <c r="AS169" s="497"/>
      <c r="AT169" s="497"/>
      <c r="AU169" s="497"/>
      <c r="AV169" s="497"/>
      <c r="AW169" s="497"/>
      <c r="AX169" s="497"/>
      <c r="AY169" s="498"/>
      <c r="AZ169" s="138">
        <f>IFERROR(BA89/AZ161,"")</f>
        <v>0.51207438811795136</v>
      </c>
      <c r="BA169" s="496"/>
      <c r="BB169" s="497"/>
      <c r="BC169" s="497"/>
      <c r="BD169" s="497"/>
      <c r="BE169" s="497"/>
      <c r="BF169" s="497"/>
      <c r="BG169" s="497"/>
      <c r="BH169" s="497"/>
      <c r="BI169" s="498"/>
      <c r="BJ169" s="138">
        <f>IFERROR(BK89/BJ161,"")</f>
        <v>0.57592619439902137</v>
      </c>
      <c r="BK169" s="496"/>
      <c r="BL169" s="497"/>
      <c r="BM169" s="497"/>
      <c r="BN169" s="497"/>
      <c r="BO169" s="497"/>
      <c r="BP169" s="497"/>
      <c r="BQ169" s="497"/>
      <c r="BR169" s="497"/>
      <c r="BS169" s="498"/>
      <c r="BT169" s="138">
        <f>IFERROR(BU89/BT161,"")</f>
        <v>0.54264812449830346</v>
      </c>
      <c r="BU169" s="531"/>
      <c r="BV169" s="532"/>
      <c r="BW169" s="532"/>
      <c r="BX169" s="532"/>
      <c r="BY169" s="532"/>
      <c r="BZ169" s="532"/>
      <c r="CA169" s="532"/>
      <c r="CB169" s="532"/>
      <c r="CC169" s="533"/>
    </row>
    <row r="170" spans="1:81" s="135" customFormat="1" ht="20.25" customHeight="1">
      <c r="A170" s="291" t="s">
        <v>222</v>
      </c>
      <c r="B170" s="276">
        <f>IFERROR(C134/B161,"")</f>
        <v>0.13881097230148645</v>
      </c>
      <c r="C170" s="496"/>
      <c r="D170" s="497"/>
      <c r="E170" s="497"/>
      <c r="F170" s="497"/>
      <c r="G170" s="497"/>
      <c r="H170" s="497"/>
      <c r="I170" s="497"/>
      <c r="J170" s="497"/>
      <c r="K170" s="336"/>
      <c r="L170" s="138">
        <f>IFERROR(M134/L161,"")</f>
        <v>0.14393288850099847</v>
      </c>
      <c r="M170" s="519"/>
      <c r="N170" s="520"/>
      <c r="O170" s="520"/>
      <c r="P170" s="520"/>
      <c r="Q170" s="520"/>
      <c r="R170" s="520"/>
      <c r="S170" s="520"/>
      <c r="T170" s="520"/>
      <c r="U170" s="262"/>
      <c r="V170" s="138">
        <f>IFERROR(W134/V161,"")</f>
        <v>0.15447898574184726</v>
      </c>
      <c r="W170" s="496"/>
      <c r="X170" s="497"/>
      <c r="Y170" s="497"/>
      <c r="Z170" s="497"/>
      <c r="AA170" s="497"/>
      <c r="AB170" s="497"/>
      <c r="AC170" s="497"/>
      <c r="AD170" s="497"/>
      <c r="AE170" s="336"/>
      <c r="AF170" s="138">
        <f>IFERROR(AG134/AF161,"")</f>
        <v>0.17187301503471583</v>
      </c>
      <c r="AG170" s="496"/>
      <c r="AH170" s="497"/>
      <c r="AI170" s="497"/>
      <c r="AJ170" s="497"/>
      <c r="AK170" s="497"/>
      <c r="AL170" s="497"/>
      <c r="AM170" s="497"/>
      <c r="AN170" s="497"/>
      <c r="AO170" s="336"/>
      <c r="AP170" s="138">
        <f>IFERROR(AQ134/AP161,"")</f>
        <v>0.15338723688450134</v>
      </c>
      <c r="AQ170" s="496"/>
      <c r="AR170" s="497"/>
      <c r="AS170" s="497"/>
      <c r="AT170" s="497"/>
      <c r="AU170" s="497"/>
      <c r="AV170" s="497"/>
      <c r="AW170" s="497"/>
      <c r="AX170" s="497"/>
      <c r="AY170" s="498"/>
      <c r="AZ170" s="138">
        <f>IFERROR(BA134/AZ161,"")</f>
        <v>0.15661036103790493</v>
      </c>
      <c r="BA170" s="496"/>
      <c r="BB170" s="497"/>
      <c r="BC170" s="497"/>
      <c r="BD170" s="497"/>
      <c r="BE170" s="497"/>
      <c r="BF170" s="497"/>
      <c r="BG170" s="497"/>
      <c r="BH170" s="497"/>
      <c r="BI170" s="498"/>
      <c r="BJ170" s="138">
        <f>IFERROR(BK134/BJ161,"")</f>
        <v>0.14907365650664203</v>
      </c>
      <c r="BK170" s="496"/>
      <c r="BL170" s="497"/>
      <c r="BM170" s="497"/>
      <c r="BN170" s="497"/>
      <c r="BO170" s="497"/>
      <c r="BP170" s="497"/>
      <c r="BQ170" s="497"/>
      <c r="BR170" s="497"/>
      <c r="BS170" s="498"/>
      <c r="BT170" s="138">
        <f>IFERROR(BU134/BT161,"")</f>
        <v>0.15049420430198632</v>
      </c>
      <c r="BU170" s="531"/>
      <c r="BV170" s="532"/>
      <c r="BW170" s="532"/>
      <c r="BX170" s="532"/>
      <c r="BY170" s="532"/>
      <c r="BZ170" s="532"/>
      <c r="CA170" s="532"/>
      <c r="CB170" s="532"/>
      <c r="CC170" s="533"/>
    </row>
    <row r="171" spans="1:81" s="135" customFormat="1" ht="20.25" customHeight="1">
      <c r="A171" s="291" t="s">
        <v>223</v>
      </c>
      <c r="B171" s="276">
        <f>IFERROR(SUM(C32,C104)/B161,"")</f>
        <v>0.39838181218222035</v>
      </c>
      <c r="C171" s="496"/>
      <c r="D171" s="497"/>
      <c r="E171" s="497"/>
      <c r="F171" s="497"/>
      <c r="G171" s="497"/>
      <c r="H171" s="497"/>
      <c r="I171" s="497"/>
      <c r="J171" s="497"/>
      <c r="K171" s="336"/>
      <c r="L171" s="138">
        <f>IFERROR(SUM(M32,M104)/L161,"")</f>
        <v>0.39332340264329191</v>
      </c>
      <c r="M171" s="519"/>
      <c r="N171" s="520"/>
      <c r="O171" s="520"/>
      <c r="P171" s="520"/>
      <c r="Q171" s="520"/>
      <c r="R171" s="520"/>
      <c r="S171" s="520"/>
      <c r="T171" s="520"/>
      <c r="U171" s="262"/>
      <c r="V171" s="138">
        <f>IFERROR(SUM(W32,W104)/V161,"")</f>
        <v>0.41109016554673217</v>
      </c>
      <c r="W171" s="496"/>
      <c r="X171" s="497"/>
      <c r="Y171" s="497"/>
      <c r="Z171" s="497"/>
      <c r="AA171" s="497"/>
      <c r="AB171" s="497"/>
      <c r="AC171" s="497"/>
      <c r="AD171" s="497"/>
      <c r="AE171" s="336"/>
      <c r="AF171" s="138">
        <f>IFERROR(SUM(AG32,AG104)/AF161,"")</f>
        <v>0.44875553663917378</v>
      </c>
      <c r="AG171" s="496"/>
      <c r="AH171" s="497"/>
      <c r="AI171" s="497"/>
      <c r="AJ171" s="497"/>
      <c r="AK171" s="497"/>
      <c r="AL171" s="497"/>
      <c r="AM171" s="497"/>
      <c r="AN171" s="497"/>
      <c r="AO171" s="336"/>
      <c r="AP171" s="138">
        <f>IFERROR(SUM(AQ32,AQ104)/AP161,"")</f>
        <v>0.43349977311849058</v>
      </c>
      <c r="AQ171" s="496"/>
      <c r="AR171" s="497"/>
      <c r="AS171" s="497"/>
      <c r="AT171" s="497"/>
      <c r="AU171" s="497"/>
      <c r="AV171" s="497"/>
      <c r="AW171" s="497"/>
      <c r="AX171" s="497"/>
      <c r="AY171" s="498"/>
      <c r="AZ171" s="138">
        <f>IFERROR(SUM(BA32,BA104)/AZ161,"")</f>
        <v>0.41660552668398576</v>
      </c>
      <c r="BA171" s="496"/>
      <c r="BB171" s="497"/>
      <c r="BC171" s="497"/>
      <c r="BD171" s="497"/>
      <c r="BE171" s="497"/>
      <c r="BF171" s="497"/>
      <c r="BG171" s="497"/>
      <c r="BH171" s="497"/>
      <c r="BI171" s="498"/>
      <c r="BJ171" s="138">
        <f>IFERROR(SUM(BK32,BK104)/BJ161,"")</f>
        <v>0.47690408591849687</v>
      </c>
      <c r="BK171" s="496"/>
      <c r="BL171" s="497"/>
      <c r="BM171" s="497"/>
      <c r="BN171" s="497"/>
      <c r="BO171" s="497"/>
      <c r="BP171" s="497"/>
      <c r="BQ171" s="497"/>
      <c r="BR171" s="497"/>
      <c r="BS171" s="498"/>
      <c r="BT171" s="138">
        <f>IFERROR(SUM(BU32,BU104)/BT161,"")</f>
        <v>0.42052474310749666</v>
      </c>
      <c r="BU171" s="531"/>
      <c r="BV171" s="532"/>
      <c r="BW171" s="532"/>
      <c r="BX171" s="532"/>
      <c r="BY171" s="532"/>
      <c r="BZ171" s="532"/>
      <c r="CA171" s="532"/>
      <c r="CB171" s="532"/>
      <c r="CC171" s="533"/>
    </row>
    <row r="172" spans="1:81" s="135" customFormat="1" ht="20.25" customHeight="1">
      <c r="A172" s="291" t="s">
        <v>224</v>
      </c>
      <c r="B172" s="276">
        <f>IFERROR(SUM(C61,C132)/B161,"")</f>
        <v>0.21210304975851618</v>
      </c>
      <c r="C172" s="496"/>
      <c r="D172" s="497"/>
      <c r="E172" s="497"/>
      <c r="F172" s="497"/>
      <c r="G172" s="497"/>
      <c r="H172" s="497"/>
      <c r="I172" s="497"/>
      <c r="J172" s="497"/>
      <c r="K172" s="336"/>
      <c r="L172" s="138">
        <f>IFERROR(SUM(M61,M132)/L161,"")</f>
        <v>0.19894330902064994</v>
      </c>
      <c r="M172" s="519"/>
      <c r="N172" s="520"/>
      <c r="O172" s="520"/>
      <c r="P172" s="520"/>
      <c r="Q172" s="520"/>
      <c r="R172" s="520"/>
      <c r="S172" s="520"/>
      <c r="T172" s="520"/>
      <c r="U172" s="262"/>
      <c r="V172" s="138">
        <f>IFERROR(SUM(W61,W132)/V161,"")</f>
        <v>0.20672909844111878</v>
      </c>
      <c r="W172" s="496"/>
      <c r="X172" s="497"/>
      <c r="Y172" s="497"/>
      <c r="Z172" s="497"/>
      <c r="AA172" s="497"/>
      <c r="AB172" s="497"/>
      <c r="AC172" s="497"/>
      <c r="AD172" s="497"/>
      <c r="AE172" s="336"/>
      <c r="AF172" s="138">
        <f>IFERROR(SUM(AG61,AG132)/AF161,"")</f>
        <v>0.19293314900245673</v>
      </c>
      <c r="AG172" s="496"/>
      <c r="AH172" s="497"/>
      <c r="AI172" s="497"/>
      <c r="AJ172" s="497"/>
      <c r="AK172" s="497"/>
      <c r="AL172" s="497"/>
      <c r="AM172" s="497"/>
      <c r="AN172" s="497"/>
      <c r="AO172" s="336"/>
      <c r="AP172" s="138">
        <f>IFERROR(SUM(AQ61,AQ132)/AP161,"")</f>
        <v>0.19691717483859394</v>
      </c>
      <c r="AQ172" s="496"/>
      <c r="AR172" s="497"/>
      <c r="AS172" s="497"/>
      <c r="AT172" s="497"/>
      <c r="AU172" s="497"/>
      <c r="AV172" s="497"/>
      <c r="AW172" s="497"/>
      <c r="AX172" s="497"/>
      <c r="AY172" s="498"/>
      <c r="AZ172" s="138">
        <f>IFERROR(SUM(BA61,BA132)/AZ161,"")</f>
        <v>0.22972124574958161</v>
      </c>
      <c r="BA172" s="496"/>
      <c r="BB172" s="497"/>
      <c r="BC172" s="497"/>
      <c r="BD172" s="497"/>
      <c r="BE172" s="497"/>
      <c r="BF172" s="497"/>
      <c r="BG172" s="497"/>
      <c r="BH172" s="497"/>
      <c r="BI172" s="498"/>
      <c r="BJ172" s="138">
        <f>IFERROR(SUM(BK61,BK132)/BJ161,"")</f>
        <v>0.22787295240381045</v>
      </c>
      <c r="BK172" s="496"/>
      <c r="BL172" s="497"/>
      <c r="BM172" s="497"/>
      <c r="BN172" s="497"/>
      <c r="BO172" s="497"/>
      <c r="BP172" s="497"/>
      <c r="BQ172" s="497"/>
      <c r="BR172" s="497"/>
      <c r="BS172" s="498"/>
      <c r="BT172" s="138">
        <f>IFERROR(SUM(BU61,BU132)/BT161,"")</f>
        <v>0.25169451207713966</v>
      </c>
      <c r="BU172" s="531"/>
      <c r="BV172" s="532"/>
      <c r="BW172" s="532"/>
      <c r="BX172" s="532"/>
      <c r="BY172" s="532"/>
      <c r="BZ172" s="532"/>
      <c r="CA172" s="532"/>
      <c r="CB172" s="532"/>
      <c r="CC172" s="533"/>
    </row>
    <row r="173" spans="1:81" s="135" customFormat="1" ht="20.25" customHeight="1">
      <c r="A173" s="291" t="s">
        <v>225</v>
      </c>
      <c r="B173" s="276">
        <f>IFERROR(SUM(C87)/B161,"")</f>
        <v>3.0675721368308272E-2</v>
      </c>
      <c r="C173" s="496"/>
      <c r="D173" s="497"/>
      <c r="E173" s="497"/>
      <c r="F173" s="497"/>
      <c r="G173" s="497"/>
      <c r="H173" s="497"/>
      <c r="I173" s="497"/>
      <c r="J173" s="497"/>
      <c r="K173" s="336"/>
      <c r="L173" s="138">
        <f>IFERROR(SUM(M87)/L161,"")</f>
        <v>3.8022056859719135E-2</v>
      </c>
      <c r="M173" s="519"/>
      <c r="N173" s="520"/>
      <c r="O173" s="520"/>
      <c r="P173" s="520"/>
      <c r="Q173" s="520"/>
      <c r="R173" s="520"/>
      <c r="S173" s="520"/>
      <c r="T173" s="520"/>
      <c r="U173" s="262"/>
      <c r="V173" s="138">
        <f>IFERROR(SUM(W87)/V161,"")</f>
        <v>2.8793294026502114E-2</v>
      </c>
      <c r="W173" s="496"/>
      <c r="X173" s="497"/>
      <c r="Y173" s="497"/>
      <c r="Z173" s="497"/>
      <c r="AA173" s="497"/>
      <c r="AB173" s="497"/>
      <c r="AC173" s="497"/>
      <c r="AD173" s="497"/>
      <c r="AE173" s="336"/>
      <c r="AF173" s="138">
        <f>IFERROR(SUM(AG87)/AF161,"")</f>
        <v>2.2268501094161695E-2</v>
      </c>
      <c r="AG173" s="496"/>
      <c r="AH173" s="497"/>
      <c r="AI173" s="497"/>
      <c r="AJ173" s="497"/>
      <c r="AK173" s="497"/>
      <c r="AL173" s="497"/>
      <c r="AM173" s="497"/>
      <c r="AN173" s="497"/>
      <c r="AO173" s="336"/>
      <c r="AP173" s="138">
        <f>IFERROR(SUM(AQ87)/AP161,"")</f>
        <v>2.4221054641879253E-2</v>
      </c>
      <c r="AQ173" s="496"/>
      <c r="AR173" s="497"/>
      <c r="AS173" s="497"/>
      <c r="AT173" s="497"/>
      <c r="AU173" s="497"/>
      <c r="AV173" s="497"/>
      <c r="AW173" s="497"/>
      <c r="AX173" s="497"/>
      <c r="AY173" s="498"/>
      <c r="AZ173" s="138">
        <f>IFERROR(SUM(BA87)/AZ161,"")</f>
        <v>2.2357976722288883E-2</v>
      </c>
      <c r="BA173" s="496"/>
      <c r="BB173" s="497"/>
      <c r="BC173" s="497"/>
      <c r="BD173" s="497"/>
      <c r="BE173" s="497"/>
      <c r="BF173" s="497"/>
      <c r="BG173" s="497"/>
      <c r="BH173" s="497"/>
      <c r="BI173" s="498"/>
      <c r="BJ173" s="138">
        <f>IFERROR(SUM(BK87)/BJ161,"")</f>
        <v>2.0222812583356068E-2</v>
      </c>
      <c r="BK173" s="496"/>
      <c r="BL173" s="497"/>
      <c r="BM173" s="497"/>
      <c r="BN173" s="497"/>
      <c r="BO173" s="497"/>
      <c r="BP173" s="497"/>
      <c r="BQ173" s="497"/>
      <c r="BR173" s="497"/>
      <c r="BS173" s="498"/>
      <c r="BT173" s="138">
        <f>IFERROR(SUM(BU87)/BT161,"")</f>
        <v>2.0923073615653435E-2</v>
      </c>
      <c r="BU173" s="531"/>
      <c r="BV173" s="532"/>
      <c r="BW173" s="532"/>
      <c r="BX173" s="532"/>
      <c r="BY173" s="532"/>
      <c r="BZ173" s="532"/>
      <c r="CA173" s="532"/>
      <c r="CB173" s="532"/>
      <c r="CC173" s="533"/>
    </row>
    <row r="174" spans="1:81" s="135" customFormat="1" ht="20.25" customHeight="1">
      <c r="A174" s="291" t="s">
        <v>226</v>
      </c>
      <c r="B174" s="276">
        <f>IFERROR(C151/B161,"")</f>
        <v>0.35883941669095515</v>
      </c>
      <c r="C174" s="499"/>
      <c r="D174" s="500"/>
      <c r="E174" s="500"/>
      <c r="F174" s="500"/>
      <c r="G174" s="500"/>
      <c r="H174" s="500"/>
      <c r="I174" s="500"/>
      <c r="J174" s="500"/>
      <c r="K174" s="337"/>
      <c r="L174" s="138">
        <f>IFERROR(M151/L161,"")</f>
        <v>0.369711231476339</v>
      </c>
      <c r="M174" s="521"/>
      <c r="N174" s="522"/>
      <c r="O174" s="522"/>
      <c r="P174" s="522"/>
      <c r="Q174" s="522"/>
      <c r="R174" s="522"/>
      <c r="S174" s="522"/>
      <c r="T174" s="522"/>
      <c r="U174" s="263"/>
      <c r="V174" s="138">
        <f>IFERROR(W151/V161,"")</f>
        <v>0.35338744198564692</v>
      </c>
      <c r="W174" s="499"/>
      <c r="X174" s="500"/>
      <c r="Y174" s="500"/>
      <c r="Z174" s="500"/>
      <c r="AA174" s="500"/>
      <c r="AB174" s="500"/>
      <c r="AC174" s="500"/>
      <c r="AD174" s="500"/>
      <c r="AE174" s="337"/>
      <c r="AF174" s="138">
        <f>IFERROR(AG151/AF161,"")</f>
        <v>0.33604281326420776</v>
      </c>
      <c r="AG174" s="499"/>
      <c r="AH174" s="500"/>
      <c r="AI174" s="500"/>
      <c r="AJ174" s="500"/>
      <c r="AK174" s="500"/>
      <c r="AL174" s="500"/>
      <c r="AM174" s="500"/>
      <c r="AN174" s="500"/>
      <c r="AO174" s="337"/>
      <c r="AP174" s="138">
        <f>IFERROR(AQ151/AP161,"")</f>
        <v>0.34536199740103629</v>
      </c>
      <c r="AQ174" s="499"/>
      <c r="AR174" s="500"/>
      <c r="AS174" s="500"/>
      <c r="AT174" s="500"/>
      <c r="AU174" s="500"/>
      <c r="AV174" s="500"/>
      <c r="AW174" s="500"/>
      <c r="AX174" s="500"/>
      <c r="AY174" s="501"/>
      <c r="AZ174" s="138">
        <f>IFERROR(BA151/AZ161,"")</f>
        <v>0.3313152508441437</v>
      </c>
      <c r="BA174" s="499"/>
      <c r="BB174" s="500"/>
      <c r="BC174" s="500"/>
      <c r="BD174" s="500"/>
      <c r="BE174" s="500"/>
      <c r="BF174" s="500"/>
      <c r="BG174" s="500"/>
      <c r="BH174" s="500"/>
      <c r="BI174" s="501"/>
      <c r="BJ174" s="138">
        <f>IFERROR(BK151/BJ161,"")</f>
        <v>0.27500014909433662</v>
      </c>
      <c r="BK174" s="499"/>
      <c r="BL174" s="500"/>
      <c r="BM174" s="500"/>
      <c r="BN174" s="500"/>
      <c r="BO174" s="500"/>
      <c r="BP174" s="500"/>
      <c r="BQ174" s="500"/>
      <c r="BR174" s="500"/>
      <c r="BS174" s="501"/>
      <c r="BT174" s="138">
        <f>IFERROR(BU151/BT161,"")</f>
        <v>0.30685767119971025</v>
      </c>
      <c r="BU174" s="534"/>
      <c r="BV174" s="535"/>
      <c r="BW174" s="535"/>
      <c r="BX174" s="535"/>
      <c r="BY174" s="535"/>
      <c r="BZ174" s="535"/>
      <c r="CA174" s="535"/>
      <c r="CB174" s="535"/>
      <c r="CC174" s="536"/>
    </row>
  </sheetData>
  <sheetProtection formatColumns="0" insertRows="0"/>
  <mergeCells count="32">
    <mergeCell ref="BT2:CC2"/>
    <mergeCell ref="BW5:CA5"/>
    <mergeCell ref="BU154:CC154"/>
    <mergeCell ref="BU155:CC174"/>
    <mergeCell ref="BJ2:BS2"/>
    <mergeCell ref="BM5:BQ5"/>
    <mergeCell ref="BK154:BS154"/>
    <mergeCell ref="BK155:BS174"/>
    <mergeCell ref="B2:J2"/>
    <mergeCell ref="E5:I5"/>
    <mergeCell ref="C154:J154"/>
    <mergeCell ref="C155:J174"/>
    <mergeCell ref="M155:T174"/>
    <mergeCell ref="L2:T2"/>
    <mergeCell ref="O5:S5"/>
    <mergeCell ref="V2:AD2"/>
    <mergeCell ref="Y5:AC5"/>
    <mergeCell ref="M154:T154"/>
    <mergeCell ref="W154:AD154"/>
    <mergeCell ref="W155:AD174"/>
    <mergeCell ref="AF2:AN2"/>
    <mergeCell ref="AI5:AM5"/>
    <mergeCell ref="AG154:AN154"/>
    <mergeCell ref="AG155:AN174"/>
    <mergeCell ref="AP2:AY2"/>
    <mergeCell ref="AQ155:AY174"/>
    <mergeCell ref="AQ154:AY154"/>
    <mergeCell ref="AZ2:BI2"/>
    <mergeCell ref="BC5:BG5"/>
    <mergeCell ref="BA154:BI154"/>
    <mergeCell ref="BA155:BI174"/>
    <mergeCell ref="AS5:AW5"/>
  </mergeCells>
  <dataValidations count="2">
    <dataValidation type="custom" operator="greaterThanOrEqual" allowBlank="1" showInputMessage="1" showErrorMessage="1" errorTitle="data type error" error="value must be a number" sqref="B155:B157 B166 B159 V10:V30 Z96 AB96:AE96 V49:V59 L155:L157 V159 L159 L166 B106:B130 V155:V157 V166 V34:V46 AD93:AE95 AF10:AF30 AC95 Z93:AC94 Z95:AA95 AF159 AL96:AO96 AJ96 AF155:AF157 AF166 AJ95:AK95 AI97:AO103 AN93:AO95 AP106:AP130 AM95 AJ93:AM94 L10:L30 AF34:AF59 B10:B30 L34:L59 Y97:AE103 B34:B59 AP34:AP59 AT96 V136:V149 AP136:AP149 AP10:AP30 AV96:AY96 AP159 AP155:AP157 AP166 AT95:AU95 AS97:AY103 AX93:AY95 AS63:AY86 AW95 AT93:AW94 L93:L102 B136:B149 AP63:AP85 AS34:AY60 L106:L130 V93:V102 V106:V130 AF63:AF85 AF106:AF130 AP93:AP102 AS93:AS96 Y93:Y96 AF93:AF102 AI93:AI96 B93:B102 L63:L85 V63:V85 AS10:AY31 AI10:AO31 B63:B85 E10:K31 O63:U86 AS106:AY131 BC97:BI103 E63:K86 AI63:AO86 L136:L149 Y63:AE86 E106:K131 E136:K150 O93:U103 O136:U150 O106:U131 O10:U31 BC63:BI86 Y106:AE131 Y34:AE60 Y10:AE31 Y136:AE150 AI34:AO60 AF136:AF149 AI136:AO150 AI106:AO131 AS136:AY150 BC106:BI131 AZ106:AZ130 AZ34:AZ59 BD96 AZ136:AZ149 AZ10:AZ30 BF96:BJ96 AZ159 AZ155:AZ157 AZ166 BD95:BE95 BC136:BI150 BG95 BD93:BG94 AZ63:AZ85 BC34:BI60 AZ93:AZ102 BC93:BC96 BC10:BI31 O34:U60 E34:K60 E93:K103 BJ63:BJ85 BJ106:BJ130 BJ97:BJ102 BM63:BS86 BM10:BS31 BJ159 BJ155:BJ157 BJ166 BM34:BS60 BM106:BS131 BM93:BS103 BH93:BJ95 BJ34:BJ59 BJ10:BJ30 BM136:BS150 BJ136:BJ149 BW34:CC60 BT10:BT30 BT159 BT155:BT157 BT166 BT34:BT59 BT93:BT102 BT63:BT85 BW10:CC31 BT106:BT130 BW63:CC86 BW93:CC103 BW106:CC131 BW136:CC150 BT136:BT149" xr:uid="{00000000-0002-0000-0200-000000000000}">
      <formula1>ISNUMBER(B10)</formula1>
    </dataValidation>
    <dataValidation type="whole" operator="greaterThanOrEqual" allowBlank="1" showInputMessage="1" showErrorMessage="1" errorTitle="Data Type Error" error="Value must be a number greater than or equal to 0." sqref="B131:D131 B150:D150 B103:D103 B86:D86 B60:D60 B31:D31 M10:N30 L131:N131 L150:N150 L103:N103 L86:N86 L60:N60 L31:N31 C34:D59 W106:X130 V131:X131 V150:X150 V103:X103 V86:X86 V60:X60 V31:X31 AG136:AH150 AF103:AH103 AF86:AH86 AF60:AH60 AF31:AH31 AF131:AH131 AG34:AH59 C10:D30 AG10:AH30 AG63:AH85 W34:X59 AQ10:AR30 W136:X149 M106:N130 AQ93:AR102 M34:N59 AP150:AR150 AP103:AR103 AP86:AR86 AP60:AR60 AP31:AR31 AP131:AR131 C63:D85 AQ136:AR149 C106:D130 C93:D102 W10:X30 C136:D149 AF150 M136:N149 AQ63:AR85 M93:N102 AG106:AH130 W93:X102 AQ34:AR59 M63:N85 AG93:AH102 W63:X85 AQ106:AR130 BA10:BB30 BA93:BB102 AZ150:BB150 AZ103:BB103 AZ86:BB86 AZ60:BB60 AZ31:BB31 AZ131:BB131 BA136:BB149 BA63:BB85 BA34:BB59 BA106:BB130 BK93:BL102 BK63:BL85 BJ150:BL150 BJ103:BL103 BJ86:BL86 BJ60:BL60 BJ31:BL31 BJ131:BL131 BK106:BL130 BK34:BL59 BK10:BL30 BK136:BL149 BU63:BV85 BU34:BV59 BT150:BV150 BT103:BV103 BT86:BV86 BT60:BV60 BT31:BV31 BT131:BV131 BU93:BV102 BU10:BV30 BU106:BV130 BU136:BV149" xr:uid="{00000000-0002-0000-0200-000001000000}">
      <formula1>0</formula1>
    </dataValidation>
  </dataValidations>
  <pageMargins left="0.3" right="0.3" top="0.87" bottom="0.3" header="0.3" footer="0.25"/>
  <pageSetup scale="63" fitToWidth="12" fitToHeight="0" orientation="landscape" r:id="rId1"/>
  <headerFooter>
    <oddHeader>&amp;C&amp;"-,Bold"&amp;22Chadron State College
&amp;A</oddHeader>
  </headerFooter>
  <rowBreaks count="3" manualBreakCount="3">
    <brk id="61" max="16383" man="1"/>
    <brk id="104" max="16383" man="1"/>
    <brk id="153" max="16383" man="1"/>
  </rowBreaks>
  <colBreaks count="2" manualBreakCount="2">
    <brk id="21" max="1048575" man="1"/>
    <brk id="3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78"/>
  <sheetViews>
    <sheetView showGridLines="0" workbookViewId="0">
      <pane xSplit="1" ySplit="3" topLeftCell="B4" activePane="bottomRight" state="frozen"/>
      <selection pane="topRight" activeCell="B1" sqref="B1"/>
      <selection pane="bottomLeft" activeCell="A4" sqref="A4"/>
      <selection pane="bottomRight" activeCell="T59" sqref="T59"/>
    </sheetView>
  </sheetViews>
  <sheetFormatPr defaultColWidth="11.42578125" defaultRowHeight="15"/>
  <cols>
    <col min="1" max="1" width="40" style="14" bestFit="1" customWidth="1"/>
    <col min="2" max="2" width="9.42578125" style="14" bestFit="1" customWidth="1"/>
    <col min="3" max="6" width="11.5703125" style="94" hidden="1" customWidth="1"/>
    <col min="7" max="8" width="12.28515625" style="94" hidden="1" customWidth="1"/>
    <col min="9" max="9" width="12.28515625" style="94" bestFit="1" customWidth="1"/>
    <col min="10" max="11" width="12.7109375" style="94" customWidth="1"/>
    <col min="12" max="14" width="12.7109375" style="390" customWidth="1"/>
    <col min="15" max="15" width="14.28515625" style="406" bestFit="1" customWidth="1"/>
    <col min="16" max="16384" width="11.42578125" style="14"/>
  </cols>
  <sheetData>
    <row r="1" spans="1:15">
      <c r="B1" s="85"/>
      <c r="C1" s="365"/>
      <c r="D1" s="365"/>
      <c r="E1" s="365"/>
      <c r="F1" s="365"/>
      <c r="G1" s="365"/>
      <c r="H1" s="365"/>
      <c r="I1" s="365"/>
      <c r="J1" s="365"/>
      <c r="K1" s="365"/>
      <c r="L1" s="385"/>
      <c r="M1" s="385"/>
      <c r="N1" s="385"/>
    </row>
    <row r="2" spans="1:15" s="94" customFormat="1">
      <c r="A2" s="10" t="s">
        <v>126</v>
      </c>
      <c r="B2" s="144" t="s">
        <v>127</v>
      </c>
      <c r="C2" s="366" t="s">
        <v>129</v>
      </c>
      <c r="D2" s="366" t="s">
        <v>129</v>
      </c>
      <c r="E2" s="366" t="s">
        <v>129</v>
      </c>
      <c r="F2" s="144" t="s">
        <v>129</v>
      </c>
      <c r="G2" s="144" t="s">
        <v>129</v>
      </c>
      <c r="H2" s="144" t="s">
        <v>129</v>
      </c>
      <c r="I2" s="144" t="s">
        <v>129</v>
      </c>
      <c r="J2" s="144" t="s">
        <v>129</v>
      </c>
      <c r="K2" s="144" t="s">
        <v>129</v>
      </c>
      <c r="L2" s="386" t="s">
        <v>129</v>
      </c>
      <c r="M2" s="386" t="s">
        <v>178</v>
      </c>
      <c r="N2" s="386" t="s">
        <v>178</v>
      </c>
      <c r="O2" s="404"/>
    </row>
    <row r="3" spans="1:15" s="94" customFormat="1">
      <c r="A3" s="96"/>
      <c r="B3" s="86" t="s">
        <v>128</v>
      </c>
      <c r="C3" s="86" t="s">
        <v>179</v>
      </c>
      <c r="D3" s="86" t="s">
        <v>180</v>
      </c>
      <c r="E3" s="367" t="s">
        <v>181</v>
      </c>
      <c r="F3" s="367" t="s">
        <v>182</v>
      </c>
      <c r="G3" s="367" t="s">
        <v>183</v>
      </c>
      <c r="H3" s="367" t="s">
        <v>184</v>
      </c>
      <c r="I3" s="367" t="s">
        <v>195</v>
      </c>
      <c r="J3" s="367" t="s">
        <v>196</v>
      </c>
      <c r="K3" s="367" t="s">
        <v>197</v>
      </c>
      <c r="L3" s="387" t="s">
        <v>198</v>
      </c>
      <c r="M3" s="387" t="s">
        <v>231</v>
      </c>
      <c r="N3" s="387" t="s">
        <v>245</v>
      </c>
      <c r="O3" s="404"/>
    </row>
    <row r="4" spans="1:15">
      <c r="A4" s="87" t="s">
        <v>130</v>
      </c>
      <c r="B4" s="88"/>
      <c r="C4" s="89">
        <v>3708626</v>
      </c>
      <c r="D4" s="89">
        <f>C61-C60</f>
        <v>2643717</v>
      </c>
      <c r="E4" s="89">
        <f>D61-D60</f>
        <v>1238876</v>
      </c>
      <c r="F4" s="89">
        <f>E61-E60</f>
        <v>2762283</v>
      </c>
      <c r="G4" s="89">
        <f>F61-F60</f>
        <v>4086987</v>
      </c>
      <c r="H4" s="89">
        <f>G61-G60</f>
        <v>3747217</v>
      </c>
      <c r="I4" s="89">
        <v>4256962</v>
      </c>
      <c r="J4" s="89">
        <f>I61-I60-I59</f>
        <v>4339630</v>
      </c>
      <c r="K4" s="89">
        <f>J61-J60-J59</f>
        <v>5969773</v>
      </c>
      <c r="L4" s="91">
        <f>K61-K60-K59</f>
        <v>7382600</v>
      </c>
      <c r="M4" s="91">
        <f>L61-L60</f>
        <v>5700024</v>
      </c>
      <c r="N4" s="91">
        <f>M61-M60+917083</f>
        <v>8611545</v>
      </c>
    </row>
    <row r="5" spans="1:15">
      <c r="A5" s="9"/>
      <c r="B5" s="102"/>
      <c r="C5" s="89"/>
      <c r="D5" s="89"/>
      <c r="E5" s="89"/>
      <c r="F5" s="89"/>
      <c r="G5" s="89"/>
      <c r="H5" s="89"/>
      <c r="I5" s="89"/>
      <c r="J5" s="89"/>
      <c r="K5" s="89"/>
      <c r="L5" s="91"/>
      <c r="M5" s="91"/>
      <c r="N5" s="91"/>
    </row>
    <row r="6" spans="1:15">
      <c r="A6" s="90" t="s">
        <v>131</v>
      </c>
      <c r="B6" s="88" t="s">
        <v>132</v>
      </c>
      <c r="C6" s="89" t="s">
        <v>133</v>
      </c>
      <c r="D6" s="89" t="s">
        <v>133</v>
      </c>
      <c r="E6" s="89" t="s">
        <v>133</v>
      </c>
      <c r="F6" s="89" t="s">
        <v>133</v>
      </c>
      <c r="G6" s="89" t="s">
        <v>133</v>
      </c>
      <c r="H6" s="89" t="s">
        <v>133</v>
      </c>
      <c r="I6" s="89" t="s">
        <v>133</v>
      </c>
      <c r="J6" s="89" t="s">
        <v>133</v>
      </c>
      <c r="K6" s="89" t="s">
        <v>133</v>
      </c>
      <c r="L6" s="91" t="s">
        <v>133</v>
      </c>
      <c r="M6" s="91" t="s">
        <v>133</v>
      </c>
      <c r="N6" s="91" t="s">
        <v>133</v>
      </c>
    </row>
    <row r="7" spans="1:15">
      <c r="A7" s="87" t="s">
        <v>15</v>
      </c>
      <c r="B7" s="145" t="s">
        <v>132</v>
      </c>
      <c r="C7" s="146">
        <v>11237846</v>
      </c>
      <c r="D7" s="146">
        <v>11134521</v>
      </c>
      <c r="E7" s="146">
        <f>12115091+134379</f>
        <v>12249470</v>
      </c>
      <c r="F7" s="368">
        <v>12682987</v>
      </c>
      <c r="G7" s="146">
        <v>12453419</v>
      </c>
      <c r="H7" s="146">
        <v>11878991</v>
      </c>
      <c r="I7" s="146">
        <v>11938052</v>
      </c>
      <c r="J7" s="146">
        <v>11900272</v>
      </c>
      <c r="K7" s="146">
        <v>12081710</v>
      </c>
      <c r="L7" s="368">
        <v>12070792</v>
      </c>
      <c r="M7" s="368">
        <v>12100000</v>
      </c>
      <c r="N7" s="368">
        <v>12100000</v>
      </c>
    </row>
    <row r="8" spans="1:15">
      <c r="A8" s="87" t="s">
        <v>134</v>
      </c>
      <c r="B8" s="145"/>
      <c r="C8" s="369">
        <v>-1998</v>
      </c>
      <c r="D8" s="369">
        <v>-8330</v>
      </c>
      <c r="E8" s="369">
        <v>-8000</v>
      </c>
      <c r="F8" s="147">
        <v>-7500</v>
      </c>
      <c r="G8" s="369">
        <v>-7000</v>
      </c>
      <c r="H8" s="369">
        <v>-6500</v>
      </c>
      <c r="I8" s="369">
        <v>-6500</v>
      </c>
      <c r="J8" s="369">
        <v>-6500</v>
      </c>
      <c r="K8" s="369">
        <v>-6500</v>
      </c>
      <c r="L8" s="147">
        <v>-168131</v>
      </c>
      <c r="M8" s="147">
        <v>-170000</v>
      </c>
      <c r="N8" s="147">
        <v>-170000</v>
      </c>
    </row>
    <row r="9" spans="1:15" ht="15.75" thickBot="1">
      <c r="A9" s="93" t="s">
        <v>135</v>
      </c>
      <c r="B9" s="148"/>
      <c r="C9" s="370">
        <v>-2490002</v>
      </c>
      <c r="D9" s="370">
        <v>-2528049</v>
      </c>
      <c r="E9" s="370">
        <v>-2707840</v>
      </c>
      <c r="F9" s="149">
        <v>-2596995</v>
      </c>
      <c r="G9" s="370">
        <v>-2694074</v>
      </c>
      <c r="H9" s="370">
        <v>-2634848</v>
      </c>
      <c r="I9" s="370">
        <v>-2927630</v>
      </c>
      <c r="J9" s="370">
        <f>-3069650-1895-J8+500000</f>
        <v>-2565045</v>
      </c>
      <c r="K9" s="370">
        <v>-2584617</v>
      </c>
      <c r="L9" s="149">
        <v>-2520209</v>
      </c>
      <c r="M9" s="149">
        <v>-2600000</v>
      </c>
      <c r="N9" s="149">
        <v>-2600000</v>
      </c>
    </row>
    <row r="10" spans="1:15" ht="15.75" thickTop="1">
      <c r="A10" s="87" t="s">
        <v>136</v>
      </c>
      <c r="B10" s="88"/>
      <c r="C10" s="371">
        <f t="shared" ref="C10:N10" si="0">SUM(C8:C9)</f>
        <v>-2492000</v>
      </c>
      <c r="D10" s="371">
        <f t="shared" si="0"/>
        <v>-2536379</v>
      </c>
      <c r="E10" s="371">
        <f t="shared" si="0"/>
        <v>-2715840</v>
      </c>
      <c r="F10" s="92">
        <f t="shared" si="0"/>
        <v>-2604495</v>
      </c>
      <c r="G10" s="371">
        <f t="shared" si="0"/>
        <v>-2701074</v>
      </c>
      <c r="H10" s="371">
        <f t="shared" si="0"/>
        <v>-2641348</v>
      </c>
      <c r="I10" s="371">
        <f t="shared" si="0"/>
        <v>-2934130</v>
      </c>
      <c r="J10" s="371">
        <f t="shared" si="0"/>
        <v>-2571545</v>
      </c>
      <c r="K10" s="371">
        <f t="shared" si="0"/>
        <v>-2591117</v>
      </c>
      <c r="L10" s="92">
        <f t="shared" si="0"/>
        <v>-2688340</v>
      </c>
      <c r="M10" s="92">
        <f t="shared" si="0"/>
        <v>-2770000</v>
      </c>
      <c r="N10" s="92">
        <f t="shared" si="0"/>
        <v>-2770000</v>
      </c>
    </row>
    <row r="11" spans="1:15" ht="18" customHeight="1">
      <c r="A11" s="95" t="s">
        <v>137</v>
      </c>
      <c r="B11" s="150"/>
      <c r="C11" s="151" t="s">
        <v>138</v>
      </c>
      <c r="D11" s="151" t="s">
        <v>138</v>
      </c>
      <c r="E11" s="151" t="s">
        <v>138</v>
      </c>
      <c r="F11" s="372" t="s">
        <v>138</v>
      </c>
      <c r="G11" s="151" t="s">
        <v>138</v>
      </c>
      <c r="H11" s="151" t="s">
        <v>138</v>
      </c>
      <c r="I11" s="151" t="s">
        <v>138</v>
      </c>
      <c r="J11" s="151" t="s">
        <v>138</v>
      </c>
      <c r="K11" s="151" t="s">
        <v>138</v>
      </c>
      <c r="L11" s="372" t="s">
        <v>138</v>
      </c>
      <c r="M11" s="372" t="s">
        <v>138</v>
      </c>
      <c r="N11" s="372" t="s">
        <v>138</v>
      </c>
    </row>
    <row r="12" spans="1:15">
      <c r="A12" s="87" t="s">
        <v>139</v>
      </c>
      <c r="B12" s="88" t="s">
        <v>132</v>
      </c>
      <c r="C12" s="89">
        <f t="shared" ref="C12:N12" si="1">C7+C10</f>
        <v>8745846</v>
      </c>
      <c r="D12" s="91">
        <f t="shared" si="1"/>
        <v>8598142</v>
      </c>
      <c r="E12" s="91">
        <f t="shared" si="1"/>
        <v>9533630</v>
      </c>
      <c r="F12" s="91">
        <f t="shared" si="1"/>
        <v>10078492</v>
      </c>
      <c r="G12" s="91">
        <f t="shared" si="1"/>
        <v>9752345</v>
      </c>
      <c r="H12" s="91">
        <f t="shared" si="1"/>
        <v>9237643</v>
      </c>
      <c r="I12" s="91">
        <f t="shared" si="1"/>
        <v>9003922</v>
      </c>
      <c r="J12" s="91">
        <f t="shared" si="1"/>
        <v>9328727</v>
      </c>
      <c r="K12" s="91">
        <f t="shared" si="1"/>
        <v>9490593</v>
      </c>
      <c r="L12" s="91">
        <f>L7+L10</f>
        <v>9382452</v>
      </c>
      <c r="M12" s="91">
        <f t="shared" si="1"/>
        <v>9330000</v>
      </c>
      <c r="N12" s="91">
        <f t="shared" si="1"/>
        <v>9330000</v>
      </c>
    </row>
    <row r="13" spans="1:15">
      <c r="A13" s="87" t="s">
        <v>140</v>
      </c>
      <c r="B13" s="145"/>
      <c r="C13" s="146"/>
      <c r="D13" s="146"/>
      <c r="E13" s="368"/>
      <c r="F13" s="368"/>
      <c r="G13" s="368"/>
      <c r="H13" s="368"/>
      <c r="I13" s="368"/>
      <c r="J13" s="368"/>
      <c r="K13" s="368"/>
      <c r="L13" s="359"/>
      <c r="M13" s="368"/>
      <c r="N13" s="368"/>
    </row>
    <row r="14" spans="1:15">
      <c r="A14" s="87"/>
      <c r="B14" s="88"/>
      <c r="C14" s="89"/>
      <c r="D14" s="89"/>
      <c r="E14" s="91"/>
      <c r="F14" s="91"/>
      <c r="G14" s="91"/>
      <c r="H14" s="91"/>
      <c r="I14" s="91"/>
      <c r="J14" s="91"/>
      <c r="K14" s="91"/>
      <c r="L14" s="91"/>
      <c r="M14" s="91"/>
      <c r="N14" s="91"/>
    </row>
    <row r="15" spans="1:15">
      <c r="A15" s="90" t="s">
        <v>141</v>
      </c>
      <c r="B15" s="88" t="s">
        <v>132</v>
      </c>
      <c r="C15" s="89" t="s">
        <v>133</v>
      </c>
      <c r="D15" s="89" t="s">
        <v>133</v>
      </c>
      <c r="E15" s="91" t="s">
        <v>133</v>
      </c>
      <c r="F15" s="91" t="s">
        <v>133</v>
      </c>
      <c r="G15" s="91" t="s">
        <v>133</v>
      </c>
      <c r="H15" s="91" t="s">
        <v>133</v>
      </c>
      <c r="I15" s="91" t="s">
        <v>133</v>
      </c>
      <c r="J15" s="91" t="s">
        <v>133</v>
      </c>
      <c r="K15" s="91" t="s">
        <v>133</v>
      </c>
      <c r="L15" s="91" t="s">
        <v>133</v>
      </c>
      <c r="M15" s="91" t="s">
        <v>133</v>
      </c>
      <c r="N15" s="91" t="s">
        <v>133</v>
      </c>
    </row>
    <row r="16" spans="1:15" s="94" customFormat="1">
      <c r="A16" s="101" t="s">
        <v>142</v>
      </c>
      <c r="B16" s="358">
        <v>68</v>
      </c>
      <c r="C16" s="89">
        <v>0</v>
      </c>
      <c r="D16" s="89">
        <v>0</v>
      </c>
      <c r="E16" s="91">
        <v>0</v>
      </c>
      <c r="F16" s="91">
        <v>0</v>
      </c>
      <c r="G16" s="91">
        <v>0</v>
      </c>
      <c r="H16" s="91">
        <v>0</v>
      </c>
      <c r="I16" s="91"/>
      <c r="J16" s="91"/>
      <c r="K16" s="91"/>
      <c r="L16" s="91"/>
      <c r="M16" s="91"/>
      <c r="N16" s="91"/>
      <c r="O16" s="404"/>
    </row>
    <row r="17" spans="1:16" s="94" customFormat="1">
      <c r="A17" s="101" t="s">
        <v>259</v>
      </c>
      <c r="B17" s="358">
        <v>68</v>
      </c>
      <c r="C17" s="89">
        <v>0</v>
      </c>
      <c r="D17" s="89">
        <v>0</v>
      </c>
      <c r="E17" s="91">
        <v>0</v>
      </c>
      <c r="F17" s="91">
        <v>0</v>
      </c>
      <c r="G17" s="91">
        <v>0</v>
      </c>
      <c r="H17" s="91">
        <v>0</v>
      </c>
      <c r="I17" s="91"/>
      <c r="J17" s="91"/>
      <c r="K17" s="91"/>
      <c r="L17" s="91">
        <v>-33</v>
      </c>
      <c r="M17" s="91">
        <v>0</v>
      </c>
      <c r="N17" s="91">
        <v>0</v>
      </c>
      <c r="O17" s="404"/>
    </row>
    <row r="18" spans="1:16" s="94" customFormat="1">
      <c r="A18" s="101" t="s">
        <v>258</v>
      </c>
      <c r="B18" s="358">
        <v>67</v>
      </c>
      <c r="C18" s="89">
        <v>22650</v>
      </c>
      <c r="D18" s="91">
        <v>23070</v>
      </c>
      <c r="E18" s="91">
        <v>22665</v>
      </c>
      <c r="F18" s="91">
        <v>18990</v>
      </c>
      <c r="G18" s="91">
        <v>17883</v>
      </c>
      <c r="H18" s="91">
        <v>15750</v>
      </c>
      <c r="I18" s="91">
        <v>16275</v>
      </c>
      <c r="J18" s="91">
        <v>14160</v>
      </c>
      <c r="K18" s="91">
        <v>14580</v>
      </c>
      <c r="L18" s="91">
        <v>-90</v>
      </c>
      <c r="M18" s="91">
        <v>0</v>
      </c>
      <c r="N18" s="91">
        <v>0</v>
      </c>
      <c r="O18" s="404"/>
    </row>
    <row r="19" spans="1:16" s="94" customFormat="1">
      <c r="A19" s="101" t="s">
        <v>260</v>
      </c>
      <c r="B19" s="358">
        <v>68</v>
      </c>
      <c r="C19" s="89">
        <v>12060</v>
      </c>
      <c r="D19" s="91">
        <v>11730</v>
      </c>
      <c r="E19" s="91">
        <v>10920</v>
      </c>
      <c r="F19" s="91">
        <v>12540</v>
      </c>
      <c r="G19" s="91">
        <v>12560</v>
      </c>
      <c r="H19" s="91">
        <v>11820</v>
      </c>
      <c r="I19" s="91">
        <v>11040</v>
      </c>
      <c r="J19" s="91">
        <v>10240</v>
      </c>
      <c r="K19" s="91">
        <v>9540</v>
      </c>
      <c r="L19" s="91">
        <v>780</v>
      </c>
      <c r="M19" s="91">
        <v>0</v>
      </c>
      <c r="N19" s="91">
        <v>0</v>
      </c>
      <c r="O19" s="404"/>
    </row>
    <row r="20" spans="1:16" s="94" customFormat="1">
      <c r="A20" s="101" t="s">
        <v>261</v>
      </c>
      <c r="B20" s="358">
        <v>57</v>
      </c>
      <c r="C20" s="89">
        <v>136619</v>
      </c>
      <c r="D20" s="91">
        <v>143379</v>
      </c>
      <c r="E20" s="91">
        <v>137200</v>
      </c>
      <c r="F20" s="91">
        <v>136376</v>
      </c>
      <c r="G20" s="91">
        <v>126609</v>
      </c>
      <c r="H20" s="91">
        <v>116363</v>
      </c>
      <c r="I20" s="91">
        <v>113484</v>
      </c>
      <c r="J20" s="91">
        <v>106368</v>
      </c>
      <c r="K20" s="91">
        <v>116301</v>
      </c>
      <c r="L20" s="91">
        <v>183358</v>
      </c>
      <c r="M20" s="91">
        <v>210739</v>
      </c>
      <c r="N20" s="91">
        <v>210739</v>
      </c>
      <c r="O20" s="404"/>
    </row>
    <row r="21" spans="1:16" s="94" customFormat="1">
      <c r="A21" s="101" t="s">
        <v>262</v>
      </c>
      <c r="B21" s="358">
        <v>44</v>
      </c>
      <c r="C21" s="89">
        <v>530655</v>
      </c>
      <c r="D21" s="91">
        <v>582680</v>
      </c>
      <c r="E21" s="91">
        <v>593436</v>
      </c>
      <c r="F21" s="91">
        <v>652334</v>
      </c>
      <c r="G21" s="91">
        <v>607226</v>
      </c>
      <c r="H21" s="91">
        <v>563559</v>
      </c>
      <c r="I21" s="91">
        <v>602630</v>
      </c>
      <c r="J21" s="91">
        <v>595665</v>
      </c>
      <c r="K21" s="91">
        <v>600321</v>
      </c>
      <c r="L21" s="91">
        <v>670664</v>
      </c>
      <c r="M21" s="91">
        <v>692569</v>
      </c>
      <c r="N21" s="91">
        <v>692569</v>
      </c>
      <c r="O21" s="404"/>
      <c r="P21" s="394"/>
    </row>
    <row r="22" spans="1:16" s="94" customFormat="1">
      <c r="A22" s="101" t="s">
        <v>263</v>
      </c>
      <c r="B22" s="358">
        <v>52</v>
      </c>
      <c r="C22" s="89">
        <v>0</v>
      </c>
      <c r="D22" s="91">
        <v>464078</v>
      </c>
      <c r="E22" s="91">
        <v>522482</v>
      </c>
      <c r="F22" s="91">
        <v>789861</v>
      </c>
      <c r="G22" s="91">
        <v>737450</v>
      </c>
      <c r="H22" s="91">
        <v>684765</v>
      </c>
      <c r="I22" s="91">
        <v>725368</v>
      </c>
      <c r="J22" s="91">
        <v>737099</v>
      </c>
      <c r="K22" s="91">
        <v>751686</v>
      </c>
      <c r="L22" s="91">
        <v>914207</v>
      </c>
      <c r="M22" s="91">
        <v>0</v>
      </c>
      <c r="N22" s="91">
        <v>0</v>
      </c>
      <c r="O22" s="404"/>
      <c r="P22" s="394"/>
    </row>
    <row r="23" spans="1:16" s="94" customFormat="1">
      <c r="A23" s="101" t="s">
        <v>145</v>
      </c>
      <c r="B23" s="358">
        <v>44</v>
      </c>
      <c r="C23" s="89">
        <v>0</v>
      </c>
      <c r="D23" s="91">
        <v>136140</v>
      </c>
      <c r="E23" s="91">
        <v>235302</v>
      </c>
      <c r="F23" s="91">
        <v>326235</v>
      </c>
      <c r="G23" s="91">
        <v>303528</v>
      </c>
      <c r="H23" s="91">
        <v>281788</v>
      </c>
      <c r="I23" s="91">
        <v>276285</v>
      </c>
      <c r="J23" s="91">
        <v>281381</v>
      </c>
      <c r="K23" s="91">
        <v>286581</v>
      </c>
      <c r="L23" s="91">
        <v>286036</v>
      </c>
      <c r="M23" s="91">
        <v>286000</v>
      </c>
      <c r="N23" s="91">
        <v>286000</v>
      </c>
      <c r="O23" s="404"/>
    </row>
    <row r="24" spans="1:16" s="94" customFormat="1">
      <c r="A24" s="101" t="s">
        <v>264</v>
      </c>
      <c r="B24" s="358">
        <v>11</v>
      </c>
      <c r="C24" s="89">
        <v>0</v>
      </c>
      <c r="D24" s="91">
        <v>0</v>
      </c>
      <c r="E24" s="91">
        <v>0</v>
      </c>
      <c r="F24" s="91">
        <v>0</v>
      </c>
      <c r="G24" s="91">
        <v>0</v>
      </c>
      <c r="H24" s="91">
        <v>0</v>
      </c>
      <c r="I24" s="91">
        <v>0</v>
      </c>
      <c r="J24" s="91">
        <v>0</v>
      </c>
      <c r="K24" s="91">
        <v>0</v>
      </c>
      <c r="L24" s="91">
        <v>0</v>
      </c>
      <c r="M24" s="91">
        <v>0</v>
      </c>
      <c r="N24" s="91">
        <v>0</v>
      </c>
      <c r="O24" s="404"/>
    </row>
    <row r="25" spans="1:16" s="94" customFormat="1">
      <c r="A25" s="101" t="s">
        <v>265</v>
      </c>
      <c r="B25" s="358">
        <v>53</v>
      </c>
      <c r="C25" s="89">
        <v>3037</v>
      </c>
      <c r="D25" s="91">
        <v>2313</v>
      </c>
      <c r="E25" s="91">
        <v>569</v>
      </c>
      <c r="F25" s="91">
        <v>540</v>
      </c>
      <c r="G25" s="91">
        <v>645</v>
      </c>
      <c r="H25" s="91">
        <v>560</v>
      </c>
      <c r="I25" s="91">
        <v>1090</v>
      </c>
      <c r="J25" s="91">
        <v>0</v>
      </c>
      <c r="K25" s="91">
        <v>0</v>
      </c>
      <c r="L25" s="91">
        <v>0</v>
      </c>
      <c r="M25" s="91">
        <v>0</v>
      </c>
      <c r="N25" s="91">
        <v>0</v>
      </c>
      <c r="O25" s="404"/>
    </row>
    <row r="26" spans="1:16" s="94" customFormat="1">
      <c r="A26" s="101" t="s">
        <v>143</v>
      </c>
      <c r="B26" s="358">
        <v>68</v>
      </c>
      <c r="C26" s="89">
        <v>28175</v>
      </c>
      <c r="D26" s="91">
        <v>28106</v>
      </c>
      <c r="E26" s="91">
        <v>31678</v>
      </c>
      <c r="F26" s="91">
        <v>36132</v>
      </c>
      <c r="G26" s="91">
        <v>35774</v>
      </c>
      <c r="H26" s="91">
        <v>33018</v>
      </c>
      <c r="I26" s="91">
        <v>29921</v>
      </c>
      <c r="J26" s="91">
        <v>32587</v>
      </c>
      <c r="K26" s="91">
        <v>30614</v>
      </c>
      <c r="L26" s="91">
        <v>7211</v>
      </c>
      <c r="M26" s="91">
        <v>10000</v>
      </c>
      <c r="N26" s="91">
        <v>10000</v>
      </c>
      <c r="O26" s="404"/>
    </row>
    <row r="27" spans="1:16" s="94" customFormat="1">
      <c r="A27" s="101" t="s">
        <v>144</v>
      </c>
      <c r="B27" s="358">
        <v>62</v>
      </c>
      <c r="C27" s="89"/>
      <c r="D27" s="91"/>
      <c r="E27" s="91"/>
      <c r="F27" s="91"/>
      <c r="G27" s="91"/>
      <c r="H27" s="91"/>
      <c r="I27" s="91">
        <v>0</v>
      </c>
      <c r="J27" s="91">
        <v>0</v>
      </c>
      <c r="K27" s="91">
        <v>0</v>
      </c>
      <c r="L27" s="91">
        <v>7775</v>
      </c>
      <c r="M27" s="91">
        <v>5000</v>
      </c>
      <c r="N27" s="91">
        <v>5000</v>
      </c>
      <c r="O27" s="404"/>
    </row>
    <row r="28" spans="1:16" s="94" customFormat="1">
      <c r="A28" s="101" t="s">
        <v>234</v>
      </c>
      <c r="B28" s="88"/>
      <c r="C28" s="89">
        <v>37782</v>
      </c>
      <c r="D28" s="91">
        <v>45807</v>
      </c>
      <c r="E28" s="91">
        <v>50579</v>
      </c>
      <c r="F28" s="91">
        <v>40163</v>
      </c>
      <c r="G28" s="91">
        <v>22880</v>
      </c>
      <c r="H28" s="91">
        <v>26651</v>
      </c>
      <c r="I28" s="91">
        <v>21034</v>
      </c>
      <c r="J28" s="91">
        <v>22259</v>
      </c>
      <c r="K28" s="91">
        <v>24968</v>
      </c>
      <c r="L28" s="91">
        <v>144066</v>
      </c>
      <c r="M28" s="91">
        <v>100000</v>
      </c>
      <c r="N28" s="91">
        <v>100000</v>
      </c>
      <c r="O28" s="404"/>
    </row>
    <row r="29" spans="1:16" s="94" customFormat="1">
      <c r="A29" s="9" t="s">
        <v>266</v>
      </c>
      <c r="B29" s="88"/>
      <c r="C29" s="89"/>
      <c r="D29" s="91"/>
      <c r="E29" s="91"/>
      <c r="F29" s="91"/>
      <c r="G29" s="91">
        <v>0</v>
      </c>
      <c r="H29" s="91">
        <v>0</v>
      </c>
      <c r="I29" s="91">
        <v>0</v>
      </c>
      <c r="J29" s="91">
        <v>0</v>
      </c>
      <c r="K29" s="91">
        <v>0</v>
      </c>
      <c r="L29" s="91">
        <v>0</v>
      </c>
      <c r="M29" s="91">
        <v>0</v>
      </c>
      <c r="N29" s="91">
        <v>0</v>
      </c>
      <c r="O29" s="404"/>
    </row>
    <row r="30" spans="1:16" s="94" customFormat="1">
      <c r="A30" s="9" t="s">
        <v>270</v>
      </c>
      <c r="B30" s="405">
        <v>11</v>
      </c>
      <c r="C30" s="89"/>
      <c r="D30" s="91"/>
      <c r="E30" s="91"/>
      <c r="F30" s="91"/>
      <c r="G30" s="91">
        <v>0</v>
      </c>
      <c r="H30" s="91">
        <v>0</v>
      </c>
      <c r="I30" s="91">
        <v>0</v>
      </c>
      <c r="J30" s="91">
        <v>0</v>
      </c>
      <c r="K30" s="91">
        <v>0</v>
      </c>
      <c r="L30" s="91">
        <v>0</v>
      </c>
      <c r="M30" s="91">
        <v>968972</v>
      </c>
      <c r="N30" s="91">
        <v>968972</v>
      </c>
      <c r="O30" s="404"/>
    </row>
    <row r="31" spans="1:16">
      <c r="A31" s="152" t="s">
        <v>169</v>
      </c>
      <c r="B31" s="96"/>
      <c r="C31" s="373"/>
      <c r="D31" s="373"/>
      <c r="E31" s="374"/>
      <c r="F31" s="374"/>
      <c r="G31" s="374"/>
      <c r="H31" s="374"/>
      <c r="I31" s="374"/>
      <c r="J31" s="374"/>
      <c r="K31" s="374"/>
      <c r="L31" s="361"/>
      <c r="M31" s="361"/>
      <c r="N31" s="361"/>
    </row>
    <row r="32" spans="1:16">
      <c r="A32" s="87" t="s">
        <v>146</v>
      </c>
      <c r="B32" s="88" t="s">
        <v>132</v>
      </c>
      <c r="C32" s="89">
        <f t="shared" ref="C32:N32" si="2">SUM(C16:C31)</f>
        <v>770978</v>
      </c>
      <c r="D32" s="89">
        <f t="shared" si="2"/>
        <v>1437303</v>
      </c>
      <c r="E32" s="91">
        <f t="shared" si="2"/>
        <v>1604831</v>
      </c>
      <c r="F32" s="91">
        <f t="shared" si="2"/>
        <v>2013171</v>
      </c>
      <c r="G32" s="97">
        <f t="shared" si="2"/>
        <v>1864555</v>
      </c>
      <c r="H32" s="97">
        <f t="shared" si="2"/>
        <v>1734274</v>
      </c>
      <c r="I32" s="97">
        <f t="shared" si="2"/>
        <v>1797127</v>
      </c>
      <c r="J32" s="97">
        <f t="shared" si="2"/>
        <v>1799759</v>
      </c>
      <c r="K32" s="97">
        <f t="shared" si="2"/>
        <v>1834591</v>
      </c>
      <c r="L32" s="97">
        <f>SUM(L16:L31)</f>
        <v>2213974</v>
      </c>
      <c r="M32" s="97">
        <f t="shared" si="2"/>
        <v>2273280</v>
      </c>
      <c r="N32" s="97">
        <f t="shared" si="2"/>
        <v>2273280</v>
      </c>
    </row>
    <row r="33" spans="1:15">
      <c r="A33" s="87"/>
      <c r="B33" s="94"/>
      <c r="C33" s="375"/>
      <c r="D33" s="375"/>
      <c r="E33" s="376"/>
      <c r="F33" s="376"/>
      <c r="G33" s="98"/>
      <c r="H33" s="98"/>
      <c r="I33" s="98"/>
      <c r="J33" s="98"/>
      <c r="K33" s="98"/>
      <c r="L33" s="362"/>
      <c r="M33" s="98"/>
      <c r="N33" s="98"/>
    </row>
    <row r="34" spans="1:15" s="94" customFormat="1">
      <c r="A34" s="90" t="s">
        <v>147</v>
      </c>
      <c r="B34" s="88" t="s">
        <v>132</v>
      </c>
      <c r="C34" s="89" t="s">
        <v>133</v>
      </c>
      <c r="D34" s="89" t="s">
        <v>133</v>
      </c>
      <c r="E34" s="91" t="s">
        <v>133</v>
      </c>
      <c r="F34" s="91" t="s">
        <v>133</v>
      </c>
      <c r="G34" s="98" t="s">
        <v>133</v>
      </c>
      <c r="H34" s="98" t="s">
        <v>133</v>
      </c>
      <c r="I34" s="98" t="s">
        <v>133</v>
      </c>
      <c r="J34" s="98" t="s">
        <v>133</v>
      </c>
      <c r="K34" s="98" t="s">
        <v>133</v>
      </c>
      <c r="L34" s="98" t="s">
        <v>133</v>
      </c>
      <c r="M34" s="98" t="s">
        <v>133</v>
      </c>
      <c r="N34" s="98" t="s">
        <v>133</v>
      </c>
      <c r="O34" s="404"/>
    </row>
    <row r="35" spans="1:15">
      <c r="A35" s="87" t="s">
        <v>148</v>
      </c>
      <c r="B35" s="358">
        <v>62</v>
      </c>
      <c r="C35" s="89">
        <v>142118</v>
      </c>
      <c r="D35" s="91">
        <v>112016</v>
      </c>
      <c r="E35" s="91">
        <v>138073</v>
      </c>
      <c r="F35" s="91">
        <v>144808</v>
      </c>
      <c r="G35" s="98">
        <v>166610</v>
      </c>
      <c r="H35" s="98">
        <v>172645</v>
      </c>
      <c r="I35" s="98">
        <v>145232</v>
      </c>
      <c r="J35" s="98">
        <v>104797</v>
      </c>
      <c r="K35" s="98">
        <v>119483</v>
      </c>
      <c r="L35" s="98">
        <v>200843</v>
      </c>
      <c r="M35" s="98">
        <v>200000</v>
      </c>
      <c r="N35" s="98">
        <v>200000</v>
      </c>
    </row>
    <row r="36" spans="1:15">
      <c r="A36" s="101" t="s">
        <v>267</v>
      </c>
      <c r="B36" s="358">
        <v>68</v>
      </c>
      <c r="C36" s="89">
        <v>0</v>
      </c>
      <c r="D36" s="91">
        <v>0</v>
      </c>
      <c r="E36" s="91">
        <v>0</v>
      </c>
      <c r="F36" s="91">
        <v>0</v>
      </c>
      <c r="G36" s="98">
        <v>0</v>
      </c>
      <c r="H36" s="98">
        <v>0</v>
      </c>
      <c r="I36" s="98">
        <v>0</v>
      </c>
      <c r="J36" s="98">
        <v>0</v>
      </c>
      <c r="K36" s="98">
        <v>0</v>
      </c>
      <c r="L36" s="98">
        <v>60512</v>
      </c>
      <c r="M36" s="98">
        <v>50000</v>
      </c>
      <c r="N36" s="98">
        <v>50000</v>
      </c>
    </row>
    <row r="37" spans="1:15">
      <c r="A37" s="101" t="s">
        <v>268</v>
      </c>
      <c r="B37" s="358">
        <v>71</v>
      </c>
      <c r="C37" s="89">
        <v>0</v>
      </c>
      <c r="D37" s="91">
        <v>0</v>
      </c>
      <c r="E37" s="91">
        <v>0</v>
      </c>
      <c r="F37" s="91">
        <v>0</v>
      </c>
      <c r="G37" s="98">
        <v>0</v>
      </c>
      <c r="H37" s="98">
        <v>0</v>
      </c>
      <c r="I37" s="98">
        <v>0</v>
      </c>
      <c r="J37" s="98">
        <v>0</v>
      </c>
      <c r="K37" s="98">
        <v>0</v>
      </c>
      <c r="L37" s="98">
        <v>1753</v>
      </c>
      <c r="M37" s="98"/>
      <c r="N37" s="98"/>
    </row>
    <row r="38" spans="1:15">
      <c r="A38" s="101" t="s">
        <v>149</v>
      </c>
      <c r="B38" s="358">
        <v>63</v>
      </c>
      <c r="C38" s="89">
        <v>0</v>
      </c>
      <c r="D38" s="91">
        <v>0</v>
      </c>
      <c r="E38" s="91">
        <v>0</v>
      </c>
      <c r="F38" s="91">
        <v>0</v>
      </c>
      <c r="G38" s="98">
        <v>0</v>
      </c>
      <c r="H38" s="98">
        <v>0</v>
      </c>
      <c r="I38" s="98">
        <v>0</v>
      </c>
      <c r="J38" s="98">
        <v>0</v>
      </c>
      <c r="K38" s="98">
        <v>0</v>
      </c>
      <c r="L38" s="98">
        <v>6300</v>
      </c>
      <c r="M38" s="98"/>
      <c r="N38" s="98"/>
    </row>
    <row r="39" spans="1:15">
      <c r="A39" s="101" t="s">
        <v>150</v>
      </c>
      <c r="B39" s="358">
        <v>41</v>
      </c>
      <c r="C39" s="89">
        <v>105</v>
      </c>
      <c r="D39" s="91">
        <v>0</v>
      </c>
      <c r="E39" s="91">
        <v>1046</v>
      </c>
      <c r="F39" s="91">
        <v>31</v>
      </c>
      <c r="G39" s="98">
        <v>0</v>
      </c>
      <c r="H39" s="98">
        <v>0</v>
      </c>
      <c r="I39" s="98">
        <v>0</v>
      </c>
      <c r="J39" s="98">
        <v>0</v>
      </c>
      <c r="K39" s="98">
        <v>0</v>
      </c>
      <c r="L39" s="98">
        <v>27</v>
      </c>
      <c r="M39" s="98"/>
      <c r="N39" s="98"/>
    </row>
    <row r="40" spans="1:15">
      <c r="A40" s="101" t="s">
        <v>151</v>
      </c>
      <c r="B40" s="358">
        <v>56</v>
      </c>
      <c r="C40" s="89">
        <v>0</v>
      </c>
      <c r="D40" s="91">
        <v>0</v>
      </c>
      <c r="E40" s="91">
        <v>0</v>
      </c>
      <c r="F40" s="91">
        <v>0</v>
      </c>
      <c r="G40" s="98">
        <v>0</v>
      </c>
      <c r="H40" s="98">
        <v>0</v>
      </c>
      <c r="I40" s="98">
        <v>0</v>
      </c>
      <c r="J40" s="98">
        <v>0</v>
      </c>
      <c r="K40" s="98">
        <v>0</v>
      </c>
      <c r="L40" s="98">
        <v>121312</v>
      </c>
      <c r="M40" s="98">
        <v>100000</v>
      </c>
      <c r="N40" s="98">
        <v>100000</v>
      </c>
    </row>
    <row r="41" spans="1:15">
      <c r="A41" s="101" t="s">
        <v>152</v>
      </c>
      <c r="B41" s="358">
        <v>53</v>
      </c>
      <c r="C41" s="89">
        <v>0</v>
      </c>
      <c r="D41" s="91">
        <v>0</v>
      </c>
      <c r="E41" s="91">
        <v>0</v>
      </c>
      <c r="F41" s="91">
        <v>0</v>
      </c>
      <c r="G41" s="98">
        <v>0</v>
      </c>
      <c r="H41" s="98">
        <v>0</v>
      </c>
      <c r="I41" s="98">
        <v>0</v>
      </c>
      <c r="J41" s="98">
        <v>0</v>
      </c>
      <c r="K41" s="98">
        <v>0</v>
      </c>
      <c r="L41" s="362"/>
      <c r="M41" s="98"/>
      <c r="N41" s="98"/>
    </row>
    <row r="42" spans="1:15">
      <c r="A42" s="101" t="s">
        <v>153</v>
      </c>
      <c r="B42" s="358">
        <v>71</v>
      </c>
      <c r="C42" s="89">
        <v>0</v>
      </c>
      <c r="D42" s="91">
        <v>2401</v>
      </c>
      <c r="E42" s="91">
        <v>2401</v>
      </c>
      <c r="F42" s="91">
        <v>2401</v>
      </c>
      <c r="G42" s="98">
        <v>2401</v>
      </c>
      <c r="H42" s="98">
        <v>2401</v>
      </c>
      <c r="I42" s="98">
        <v>0</v>
      </c>
      <c r="J42" s="98">
        <v>4801</v>
      </c>
      <c r="K42" s="98">
        <v>2401</v>
      </c>
      <c r="L42" s="98">
        <v>15168</v>
      </c>
      <c r="M42" s="98"/>
      <c r="N42" s="98"/>
    </row>
    <row r="43" spans="1:15">
      <c r="A43" s="101" t="s">
        <v>154</v>
      </c>
      <c r="B43" s="358">
        <v>63</v>
      </c>
      <c r="C43" s="89">
        <v>0</v>
      </c>
      <c r="D43" s="91">
        <v>0</v>
      </c>
      <c r="E43" s="91">
        <v>0</v>
      </c>
      <c r="F43" s="91">
        <v>0</v>
      </c>
      <c r="G43" s="98">
        <v>0</v>
      </c>
      <c r="H43" s="98">
        <v>0</v>
      </c>
      <c r="I43" s="98">
        <v>0</v>
      </c>
      <c r="J43" s="98">
        <v>0</v>
      </c>
      <c r="K43" s="98">
        <v>0</v>
      </c>
      <c r="L43" s="98">
        <v>783</v>
      </c>
      <c r="M43" s="98"/>
      <c r="N43" s="98"/>
    </row>
    <row r="44" spans="1:15">
      <c r="A44" s="101" t="s">
        <v>155</v>
      </c>
      <c r="B44" s="358">
        <v>52</v>
      </c>
      <c r="C44" s="89">
        <v>0</v>
      </c>
      <c r="D44" s="91">
        <v>0</v>
      </c>
      <c r="E44" s="91">
        <v>0</v>
      </c>
      <c r="F44" s="91">
        <v>0</v>
      </c>
      <c r="G44" s="98">
        <v>0</v>
      </c>
      <c r="H44" s="98">
        <v>0</v>
      </c>
      <c r="I44" s="98">
        <v>0</v>
      </c>
      <c r="J44" s="98">
        <v>0</v>
      </c>
      <c r="K44" s="98">
        <v>0</v>
      </c>
      <c r="L44" s="362"/>
      <c r="M44" s="98"/>
      <c r="N44" s="98"/>
    </row>
    <row r="45" spans="1:15">
      <c r="A45" s="101" t="s">
        <v>271</v>
      </c>
      <c r="B45" s="358">
        <v>86</v>
      </c>
      <c r="C45" s="89">
        <v>0</v>
      </c>
      <c r="D45" s="91">
        <v>0</v>
      </c>
      <c r="E45" s="91">
        <v>0</v>
      </c>
      <c r="F45" s="91">
        <v>0</v>
      </c>
      <c r="G45" s="98">
        <v>0</v>
      </c>
      <c r="H45" s="98">
        <v>0</v>
      </c>
      <c r="I45" s="98">
        <v>0</v>
      </c>
      <c r="J45" s="98">
        <v>0</v>
      </c>
      <c r="K45" s="98">
        <v>0</v>
      </c>
      <c r="L45" s="98">
        <v>488622</v>
      </c>
      <c r="M45" s="98">
        <v>575000</v>
      </c>
      <c r="N45" s="98">
        <v>575000</v>
      </c>
    </row>
    <row r="46" spans="1:15">
      <c r="A46" s="101" t="s">
        <v>273</v>
      </c>
      <c r="B46" s="88"/>
      <c r="C46" s="89"/>
      <c r="D46" s="91"/>
      <c r="E46" s="91"/>
      <c r="F46" s="91"/>
      <c r="G46" s="98"/>
      <c r="H46" s="98"/>
      <c r="I46" s="98">
        <v>-235990</v>
      </c>
      <c r="J46" s="98">
        <v>-241107</v>
      </c>
      <c r="K46" s="98">
        <v>-284317</v>
      </c>
      <c r="L46" s="98">
        <v>-377885</v>
      </c>
      <c r="M46" s="98"/>
      <c r="N46" s="98"/>
    </row>
    <row r="47" spans="1:15">
      <c r="A47" s="87" t="s">
        <v>234</v>
      </c>
      <c r="B47" s="88"/>
      <c r="C47" s="89">
        <v>3248</v>
      </c>
      <c r="D47" s="91">
        <v>2522</v>
      </c>
      <c r="E47" s="91">
        <f>1616+873</f>
        <v>2489</v>
      </c>
      <c r="F47" s="91">
        <v>1667</v>
      </c>
      <c r="G47" s="98">
        <v>139939</v>
      </c>
      <c r="H47" s="98">
        <v>127444</v>
      </c>
      <c r="I47" s="98">
        <v>7308</v>
      </c>
      <c r="J47" s="98">
        <v>-72315</v>
      </c>
      <c r="K47" s="98">
        <v>70037</v>
      </c>
      <c r="L47" s="98">
        <v>1167943</v>
      </c>
      <c r="M47" s="98">
        <v>750000</v>
      </c>
      <c r="N47" s="98">
        <v>750000</v>
      </c>
    </row>
    <row r="48" spans="1:15">
      <c r="A48" s="87"/>
      <c r="B48" s="88"/>
      <c r="C48" s="89"/>
      <c r="D48" s="91"/>
      <c r="E48" s="91"/>
      <c r="F48" s="91"/>
      <c r="G48" s="98"/>
      <c r="H48" s="98"/>
      <c r="I48" s="98"/>
      <c r="J48" s="98"/>
      <c r="K48" s="98"/>
      <c r="L48" s="362"/>
      <c r="M48" s="98"/>
      <c r="N48" s="98"/>
    </row>
    <row r="49" spans="1:15" customFormat="1">
      <c r="A49" s="395" t="s">
        <v>274</v>
      </c>
      <c r="B49" s="392"/>
      <c r="C49" s="91">
        <v>1231164</v>
      </c>
      <c r="D49" s="91">
        <f>1646619</f>
        <v>1646619</v>
      </c>
      <c r="E49" s="91">
        <v>1529796</v>
      </c>
      <c r="F49" s="91">
        <v>1425872</v>
      </c>
      <c r="G49" s="98">
        <v>1407990</v>
      </c>
      <c r="H49" s="98">
        <v>1604484</v>
      </c>
      <c r="I49" s="98">
        <v>1091860</v>
      </c>
      <c r="J49" s="98">
        <v>1386095</v>
      </c>
      <c r="K49" s="98">
        <v>1631123</v>
      </c>
      <c r="L49" s="98">
        <v>181067</v>
      </c>
      <c r="M49" s="362"/>
      <c r="N49" s="362"/>
      <c r="O49" s="407"/>
    </row>
    <row r="50" spans="1:15">
      <c r="A50" s="101"/>
      <c r="B50" s="88"/>
      <c r="C50" s="89"/>
      <c r="D50" s="91"/>
      <c r="E50" s="91"/>
      <c r="F50" s="91"/>
      <c r="G50" s="98"/>
      <c r="H50" s="98"/>
      <c r="I50" s="98"/>
      <c r="J50" s="98"/>
      <c r="K50" s="98"/>
      <c r="L50" s="362"/>
      <c r="M50" s="362"/>
      <c r="N50" s="362"/>
    </row>
    <row r="51" spans="1:15">
      <c r="A51" s="152" t="s">
        <v>169</v>
      </c>
      <c r="B51" s="96"/>
      <c r="C51" s="373"/>
      <c r="D51" s="89"/>
      <c r="E51" s="374"/>
      <c r="F51" s="374"/>
      <c r="G51" s="377"/>
      <c r="H51" s="377"/>
      <c r="I51" s="377"/>
      <c r="J51" s="377"/>
      <c r="K51" s="377"/>
      <c r="L51" s="363"/>
      <c r="M51" s="363"/>
      <c r="N51" s="363"/>
    </row>
    <row r="52" spans="1:15" s="94" customFormat="1">
      <c r="A52" s="99" t="s">
        <v>156</v>
      </c>
      <c r="B52" s="100" t="s">
        <v>132</v>
      </c>
      <c r="C52" s="378">
        <f t="shared" ref="C52:N52" si="3">SUM(C35:C51)</f>
        <v>1376635</v>
      </c>
      <c r="D52" s="379">
        <f t="shared" si="3"/>
        <v>1763558</v>
      </c>
      <c r="E52" s="380">
        <f t="shared" si="3"/>
        <v>1673805</v>
      </c>
      <c r="F52" s="380">
        <f t="shared" si="3"/>
        <v>1574779</v>
      </c>
      <c r="G52" s="380">
        <f t="shared" si="3"/>
        <v>1716940</v>
      </c>
      <c r="H52" s="380">
        <f t="shared" si="3"/>
        <v>1906974</v>
      </c>
      <c r="I52" s="380">
        <f t="shared" si="3"/>
        <v>1008410</v>
      </c>
      <c r="J52" s="380">
        <f t="shared" si="3"/>
        <v>1182271</v>
      </c>
      <c r="K52" s="380">
        <f t="shared" si="3"/>
        <v>1538727</v>
      </c>
      <c r="L52" s="380">
        <f>SUM(L35:L51)</f>
        <v>1866445</v>
      </c>
      <c r="M52" s="380">
        <f t="shared" si="3"/>
        <v>1675000</v>
      </c>
      <c r="N52" s="380">
        <f t="shared" si="3"/>
        <v>1675000</v>
      </c>
      <c r="O52" s="404"/>
    </row>
    <row r="53" spans="1:15" s="94" customFormat="1">
      <c r="A53" s="101"/>
      <c r="B53" s="102"/>
      <c r="C53" s="375"/>
      <c r="D53" s="381"/>
      <c r="E53" s="91"/>
      <c r="F53" s="91"/>
      <c r="G53" s="91"/>
      <c r="H53" s="91"/>
      <c r="I53" s="91"/>
      <c r="J53" s="91"/>
      <c r="K53" s="91"/>
      <c r="L53" s="91"/>
      <c r="M53" s="91"/>
      <c r="N53" s="91"/>
      <c r="O53" s="404"/>
    </row>
    <row r="54" spans="1:15" s="94" customFormat="1">
      <c r="A54" s="101" t="s">
        <v>157</v>
      </c>
      <c r="B54" s="102" t="s">
        <v>132</v>
      </c>
      <c r="C54" s="381">
        <f t="shared" ref="C54:K54" si="4">C12+C32+C52</f>
        <v>10893459</v>
      </c>
      <c r="D54" s="381">
        <f t="shared" si="4"/>
        <v>11799003</v>
      </c>
      <c r="E54" s="98">
        <f t="shared" si="4"/>
        <v>12812266</v>
      </c>
      <c r="F54" s="98">
        <f t="shared" si="4"/>
        <v>13666442</v>
      </c>
      <c r="G54" s="98">
        <f t="shared" si="4"/>
        <v>13333840</v>
      </c>
      <c r="H54" s="98">
        <f t="shared" si="4"/>
        <v>12878891</v>
      </c>
      <c r="I54" s="98">
        <f t="shared" si="4"/>
        <v>11809459</v>
      </c>
      <c r="J54" s="98">
        <f t="shared" si="4"/>
        <v>12310757</v>
      </c>
      <c r="K54" s="98">
        <f t="shared" si="4"/>
        <v>12863911</v>
      </c>
      <c r="L54" s="98">
        <f>L12+L32+L52</f>
        <v>13462871</v>
      </c>
      <c r="M54" s="98">
        <f>M12+M32+M52</f>
        <v>13278280</v>
      </c>
      <c r="N54" s="98">
        <f>N12+N32+N52</f>
        <v>13278280</v>
      </c>
      <c r="O54" s="404"/>
    </row>
    <row r="55" spans="1:15">
      <c r="A55" s="101" t="s">
        <v>158</v>
      </c>
      <c r="B55" s="102" t="s">
        <v>132</v>
      </c>
      <c r="C55" s="382">
        <f>C54+C4</f>
        <v>14602085</v>
      </c>
      <c r="D55" s="383">
        <f>D54+D4</f>
        <v>14442720</v>
      </c>
      <c r="E55" s="383">
        <f>E54+E4</f>
        <v>14051142</v>
      </c>
      <c r="F55" s="383">
        <f>F54+F4</f>
        <v>16428725</v>
      </c>
      <c r="G55" s="383">
        <f>G54+G4</f>
        <v>17420827</v>
      </c>
      <c r="H55" s="383">
        <v>18077670</v>
      </c>
      <c r="I55" s="383">
        <f>I54+I4+I5</f>
        <v>16066421</v>
      </c>
      <c r="J55" s="383">
        <f>J54+J4+J5</f>
        <v>16650387</v>
      </c>
      <c r="K55" s="383">
        <f>K54+K4+K5</f>
        <v>18833684</v>
      </c>
      <c r="L55" s="383">
        <f>L54+L4</f>
        <v>20845471</v>
      </c>
      <c r="M55" s="383">
        <f>M54+M4+M5</f>
        <v>18978304</v>
      </c>
      <c r="N55" s="383">
        <f>N54+N4</f>
        <v>21889825</v>
      </c>
    </row>
    <row r="56" spans="1:15" customFormat="1">
      <c r="A56" s="395" t="s">
        <v>159</v>
      </c>
      <c r="B56" s="396" t="s">
        <v>132</v>
      </c>
      <c r="C56" s="383">
        <v>-8222823</v>
      </c>
      <c r="D56" s="383">
        <f>-9618106</f>
        <v>-9618106</v>
      </c>
      <c r="E56" s="383">
        <v>-9412733</v>
      </c>
      <c r="F56" s="383">
        <v>-9535838</v>
      </c>
      <c r="G56" s="383">
        <v>-10658272</v>
      </c>
      <c r="H56" s="383">
        <v>-10623033</v>
      </c>
      <c r="I56" s="383">
        <v>-11386890</v>
      </c>
      <c r="J56" s="383">
        <v>-10285129</v>
      </c>
      <c r="K56" s="383">
        <v>-11005346</v>
      </c>
      <c r="L56" s="383">
        <v>-11745306</v>
      </c>
      <c r="M56" s="383">
        <f>-13620363+2911521</f>
        <v>-10708842</v>
      </c>
      <c r="N56" s="383">
        <v>-13620363</v>
      </c>
      <c r="O56" s="408"/>
    </row>
    <row r="57" spans="1:15" customFormat="1">
      <c r="A57" s="395" t="s">
        <v>160</v>
      </c>
      <c r="B57" s="396" t="s">
        <v>132</v>
      </c>
      <c r="C57" s="383">
        <v>-317096</v>
      </c>
      <c r="D57" s="383">
        <v>-308616</v>
      </c>
      <c r="E57" s="383">
        <v>-317858</v>
      </c>
      <c r="F57" s="383">
        <v>-339070</v>
      </c>
      <c r="G57" s="383">
        <v>-331542</v>
      </c>
      <c r="H57" s="383">
        <v>-348803</v>
      </c>
      <c r="I57" s="383">
        <v>-339901</v>
      </c>
      <c r="J57" s="383">
        <v>-395485</v>
      </c>
      <c r="K57" s="383">
        <v>-445738</v>
      </c>
      <c r="L57" s="383">
        <v>-488620</v>
      </c>
      <c r="M57" s="383">
        <v>-575000</v>
      </c>
      <c r="N57" s="383">
        <v>-575000</v>
      </c>
      <c r="O57" s="408"/>
    </row>
    <row r="58" spans="1:15" customFormat="1">
      <c r="A58" s="395" t="s">
        <v>161</v>
      </c>
      <c r="B58" s="396" t="s">
        <v>132</v>
      </c>
      <c r="C58" s="383">
        <v>-1212028</v>
      </c>
      <c r="D58" s="383">
        <v>-1300131</v>
      </c>
      <c r="E58" s="383">
        <f>-1353889-30318</f>
        <v>-1384207</v>
      </c>
      <c r="F58" s="383">
        <v>-1400000</v>
      </c>
      <c r="G58" s="383">
        <v>-1353089</v>
      </c>
      <c r="H58" s="383">
        <v>-1391765</v>
      </c>
      <c r="I58" s="383"/>
      <c r="J58" s="383"/>
      <c r="K58" s="383"/>
      <c r="L58" s="364"/>
      <c r="M58" s="383"/>
      <c r="N58" s="383"/>
      <c r="O58" s="409"/>
    </row>
    <row r="59" spans="1:15" customFormat="1">
      <c r="A59" s="395" t="s">
        <v>235</v>
      </c>
      <c r="B59" s="396" t="s">
        <v>132</v>
      </c>
      <c r="C59" s="383">
        <v>-2206421</v>
      </c>
      <c r="D59" s="383">
        <v>-1976991</v>
      </c>
      <c r="E59" s="383">
        <v>-174061</v>
      </c>
      <c r="F59" s="383">
        <v>-1066830</v>
      </c>
      <c r="G59" s="383">
        <v>-1330707</v>
      </c>
      <c r="H59" s="383">
        <v>-2897572</v>
      </c>
      <c r="I59" s="383">
        <v>-4822523</v>
      </c>
      <c r="J59" s="383">
        <v>-2414151</v>
      </c>
      <c r="K59" s="383">
        <v>-5004873</v>
      </c>
      <c r="L59" s="383">
        <v>-2911521</v>
      </c>
      <c r="M59" s="383">
        <v>0</v>
      </c>
      <c r="N59" s="383">
        <v>0</v>
      </c>
      <c r="O59" s="407"/>
    </row>
    <row r="60" spans="1:15" customFormat="1">
      <c r="A60" s="397" t="s">
        <v>272</v>
      </c>
      <c r="B60" s="398" t="s">
        <v>132</v>
      </c>
      <c r="C60" s="399">
        <v>-1064110</v>
      </c>
      <c r="D60" s="399">
        <v>-1118618</v>
      </c>
      <c r="E60" s="399">
        <v>-1159816</v>
      </c>
      <c r="F60" s="399">
        <v>-1162706</v>
      </c>
      <c r="G60" s="399">
        <v>-2609507</v>
      </c>
      <c r="H60" s="399">
        <v>-2498596</v>
      </c>
      <c r="I60" s="399">
        <v>-2284113</v>
      </c>
      <c r="J60" s="399">
        <v>-2698644</v>
      </c>
      <c r="K60" s="399">
        <v>-2645437</v>
      </c>
      <c r="L60" s="399">
        <v>-2700900</v>
      </c>
      <c r="M60" s="399">
        <v>-2976980</v>
      </c>
      <c r="N60" s="399">
        <v>-2976980</v>
      </c>
      <c r="O60" s="408"/>
    </row>
    <row r="61" spans="1:15" s="393" customFormat="1">
      <c r="A61" s="400" t="s">
        <v>162</v>
      </c>
      <c r="B61" s="401" t="s">
        <v>132</v>
      </c>
      <c r="C61" s="374">
        <f t="shared" ref="C61:N61" si="5">SUM(C55:C60)</f>
        <v>1579607</v>
      </c>
      <c r="D61" s="374">
        <f t="shared" si="5"/>
        <v>120258</v>
      </c>
      <c r="E61" s="374">
        <f t="shared" si="5"/>
        <v>1602467</v>
      </c>
      <c r="F61" s="374">
        <f t="shared" si="5"/>
        <v>2924281</v>
      </c>
      <c r="G61" s="374">
        <f t="shared" si="5"/>
        <v>1137710</v>
      </c>
      <c r="H61" s="374">
        <f t="shared" si="5"/>
        <v>317901</v>
      </c>
      <c r="I61" s="374">
        <f t="shared" si="5"/>
        <v>-2767006</v>
      </c>
      <c r="J61" s="374">
        <f t="shared" si="5"/>
        <v>856978</v>
      </c>
      <c r="K61" s="374">
        <f t="shared" si="5"/>
        <v>-267710</v>
      </c>
      <c r="L61" s="374">
        <f t="shared" si="5"/>
        <v>2999124</v>
      </c>
      <c r="M61" s="374">
        <f>SUM(M55:M60)</f>
        <v>4717482</v>
      </c>
      <c r="N61" s="374">
        <f t="shared" si="5"/>
        <v>4717482</v>
      </c>
      <c r="O61" s="408"/>
    </row>
    <row r="62" spans="1:15" customFormat="1">
      <c r="A62" s="402"/>
      <c r="B62" s="403"/>
      <c r="C62" s="380"/>
      <c r="D62" s="380"/>
      <c r="E62" s="380"/>
      <c r="F62" s="380"/>
      <c r="G62" s="380"/>
      <c r="H62" s="380"/>
      <c r="I62" s="380"/>
      <c r="J62" s="380"/>
      <c r="K62" s="380"/>
      <c r="L62" s="380"/>
      <c r="M62" s="388"/>
      <c r="N62" s="388"/>
      <c r="O62" s="407"/>
    </row>
    <row r="63" spans="1:15" customFormat="1">
      <c r="A63" s="395" t="s">
        <v>163</v>
      </c>
      <c r="B63" s="392"/>
      <c r="C63" s="91">
        <v>-686224</v>
      </c>
      <c r="D63" s="91">
        <v>469043</v>
      </c>
      <c r="E63" s="91">
        <v>-47597</v>
      </c>
      <c r="F63" s="91"/>
      <c r="G63" s="91"/>
      <c r="H63" s="91"/>
      <c r="I63" s="91">
        <v>4533051</v>
      </c>
      <c r="J63" s="91">
        <v>3093882</v>
      </c>
      <c r="K63" s="91">
        <v>5612047</v>
      </c>
      <c r="L63" s="91">
        <v>842288</v>
      </c>
      <c r="M63" s="360"/>
      <c r="N63" s="360"/>
      <c r="O63" s="408"/>
    </row>
    <row r="64" spans="1:15" customFormat="1">
      <c r="A64" s="395"/>
      <c r="B64" s="392"/>
      <c r="C64" s="91"/>
      <c r="D64" s="91"/>
      <c r="E64" s="91"/>
      <c r="F64" s="91"/>
      <c r="G64" s="91"/>
      <c r="H64" s="91"/>
      <c r="I64" s="91"/>
      <c r="J64" s="91"/>
      <c r="K64" s="91"/>
      <c r="L64" s="91"/>
      <c r="M64" s="360"/>
      <c r="N64" s="360"/>
      <c r="O64" s="407"/>
    </row>
    <row r="65" spans="1:26" customFormat="1">
      <c r="A65" s="397" t="s">
        <v>164</v>
      </c>
      <c r="B65" s="401"/>
      <c r="C65" s="374">
        <f t="shared" ref="C65:L65" si="6">SUM(C61:C63)</f>
        <v>893383</v>
      </c>
      <c r="D65" s="374">
        <f t="shared" si="6"/>
        <v>589301</v>
      </c>
      <c r="E65" s="374">
        <f t="shared" si="6"/>
        <v>1554870</v>
      </c>
      <c r="F65" s="374">
        <f t="shared" si="6"/>
        <v>2924281</v>
      </c>
      <c r="G65" s="374">
        <f t="shared" si="6"/>
        <v>1137710</v>
      </c>
      <c r="H65" s="374">
        <f t="shared" si="6"/>
        <v>317901</v>
      </c>
      <c r="I65" s="374">
        <f t="shared" si="6"/>
        <v>1766045</v>
      </c>
      <c r="J65" s="374">
        <f t="shared" si="6"/>
        <v>3950860</v>
      </c>
      <c r="K65" s="374">
        <f t="shared" si="6"/>
        <v>5344337</v>
      </c>
      <c r="L65" s="374">
        <f t="shared" si="6"/>
        <v>3841412</v>
      </c>
      <c r="M65" s="361"/>
      <c r="N65" s="361"/>
      <c r="O65" s="407"/>
    </row>
    <row r="66" spans="1:26">
      <c r="A66" s="103"/>
      <c r="B66" s="104"/>
      <c r="C66" s="384"/>
      <c r="D66" s="384"/>
      <c r="E66" s="384"/>
      <c r="F66" s="384"/>
      <c r="G66" s="384"/>
      <c r="H66" s="384"/>
      <c r="I66" s="384"/>
      <c r="J66" s="384"/>
      <c r="K66" s="384"/>
      <c r="L66" s="389"/>
      <c r="M66" s="389"/>
      <c r="N66" s="389"/>
    </row>
    <row r="67" spans="1:26" s="94" customFormat="1">
      <c r="A67" s="87" t="s">
        <v>165</v>
      </c>
      <c r="B67" s="88" t="s">
        <v>132</v>
      </c>
      <c r="C67" s="89">
        <v>8222823</v>
      </c>
      <c r="D67" s="89">
        <v>9618106</v>
      </c>
      <c r="E67" s="89">
        <v>9412733</v>
      </c>
      <c r="F67" s="89">
        <v>9535838</v>
      </c>
      <c r="G67" s="89">
        <v>10658272</v>
      </c>
      <c r="H67" s="89">
        <v>10623033</v>
      </c>
      <c r="I67" s="89">
        <v>11386890</v>
      </c>
      <c r="J67" s="89">
        <f t="shared" ref="J67:N68" si="7">-J56</f>
        <v>10285129</v>
      </c>
      <c r="K67" s="89">
        <f t="shared" si="7"/>
        <v>11005346</v>
      </c>
      <c r="L67" s="91">
        <f t="shared" si="7"/>
        <v>11745306</v>
      </c>
      <c r="M67" s="91">
        <f>-M56</f>
        <v>10708842</v>
      </c>
      <c r="N67" s="91">
        <f t="shared" si="7"/>
        <v>13620363</v>
      </c>
      <c r="O67" s="404"/>
    </row>
    <row r="68" spans="1:26" s="393" customFormat="1">
      <c r="A68" s="391" t="s">
        <v>166</v>
      </c>
      <c r="B68" s="392" t="s">
        <v>132</v>
      </c>
      <c r="C68" s="91">
        <v>317096</v>
      </c>
      <c r="D68" s="91">
        <v>308616</v>
      </c>
      <c r="E68" s="91">
        <v>317858</v>
      </c>
      <c r="F68" s="91">
        <v>339070</v>
      </c>
      <c r="G68" s="91">
        <v>331542</v>
      </c>
      <c r="H68" s="91">
        <v>348803</v>
      </c>
      <c r="I68" s="91">
        <v>339901</v>
      </c>
      <c r="J68" s="91">
        <f t="shared" si="7"/>
        <v>395485</v>
      </c>
      <c r="K68" s="91">
        <f t="shared" si="7"/>
        <v>445738</v>
      </c>
      <c r="L68" s="91">
        <f t="shared" si="7"/>
        <v>488620</v>
      </c>
      <c r="M68" s="91">
        <f>-M57</f>
        <v>575000</v>
      </c>
      <c r="N68" s="91">
        <f t="shared" si="7"/>
        <v>575000</v>
      </c>
      <c r="O68" s="540"/>
      <c r="P68" s="540"/>
      <c r="Q68" s="540"/>
      <c r="R68" s="540"/>
      <c r="S68" s="540"/>
      <c r="T68" s="540"/>
      <c r="U68" s="540"/>
      <c r="V68" s="540"/>
      <c r="W68" s="540"/>
      <c r="X68" s="540"/>
      <c r="Y68" s="540"/>
      <c r="Z68" s="540"/>
    </row>
    <row r="69" spans="1:26">
      <c r="A69" s="87" t="s">
        <v>167</v>
      </c>
      <c r="B69" s="88"/>
      <c r="C69" s="89"/>
      <c r="D69" s="89"/>
      <c r="E69" s="89"/>
      <c r="F69" s="89"/>
      <c r="G69" s="89"/>
      <c r="H69" s="89"/>
      <c r="I69" s="89"/>
      <c r="J69" s="89"/>
      <c r="K69" s="89"/>
      <c r="L69" s="360"/>
      <c r="M69" s="360"/>
      <c r="N69" s="360"/>
    </row>
    <row r="70" spans="1:26" s="94" customFormat="1">
      <c r="A70" s="95" t="s">
        <v>168</v>
      </c>
      <c r="B70" s="96" t="s">
        <v>132</v>
      </c>
      <c r="C70" s="373">
        <f t="shared" ref="C70:M70" si="8">SUM(C67:C69)</f>
        <v>8539919</v>
      </c>
      <c r="D70" s="373">
        <f t="shared" si="8"/>
        <v>9926722</v>
      </c>
      <c r="E70" s="373">
        <f t="shared" si="8"/>
        <v>9730591</v>
      </c>
      <c r="F70" s="373">
        <f t="shared" si="8"/>
        <v>9874908</v>
      </c>
      <c r="G70" s="373">
        <f t="shared" si="8"/>
        <v>10989814</v>
      </c>
      <c r="H70" s="373">
        <f t="shared" si="8"/>
        <v>10971836</v>
      </c>
      <c r="I70" s="373">
        <f t="shared" si="8"/>
        <v>11726791</v>
      </c>
      <c r="J70" s="373">
        <f t="shared" si="8"/>
        <v>10680614</v>
      </c>
      <c r="K70" s="373">
        <f t="shared" si="8"/>
        <v>11451084</v>
      </c>
      <c r="L70" s="374">
        <f>SUM(L67:L69)</f>
        <v>12233926</v>
      </c>
      <c r="M70" s="374">
        <f t="shared" si="8"/>
        <v>11283842</v>
      </c>
      <c r="N70" s="374">
        <f>SUM(N67:N69)</f>
        <v>14195363</v>
      </c>
      <c r="O70" s="404"/>
    </row>
    <row r="73" spans="1:26">
      <c r="A73" s="94" t="s">
        <v>236</v>
      </c>
    </row>
    <row r="74" spans="1:26">
      <c r="A74" s="327"/>
    </row>
    <row r="75" spans="1:26">
      <c r="A75" s="94" t="s">
        <v>276</v>
      </c>
    </row>
    <row r="76" spans="1:26">
      <c r="A76" s="94" t="s">
        <v>277</v>
      </c>
    </row>
    <row r="78" spans="1:26">
      <c r="A78" s="14" t="s">
        <v>275</v>
      </c>
    </row>
  </sheetData>
  <mergeCells count="1">
    <mergeCell ref="O68:Z68"/>
  </mergeCells>
  <pageMargins left="0.7" right="0.7" top="0.75" bottom="0.75" header="0.3" footer="0.3"/>
  <pageSetup scale="54" orientation="portrait" r:id="rId1"/>
  <headerFooter>
    <oddFooter>&amp;C&amp;Z&amp;F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6602922-a067-4fbb-9d31-9a694e50d75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CB15701D156C4DAFC43B1CD9CABDD9" ma:contentTypeVersion="13" ma:contentTypeDescription="Create a new document." ma:contentTypeScope="" ma:versionID="e4ff6b6c0119be09399936708e76073a">
  <xsd:schema xmlns:xsd="http://www.w3.org/2001/XMLSchema" xmlns:xs="http://www.w3.org/2001/XMLSchema" xmlns:p="http://schemas.microsoft.com/office/2006/metadata/properties" xmlns:ns3="a6755f87-d6d9-4638-93e9-48370716f3ca" xmlns:ns4="16602922-a067-4fbb-9d31-9a694e50d753" targetNamespace="http://schemas.microsoft.com/office/2006/metadata/properties" ma:root="true" ma:fieldsID="ee67a7ecbb820de5b07a4519d6cca6fe" ns3:_="" ns4:_="">
    <xsd:import namespace="a6755f87-d6d9-4638-93e9-48370716f3ca"/>
    <xsd:import namespace="16602922-a067-4fbb-9d31-9a694e50d75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_activity" minOccurs="0"/>
                <xsd:element ref="ns4:MediaServiceAutoTags" minOccurs="0"/>
                <xsd:element ref="ns4:MediaServiceOCR" minOccurs="0"/>
                <xsd:element ref="ns4:MediaServiceGenerationTime" minOccurs="0"/>
                <xsd:element ref="ns4:MediaServiceEventHashCode"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755f87-d6d9-4638-93e9-48370716f3c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602922-a067-4fbb-9d31-9a694e50d75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1D187F-65E0-4F9A-ACE4-49B8495F339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6602922-a067-4fbb-9d31-9a694e50d753"/>
    <ds:schemaRef ds:uri="a6755f87-d6d9-4638-93e9-48370716f3ca"/>
    <ds:schemaRef ds:uri="http://www.w3.org/XML/1998/namespace"/>
    <ds:schemaRef ds:uri="http://purl.org/dc/dcmitype/"/>
  </ds:schemaRefs>
</ds:datastoreItem>
</file>

<file path=customXml/itemProps2.xml><?xml version="1.0" encoding="utf-8"?>
<ds:datastoreItem xmlns:ds="http://schemas.openxmlformats.org/officeDocument/2006/customXml" ds:itemID="{9F94DB61-B36E-420F-8D60-C115BA34E8C6}">
  <ds:schemaRefs>
    <ds:schemaRef ds:uri="http://schemas.microsoft.com/sharepoint/v3/contenttype/forms"/>
  </ds:schemaRefs>
</ds:datastoreItem>
</file>

<file path=customXml/itemProps3.xml><?xml version="1.0" encoding="utf-8"?>
<ds:datastoreItem xmlns:ds="http://schemas.openxmlformats.org/officeDocument/2006/customXml" ds:itemID="{022575B2-BDE0-46BE-BD93-16E8EEFEF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755f87-d6d9-4638-93e9-48370716f3ca"/>
    <ds:schemaRef ds:uri="16602922-a067-4fbb-9d31-9a694e50d7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Enrollment &amp; Tuition Summary</vt:lpstr>
      <vt:lpstr>Student Fee Schedule</vt:lpstr>
      <vt:lpstr>Student Financial Aid</vt:lpstr>
      <vt:lpstr>Cash Fund Revenue Summary</vt:lpstr>
      <vt:lpstr>'Cash Fund Revenue Summary'!Print_Area</vt:lpstr>
      <vt:lpstr>'Enrollment &amp; Tuition Summary'!Print_Area</vt:lpstr>
      <vt:lpstr>'Student Fee Schedule'!Print_Area</vt:lpstr>
      <vt:lpstr>'Student Financial Aid'!Print_Titles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2021-12-10T17:50:45Z</dcterms:created>
  <dcterms:modified xsi:type="dcterms:W3CDTF">2024-04-24T21:24:13Z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0x010100C2CB15701D156C4DAFC43B1CD9CABDD9</vt:lpwstr>
  </property>
</Properties>
</file>